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1430" windowHeight="11010"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81" r:id="rId23"/>
    <sheet name="收益法" sheetId="15" r:id="rId24"/>
    <sheet name="收益法 (元)" sheetId="67" state="hidden" r:id="rId25"/>
    <sheet name="收益法-酒店模型" sheetId="77" state="hidden" r:id="rId26"/>
    <sheet name="收益法（汇总）" sheetId="70"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大宗案例" sheetId="82" r:id="rId48"/>
    <sheet name="Sheet1" sheetId="83" r:id="rId49"/>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V22" i="1"/>
  <c r="U22" i="1"/>
  <c r="U21" i="1"/>
  <c r="U20" i="1"/>
  <c r="C14" i="74" l="1"/>
  <c r="B14" i="74"/>
  <c r="I5" i="33" l="1"/>
  <c r="G5" i="33"/>
  <c r="E5" i="33"/>
  <c r="I33" i="33"/>
  <c r="G33" i="33"/>
  <c r="E33" i="33"/>
  <c r="C33" i="33"/>
  <c r="I7" i="33"/>
  <c r="G7" i="33"/>
  <c r="E7" i="33"/>
  <c r="I47" i="33"/>
  <c r="G47" i="33"/>
  <c r="E47" i="33"/>
  <c r="Q32" i="82"/>
  <c r="N32" i="82"/>
  <c r="I32" i="82"/>
  <c r="H32" i="82"/>
  <c r="W31" i="82"/>
  <c r="V31" i="82"/>
  <c r="Q31" i="82"/>
  <c r="N31" i="82"/>
  <c r="M31" i="82"/>
  <c r="I31" i="82"/>
  <c r="W30" i="82"/>
  <c r="V30" i="82"/>
  <c r="Q30" i="82"/>
  <c r="N30" i="82"/>
  <c r="W19" i="82"/>
  <c r="V19" i="82"/>
  <c r="Q19" i="82"/>
  <c r="P17" i="82"/>
  <c r="P11" i="82"/>
  <c r="AH7" i="1" l="1"/>
  <c r="D37" i="43"/>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G20" i="6"/>
  <c r="G19" i="6"/>
  <c r="F19" i="6"/>
  <c r="AL13" i="3"/>
  <c r="AN13" i="3"/>
  <c r="M13" i="3"/>
  <c r="K13" i="3"/>
  <c r="I13" i="3"/>
  <c r="AT13" i="3"/>
  <c r="B37" i="80"/>
  <c r="B29" i="80"/>
  <c r="D3" i="4"/>
  <c r="D24" i="81" l="1"/>
  <c r="P61" i="81"/>
  <c r="D22" i="81"/>
  <c r="D42" i="43"/>
  <c r="L14" i="1"/>
  <c r="L7" i="1"/>
  <c r="B10" i="80"/>
  <c r="M28" i="81"/>
  <c r="F26" i="81"/>
  <c r="M9" i="81"/>
  <c r="C76" i="81"/>
  <c r="M22" i="81"/>
  <c r="F6" i="81"/>
  <c r="J15" i="81"/>
  <c r="F40" i="81"/>
  <c r="M6" i="81"/>
  <c r="M26" i="81"/>
  <c r="F9" i="81"/>
  <c r="F13" i="81"/>
  <c r="F38" i="81"/>
  <c r="L47" i="81"/>
  <c r="M8" i="81"/>
  <c r="F43" i="81"/>
  <c r="M29" i="81"/>
  <c r="F42" i="81"/>
  <c r="F7" i="81"/>
  <c r="L48" i="81"/>
  <c r="F8" i="81"/>
  <c r="F36" i="81"/>
  <c r="F16" i="81"/>
  <c r="F37" i="81"/>
  <c r="M24" i="81"/>
  <c r="M23" i="81"/>
  <c r="F64" i="81" l="1"/>
  <c r="F66" i="81"/>
  <c r="F51" i="81"/>
  <c r="F68" i="81"/>
  <c r="F71" i="81"/>
  <c r="L57" i="81"/>
  <c r="L56" i="81"/>
  <c r="I54" i="81"/>
  <c r="L60" i="81"/>
  <c r="J59" i="81"/>
  <c r="J60" i="81"/>
  <c r="Q48" i="81" s="1"/>
  <c r="J53" i="81"/>
  <c r="J57" i="81"/>
  <c r="J55" i="81" s="1"/>
  <c r="J58" i="81" s="1"/>
  <c r="Q50" i="81" s="1"/>
  <c r="C27" i="81"/>
  <c r="F65" i="81"/>
  <c r="C6" i="81"/>
  <c r="F50" i="81"/>
  <c r="M7" i="81"/>
  <c r="J6" i="81" s="1"/>
  <c r="N59" i="81"/>
  <c r="L59" i="81"/>
  <c r="L58" i="81"/>
  <c r="M59" i="81"/>
  <c r="Q71" i="81"/>
  <c r="E8" i="1"/>
  <c r="E9" i="1"/>
  <c r="E10" i="1"/>
  <c r="E11" i="1"/>
  <c r="E12" i="1"/>
  <c r="E13" i="1"/>
  <c r="C17" i="81"/>
  <c r="J19" i="81" l="1"/>
  <c r="J18" i="81"/>
  <c r="Q60" i="81"/>
  <c r="Q73" i="81"/>
  <c r="Q66" i="81"/>
  <c r="Q57" i="81"/>
  <c r="L46" i="81"/>
  <c r="C49" i="81"/>
  <c r="Q61" i="81"/>
  <c r="Q74" i="81"/>
  <c r="C33" i="81"/>
  <c r="C32" i="81"/>
  <c r="F1" i="81"/>
  <c r="Q52" i="81"/>
  <c r="W26" i="79"/>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C61" i="81" l="1"/>
  <c r="T5"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67"/>
  <c r="M6" i="15"/>
  <c r="J15" i="15"/>
  <c r="B11" i="76"/>
  <c r="F38" i="15"/>
  <c r="B10" i="76"/>
  <c r="B9" i="76"/>
  <c r="F7" i="73"/>
  <c r="F20" i="31"/>
  <c r="E2" i="69"/>
  <c r="M24" i="15"/>
  <c r="C76" i="15"/>
  <c r="E11" i="76"/>
  <c r="D4" i="73"/>
  <c r="M9" i="67"/>
  <c r="F37" i="15"/>
  <c r="F9" i="67"/>
  <c r="B12" i="76"/>
  <c r="F6" i="73"/>
  <c r="F38" i="67"/>
  <c r="M26" i="67"/>
  <c r="F5" i="73"/>
  <c r="E2" i="68"/>
  <c r="M8" i="15"/>
  <c r="D5" i="73"/>
  <c r="F8" i="67"/>
  <c r="M8" i="67"/>
  <c r="M28" i="15"/>
  <c r="M26" i="15"/>
  <c r="M9" i="15"/>
  <c r="AO13" i="1"/>
  <c r="D6" i="73"/>
  <c r="E8" i="76"/>
  <c r="M29" i="15"/>
  <c r="M22" i="15"/>
  <c r="F43" i="15"/>
  <c r="M6" i="67"/>
  <c r="D3" i="73"/>
  <c r="F36" i="15"/>
  <c r="F13" i="15"/>
  <c r="F40" i="67"/>
  <c r="F42" i="67"/>
  <c r="F42" i="15"/>
  <c r="M23" i="67"/>
  <c r="E12" i="76"/>
  <c r="F7" i="15"/>
  <c r="L48" i="15"/>
  <c r="B7" i="76"/>
  <c r="F16" i="67"/>
  <c r="M29" i="67"/>
  <c r="F43" i="67"/>
  <c r="M28" i="67"/>
  <c r="J15" i="67"/>
  <c r="F36" i="67"/>
  <c r="C76" i="67"/>
  <c r="E7" i="76"/>
  <c r="E9" i="76"/>
  <c r="F9" i="15"/>
  <c r="L48" i="67"/>
  <c r="F13" i="67"/>
  <c r="C16" i="81"/>
  <c r="L47" i="67"/>
  <c r="B8" i="76"/>
  <c r="F26" i="15"/>
  <c r="F16" i="15"/>
  <c r="B13" i="76"/>
  <c r="E13" i="76"/>
  <c r="F7" i="67"/>
  <c r="M24" i="67"/>
  <c r="D7" i="73"/>
  <c r="F4" i="73"/>
  <c r="F26" i="67"/>
  <c r="M23" i="15"/>
  <c r="E10" i="76"/>
  <c r="F3" i="73"/>
  <c r="F37" i="67"/>
  <c r="L47" i="15"/>
  <c r="F8" i="15"/>
  <c r="F40" i="15"/>
  <c r="F6" i="15"/>
  <c r="M22" i="67"/>
  <c r="W33" i="33" l="1"/>
  <c r="G111" i="33"/>
  <c r="H111" i="33" s="1"/>
  <c r="I111" i="33" s="1"/>
  <c r="J111" i="33" s="1"/>
  <c r="K111" i="33" s="1"/>
  <c r="L111" i="33" s="1"/>
  <c r="M111" i="33" s="1"/>
  <c r="F36" i="33"/>
  <c r="O7" i="1"/>
  <c r="P7" i="1" s="1"/>
  <c r="BA13" i="3"/>
  <c r="BA5" i="3" s="1"/>
  <c r="F7" i="1"/>
  <c r="G7" i="1" s="1"/>
  <c r="F11" i="1"/>
  <c r="G11" i="1" s="1"/>
  <c r="G44" i="43"/>
  <c r="D68" i="9"/>
  <c r="M18" i="15"/>
  <c r="F30" i="69"/>
  <c r="F48" i="69" s="1"/>
  <c r="M18" i="67"/>
  <c r="F31" i="12"/>
  <c r="F30" i="11"/>
  <c r="C48" i="11" s="1"/>
  <c r="C28" i="67"/>
  <c r="C21" i="68"/>
  <c r="C40" i="69"/>
  <c r="D22" i="15"/>
  <c r="G6" i="1"/>
  <c r="G16" i="1" s="1"/>
  <c r="F10" i="39" s="1"/>
  <c r="I24" i="43"/>
  <c r="E188" i="3"/>
  <c r="E427" i="3"/>
  <c r="E440" i="3"/>
  <c r="E108" i="3"/>
  <c r="E333" i="3"/>
  <c r="E540" i="3"/>
  <c r="E18" i="3"/>
  <c r="E129" i="3"/>
  <c r="E174" i="3"/>
  <c r="E275" i="3"/>
  <c r="E324" i="3"/>
  <c r="E342" i="3"/>
  <c r="E35" i="3"/>
  <c r="E34" i="3"/>
  <c r="E206" i="3"/>
  <c r="E370" i="3"/>
  <c r="E50" i="3"/>
  <c r="E20" i="3"/>
  <c r="E62" i="3"/>
  <c r="E176" i="3"/>
  <c r="E218" i="3"/>
  <c r="E265" i="3"/>
  <c r="E365" i="3"/>
  <c r="E524" i="3"/>
  <c r="E83" i="3"/>
  <c r="E329" i="3"/>
  <c r="E116" i="3"/>
  <c r="E564" i="3"/>
  <c r="E507" i="3"/>
  <c r="E376" i="3"/>
  <c r="E419" i="3"/>
  <c r="E40" i="3"/>
  <c r="E119" i="3"/>
  <c r="E276" i="3"/>
  <c r="L6" i="3"/>
  <c r="E43" i="3"/>
  <c r="E473" i="3"/>
  <c r="E455" i="3"/>
  <c r="E79" i="3"/>
  <c r="E38" i="3"/>
  <c r="E100" i="3"/>
  <c r="E170" i="3"/>
  <c r="E137" i="3"/>
  <c r="E194" i="3"/>
  <c r="E234" i="3"/>
  <c r="E219" i="3"/>
  <c r="E299" i="3"/>
  <c r="E339" i="3"/>
  <c r="E325" i="3"/>
  <c r="E392" i="3"/>
  <c r="AQ6" i="3"/>
  <c r="E52" i="3"/>
  <c r="E36" i="3"/>
  <c r="E112" i="3"/>
  <c r="E123" i="3"/>
  <c r="E147" i="3"/>
  <c r="E289" i="3"/>
  <c r="E340" i="3"/>
  <c r="E364" i="3"/>
  <c r="Y6" i="3"/>
  <c r="E68" i="3"/>
  <c r="E51" i="3"/>
  <c r="E63" i="3"/>
  <c r="E19" i="3"/>
  <c r="E81" i="3"/>
  <c r="E154" i="3"/>
  <c r="E118" i="3"/>
  <c r="E179" i="3"/>
  <c r="E264" i="3"/>
  <c r="E222" i="3"/>
  <c r="E283" i="3"/>
  <c r="E323" i="3"/>
  <c r="E309" i="3"/>
  <c r="E373" i="3"/>
  <c r="E513" i="3"/>
  <c r="E82" i="3"/>
  <c r="E21" i="3"/>
  <c r="E393" i="3"/>
  <c r="J6" i="3"/>
  <c r="E401" i="3"/>
  <c r="E242" i="3"/>
  <c r="E60" i="3"/>
  <c r="E15" i="3"/>
  <c r="E96" i="3"/>
  <c r="E78" i="3"/>
  <c r="E190" i="3"/>
  <c r="E220" i="3"/>
  <c r="E235" i="3"/>
  <c r="E383" i="3"/>
  <c r="E522" i="3"/>
  <c r="E86" i="3"/>
  <c r="E49" i="3"/>
  <c r="E232" i="3"/>
  <c r="E251" i="3"/>
  <c r="AF6" i="3"/>
  <c r="E102" i="3"/>
  <c r="E80" i="3"/>
  <c r="E113" i="3"/>
  <c r="E158" i="3"/>
  <c r="E287" i="3"/>
  <c r="E308" i="3"/>
  <c r="E326" i="3"/>
  <c r="E22" i="3"/>
  <c r="E101"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E372" i="3"/>
  <c r="E346" i="3"/>
  <c r="E226" i="3"/>
  <c r="E202" i="3"/>
  <c r="E178" i="3"/>
  <c r="E25" i="3"/>
  <c r="E463" i="3"/>
  <c r="E483" i="3"/>
  <c r="E498" i="3"/>
  <c r="AH6" i="3"/>
  <c r="E490" i="3"/>
  <c r="E422" i="3"/>
  <c r="E486" i="3"/>
  <c r="E543" i="3"/>
  <c r="E493" i="3"/>
  <c r="E105" i="3"/>
  <c r="E223" i="3"/>
  <c r="E16" i="3"/>
  <c r="E13" i="3"/>
  <c r="G28" i="6"/>
  <c r="E28" i="6" s="1"/>
  <c r="K14" i="1" s="1"/>
  <c r="AT6" i="3"/>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J36" i="33" l="1"/>
  <c r="H36" i="33"/>
  <c r="U36" i="33"/>
  <c r="AB36" i="33"/>
  <c r="AA36" i="33"/>
  <c r="S36" i="33"/>
  <c r="F11" i="81"/>
  <c r="M11" i="81"/>
  <c r="J10" i="81" s="1"/>
  <c r="J5" i="81" s="1"/>
  <c r="C30" i="69"/>
  <c r="K16" i="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F41" i="67"/>
  <c r="AE6" i="1"/>
  <c r="W36" i="33" l="1"/>
  <c r="AC36" i="33"/>
  <c r="L36" i="43"/>
  <c r="L37" i="43" s="1"/>
  <c r="F24" i="81"/>
  <c r="J26" i="81"/>
  <c r="J24" i="81"/>
  <c r="C53" i="81"/>
  <c r="C48" i="81" s="1"/>
  <c r="C10" i="81"/>
  <c r="C5" i="81" s="1"/>
  <c r="E65" i="39"/>
  <c r="AC7" i="34"/>
  <c r="V49" i="34" s="1"/>
  <c r="I49" i="34" s="1"/>
  <c r="U7" i="34"/>
  <c r="AA7" i="34"/>
  <c r="R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81"/>
  <c r="F41" i="81"/>
  <c r="M27" i="67"/>
  <c r="M27" i="15"/>
  <c r="F41" i="15"/>
  <c r="F69" i="81" l="1"/>
  <c r="J29" i="81"/>
  <c r="Q36" i="43"/>
  <c r="M36" i="43"/>
  <c r="P36" i="43"/>
  <c r="O36" i="43"/>
  <c r="N36" i="43"/>
  <c r="C38" i="81"/>
  <c r="C66" i="81"/>
  <c r="C60" i="81"/>
  <c r="C24" i="8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25" i="11" l="1"/>
  <c r="C22" i="11" s="1"/>
  <c r="C31" i="11"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81"/>
  <c r="C14" i="15"/>
  <c r="C18" i="81" l="1"/>
  <c r="C15" i="8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D9" i="71"/>
  <c r="I63" i="40"/>
  <c r="H65" i="40"/>
  <c r="I58" i="21"/>
  <c r="J58" i="21" s="1"/>
  <c r="K58" i="21" s="1"/>
  <c r="L58" i="21" s="1"/>
  <c r="M58" i="21" s="1"/>
  <c r="N58" i="21" s="1"/>
  <c r="O58" i="21" s="1"/>
  <c r="H7" i="21" s="1"/>
  <c r="J48" i="35"/>
  <c r="C19" i="81" l="1"/>
  <c r="C20" i="81" s="1"/>
  <c r="C26" i="81" s="1"/>
  <c r="F26" i="43"/>
  <c r="H26" i="43"/>
  <c r="E26" i="43"/>
  <c r="J26" i="43"/>
  <c r="N94" i="46"/>
  <c r="N370" i="46"/>
  <c r="B116" i="43"/>
  <c r="G26" i="43"/>
  <c r="Z7" i="43"/>
  <c r="F7" i="21"/>
  <c r="AA7" i="21" s="1"/>
  <c r="R48" i="21" s="1"/>
  <c r="C21" i="12"/>
  <c r="C22" i="12" s="1"/>
  <c r="J7" i="21"/>
  <c r="W7"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J63" i="40"/>
  <c r="I65" i="40"/>
  <c r="K48" i="35"/>
  <c r="L48" i="35" s="1"/>
  <c r="M48" i="35" s="1"/>
  <c r="N48" i="35" s="1"/>
  <c r="O48" i="35" s="1"/>
  <c r="H7" i="35" s="1"/>
  <c r="AC7" i="21" l="1"/>
  <c r="V48" i="21" s="1"/>
  <c r="I48" i="21" s="1"/>
  <c r="C23" i="81"/>
  <c r="C29" i="81"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J7" i="35"/>
  <c r="AC7" i="35" s="1"/>
  <c r="V38" i="35" s="1"/>
  <c r="I38" i="35" s="1"/>
  <c r="C27" i="12"/>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F35" i="81"/>
  <c r="M21" i="15"/>
  <c r="M21" i="81"/>
  <c r="F35" i="67"/>
  <c r="F35" i="15"/>
  <c r="W7" i="35" l="1"/>
  <c r="C57" i="81"/>
  <c r="C64" i="81" s="1"/>
  <c r="C36" i="81"/>
  <c r="J14" i="81"/>
  <c r="C13" i="81"/>
  <c r="Q49" i="81"/>
  <c r="F63" i="81"/>
  <c r="C62" i="81" s="1"/>
  <c r="C59" i="81" s="1"/>
  <c r="C34" i="81"/>
  <c r="C31" i="81" s="1"/>
  <c r="J20" i="81"/>
  <c r="J17" i="81" s="1"/>
  <c r="C118" i="43"/>
  <c r="D116" i="43" s="1"/>
  <c r="C33" i="43"/>
  <c r="C34" i="43" s="1"/>
  <c r="E34" i="43" s="1"/>
  <c r="C31" i="43"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70" i="81" l="1"/>
  <c r="C37" i="81"/>
  <c r="C30" i="81" s="1"/>
  <c r="C39" i="81" s="1"/>
  <c r="Q69" i="81" s="1"/>
  <c r="C75" i="81"/>
  <c r="C56" i="81"/>
  <c r="C65" i="81" s="1"/>
  <c r="C58" i="81" s="1"/>
  <c r="C67" i="81" s="1"/>
  <c r="C68" i="81" s="1"/>
  <c r="C71" i="81" s="1"/>
  <c r="J13" i="81"/>
  <c r="J23" i="81" s="1"/>
  <c r="J22" i="81"/>
  <c r="E33" i="43"/>
  <c r="C30" i="43"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L51" i="67"/>
  <c r="D2" i="21"/>
  <c r="L51" i="81"/>
  <c r="Q68" i="81" l="1"/>
  <c r="J16" i="81"/>
  <c r="J25" i="81" s="1"/>
  <c r="C40" i="81"/>
  <c r="B2" i="81" s="1"/>
  <c r="B3" i="81" s="1"/>
  <c r="C80" i="81"/>
  <c r="C79" i="81" s="1"/>
  <c r="E2" i="76"/>
  <c r="B2" i="43"/>
  <c r="Q67" i="8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6" i="76"/>
  <c r="D2" i="33"/>
  <c r="Q47" i="81" l="1"/>
  <c r="Q53" i="81" s="1"/>
  <c r="C46" i="81"/>
  <c r="C43" i="81"/>
  <c r="Q65" i="81"/>
  <c r="Q75" i="81" s="1"/>
  <c r="C83" i="81"/>
  <c r="C82" i="81" s="1"/>
  <c r="Q56" i="81"/>
  <c r="Q62" i="81" s="1"/>
  <c r="B2" i="76"/>
  <c r="B3" i="76" s="1"/>
  <c r="B3" i="43"/>
  <c r="C6" i="68"/>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6"/>
  <c r="D2" i="37"/>
  <c r="D2" i="35"/>
  <c r="D2" i="34"/>
  <c r="C7" i="68" l="1"/>
  <c r="C5" i="68"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8" i="1"/>
  <c r="AO6" i="1"/>
  <c r="AO10" i="1"/>
  <c r="AO12" i="1"/>
  <c r="AO7" i="1"/>
  <c r="AO11" i="1"/>
  <c r="C23" i="68" l="1"/>
  <c r="C20" i="68"/>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8" i="68" l="1"/>
  <c r="C27" i="68" s="1"/>
  <c r="C25" i="68"/>
  <c r="C22" i="68" s="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B3" i="70"/>
  <c r="C31" i="68"/>
  <c r="C52" i="68" s="1"/>
  <c r="C42" i="40"/>
  <c r="C43" i="40"/>
  <c r="E47" i="40"/>
  <c r="F47" i="40" s="1"/>
  <c r="E46" i="40"/>
  <c r="F46" i="40" s="1"/>
  <c r="I47" i="40"/>
  <c r="J47" i="40" s="1"/>
  <c r="D20" i="9"/>
  <c r="D103" i="9" l="1"/>
  <c r="B2" i="68"/>
  <c r="C57" i="68"/>
  <c r="C56" i="68" s="1"/>
  <c r="B58" i="40"/>
  <c r="F58" i="40" s="1"/>
  <c r="B54" i="40"/>
  <c r="F54" i="40" s="1"/>
  <c r="B53" i="40"/>
  <c r="F53" i="40" s="1"/>
  <c r="B59" i="40"/>
  <c r="F59" i="40" s="1"/>
  <c r="B52" i="40"/>
  <c r="F52" i="40" s="1"/>
  <c r="B56" i="40"/>
  <c r="F56" i="40" s="1"/>
  <c r="B60" i="40"/>
  <c r="F60" i="40" s="1"/>
  <c r="B57" i="40"/>
  <c r="F57" i="40" s="1"/>
  <c r="B51" i="40"/>
  <c r="F51" i="40" s="1"/>
  <c r="F61" i="40"/>
  <c r="B2" i="40" s="1"/>
  <c r="B3" i="40" s="1"/>
  <c r="C19" i="9"/>
  <c r="C102" i="9" l="1"/>
  <c r="C21" i="9"/>
  <c r="D22" i="9"/>
  <c r="G19" i="9"/>
  <c r="B3" i="68"/>
  <c r="D35" i="9"/>
  <c r="C20" i="9"/>
  <c r="D34" i="9"/>
  <c r="G21" i="9" l="1"/>
  <c r="I20" i="9"/>
  <c r="C103" i="9"/>
  <c r="G20" i="9"/>
  <c r="C32" i="9" s="1"/>
  <c r="C35" i="9" s="1"/>
  <c r="C34" i="9" s="1"/>
  <c r="D118" i="9" s="1"/>
  <c r="D4" i="52" s="1"/>
  <c r="B47" i="72" s="1"/>
  <c r="H118" i="9" l="1"/>
  <c r="F118" i="9"/>
  <c r="F119" i="9" s="1"/>
  <c r="F5" i="52" s="1"/>
  <c r="B53" i="72" s="1"/>
  <c r="D119" i="9"/>
  <c r="D5" i="52" s="1"/>
  <c r="B49" i="72" s="1"/>
  <c r="H4" i="52" l="1"/>
  <c r="D14" i="74"/>
  <c r="H101" i="9"/>
  <c r="D45" i="9" s="1"/>
  <c r="C104" i="9"/>
  <c r="H119" i="9"/>
  <c r="H5" i="52" s="1"/>
  <c r="I118" i="9"/>
  <c r="C105" i="9" s="1"/>
  <c r="G118" i="9"/>
  <c r="G4" i="52" s="1"/>
  <c r="B52" i="72" s="1"/>
  <c r="F4" i="52"/>
  <c r="B51" i="72" s="1"/>
  <c r="D5" i="53"/>
  <c r="F14" i="74" l="1"/>
  <c r="E14" i="74"/>
  <c r="B5" i="74"/>
  <c r="D5" i="74" s="1"/>
  <c r="M48" i="9"/>
  <c r="H107" i="9"/>
  <c r="D13" i="53" s="1"/>
  <c r="H102" i="9"/>
  <c r="I4" i="52"/>
  <c r="E118" i="9"/>
  <c r="E4" i="52" s="1"/>
  <c r="B48" i="72" s="1"/>
  <c r="B20" i="72"/>
  <c r="D6" i="53"/>
  <c r="B22" i="72" s="1"/>
  <c r="D53" i="9"/>
  <c r="D55" i="9"/>
  <c r="M53" i="9" s="1"/>
  <c r="C85" i="9"/>
  <c r="C72" i="9"/>
  <c r="C64" i="9"/>
  <c r="C63" i="9" s="1"/>
  <c r="C67" i="9" s="1"/>
  <c r="D52" i="9"/>
  <c r="C93" i="9"/>
  <c r="C86" i="9" s="1"/>
  <c r="C78" i="9"/>
  <c r="C73" i="9" s="1"/>
  <c r="C5" i="74" l="1"/>
  <c r="D122" i="9"/>
  <c r="M49" i="9"/>
  <c r="L68" i="9" s="1"/>
  <c r="M68" i="9" s="1"/>
  <c r="D7" i="53"/>
  <c r="B21" i="72" s="1"/>
  <c r="H108" i="9"/>
  <c r="D59" i="9"/>
  <c r="M55" i="9" s="1"/>
  <c r="C68" i="9"/>
  <c r="D54" i="9" s="1"/>
  <c r="C79" i="9"/>
  <c r="C95" i="9"/>
  <c r="B30" i="72"/>
  <c r="D14" i="53"/>
  <c r="B32" i="72" s="1"/>
  <c r="D8" i="52" l="1"/>
  <c r="G14" i="74"/>
  <c r="B6" i="74" s="1"/>
  <c r="D6" i="74" s="1"/>
  <c r="D123" i="9"/>
  <c r="D9" i="52" s="1"/>
  <c r="L64" i="9"/>
  <c r="M64" i="9" s="1"/>
  <c r="L66" i="9"/>
  <c r="M66" i="9" s="1"/>
  <c r="L63" i="9"/>
  <c r="M63" i="9" s="1"/>
  <c r="L67" i="9"/>
  <c r="M67" i="9" s="1"/>
  <c r="L65" i="9"/>
  <c r="M65" i="9" s="1"/>
  <c r="D15" i="53"/>
  <c r="B31" i="72" s="1"/>
  <c r="C80" i="9"/>
  <c r="E80" i="9" s="1"/>
  <c r="E81" i="9" s="1"/>
  <c r="C96" i="9"/>
  <c r="E96" i="9" s="1"/>
  <c r="E97" i="9" s="1"/>
  <c r="C6" i="74" l="1"/>
  <c r="M69" i="9"/>
  <c r="N69" i="9" s="1"/>
  <c r="C97" i="9"/>
  <c r="D58" i="9" s="1"/>
  <c r="D56" i="9" s="1"/>
  <c r="M54" i="9" s="1"/>
  <c r="N57" i="9" s="1"/>
  <c r="P57" i="9" s="1"/>
  <c r="C81" i="9"/>
  <c r="N58" i="9" l="1"/>
  <c r="N59" i="9"/>
  <c r="H111" i="9" s="1"/>
  <c r="N60" i="9" l="1"/>
  <c r="N61" i="9"/>
  <c r="H112" i="9" s="1"/>
  <c r="C8" i="74" s="1"/>
  <c r="D126" i="9"/>
  <c r="D19" i="53"/>
  <c r="D21" i="53" l="1"/>
  <c r="B39" i="72" s="1"/>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<sst xmlns="http://schemas.openxmlformats.org/spreadsheetml/2006/main" count="8533" uniqueCount="3614">
  <si>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</si>
  <si>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</si>
  <si>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</si>
  <si>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</si>
  <si>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</si>
  <si>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</si>
  <si>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</si>
  <si>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</si>
  <si>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</si>
  <si>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</si>
  <si>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</si>
  <si>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</si>
  <si>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</si>
  <si>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</si>
  <si>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</si>
  <si>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</si>
  <si>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</si>
  <si>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</si>
  <si>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</si>
  <si>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</si>
  <si>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</si>
  <si>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</si>
  <si>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</si>
  <si>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</si>
  <si>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</si>
  <si>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</si>
  <si>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</si>
  <si>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</si>
  <si>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</si>
  <si>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</si>
  <si>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</si>
  <si>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</si>
  <si>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</si>
  <si>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</si>
  <si>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</si>
  <si>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</si>
  <si>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</si>
  <si>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</si>
  <si>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</si>
  <si>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</si>
  <si>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</si>
  <si>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</si>
  <si>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</si>
  <si>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</si>
  <si>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</si>
  <si>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</si>
  <si>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</si>
  <si>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</si>
  <si>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</si>
  <si>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</si>
  <si>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</si>
  <si>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</si>
  <si>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</si>
  <si>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</si>
  <si>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</si>
  <si>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</si>
  <si>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</si>
  <si>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</si>
  <si>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</si>
  <si>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</si>
  <si>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</si>
  <si>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</si>
  <si>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</si>
  <si>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</si>
  <si>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</si>
  <si>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</si>
  <si>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</si>
  <si>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</si>
  <si>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</si>
  <si>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</si>
  <si>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</si>
  <si>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</si>
  <si>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</si>
  <si>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</si>
  <si>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</si>
  <si>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</si>
  <si>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</si>
  <si>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</si>
  <si>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</si>
  <si>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</si>
  <si>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</si>
  <si>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</si>
  <si>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</si>
  <si>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</si>
  <si>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</si>
  <si>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</si>
  <si>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</si>
  <si>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</si>
  <si>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</si>
  <si>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</si>
  <si>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</si>
  <si>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</si>
  <si>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</si>
  <si>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</si>
  <si>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</si>
  <si>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</si>
  <si>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</si>
  <si>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</si>
  <si>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</si>
  <si>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</si>
  <si>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</si>
  <si>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</si>
  <si>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</si>
  <si>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</si>
  <si>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</si>
  <si>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</si>
  <si>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</si>
  <si>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</si>
  <si>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</si>
  <si>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</si>
  <si>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</si>
  <si>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</si>
  <si>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</si>
  <si>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</si>
  <si>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</si>
  <si>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</si>
  <si>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</si>
  <si>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</si>
  <si>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</si>
  <si>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</si>
  <si>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</si>
  <si>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</si>
  <si>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</si>
  <si>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</si>
  <si>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</si>
  <si>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</si>
  <si>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</si>
  <si>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</si>
  <si>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</si>
  <si>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</si>
  <si>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</si>
  <si>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</si>
  <si>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</si>
  <si>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</si>
  <si>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</si>
  <si>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</si>
  <si>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</si>
  <si>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</si>
  <si>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</si>
  <si>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</si>
  <si>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</si>
  <si>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</si>
  <si>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</si>
  <si>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</si>
  <si>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</si>
  <si>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</si>
  <si>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</si>
  <si>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</si>
  <si>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</si>
  <si>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</si>
  <si>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</si>
  <si>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</si>
  <si>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</si>
  <si>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</si>
  <si>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</si>
  <si>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</si>
  <si>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</si>
  <si>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</si>
  <si>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</si>
  <si>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</si>
  <si>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</si>
  <si>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</si>
  <si>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</si>
  <si>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</si>
  <si>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</si>
  <si>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</si>
  <si>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</si>
  <si>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</si>
  <si>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</si>
  <si>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</si>
  <si>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</si>
  <si>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</si>
  <si>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</si>
  <si>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</si>
  <si>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</si>
  <si>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</si>
  <si>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</si>
  <si>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</si>
  <si>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</si>
  <si>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</si>
  <si>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</si>
  <si>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</si>
  <si>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</si>
  <si>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</si>
  <si>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</si>
  <si>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</si>
  <si>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</si>
  <si>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</si>
  <si>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</si>
  <si>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</si>
  <si>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</si>
  <si>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</si>
  <si>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</si>
  <si>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</si>
  <si>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</si>
  <si>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</si>
  <si>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</si>
  <si>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</si>
  <si>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</si>
  <si>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</si>
  <si>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</si>
  <si>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</si>
  <si>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</si>
  <si>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</si>
  <si>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</si>
  <si>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</si>
  <si>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</si>
  <si>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</si>
  <si>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</si>
  <si>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</si>
  <si>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</si>
  <si>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</si>
  <si>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</si>
  <si>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</si>
  <si>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</si>
  <si>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</si>
  <si>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</si>
  <si>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</si>
  <si>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</si>
  <si>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</si>
  <si>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</si>
  <si>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</si>
  <si>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</si>
  <si>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</si>
  <si>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</si>
  <si>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</si>
  <si>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</si>
  <si>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</si>
  <si>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</si>
  <si>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</si>
  <si>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</si>
  <si>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</si>
  <si>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</si>
  <si>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</si>
  <si>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</si>
  <si>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</si>
  <si>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</si>
  <si>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</si>
  <si>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</si>
  <si>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</si>
  <si>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</si>
  <si>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</si>
  <si>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</si>
  <si>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</si>
  <si>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</si>
  <si>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</si>
  <si>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</si>
  <si>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</si>
  <si>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</si>
  <si>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</si>
  <si>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</si>
  <si>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</si>
  <si>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</si>
  <si>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</si>
  <si>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</si>
  <si>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</si>
  <si>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</si>
  <si>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</si>
  <si>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</si>
  <si>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</si>
  <si>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</si>
  <si>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</si>
  <si>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</si>
  <si>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</si>
  <si>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</si>
  <si>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</si>
  <si>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</si>
  <si>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</si>
  <si>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</si>
  <si>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</si>
  <si>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</si>
  <si>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</si>
  <si>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</si>
  <si>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</si>
  <si>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</si>
  <si>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</si>
  <si>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</si>
  <si>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</si>
  <si>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</si>
  <si>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</si>
  <si>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</si>
  <si>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</si>
  <si>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</si>
  <si>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</si>
  <si>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</si>
  <si>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</si>
  <si>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</si>
  <si>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</si>
  <si>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</si>
  <si>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</si>
  <si>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</si>
  <si>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</si>
  <si>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</si>
  <si>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</si>
  <si>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</si>
  <si>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</si>
  <si>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</si>
  <si>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</si>
  <si>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</si>
  <si>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</si>
  <si>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</si>
  <si>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</si>
  <si>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</si>
  <si>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</si>
  <si>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</si>
  <si>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</si>
  <si>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</si>
  <si>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</si>
  <si>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</si>
  <si>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</si>
  <si>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</si>
  <si>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</si>
  <si>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</si>
  <si>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</si>
  <si>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</si>
  <si>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</si>
  <si>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</si>
  <si>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</si>
  <si>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</si>
  <si>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</si>
  <si>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</si>
  <si>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</si>
  <si>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</si>
  <si>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</si>
  <si>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</si>
  <si>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</si>
  <si>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</si>
  <si>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</si>
  <si>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</si>
  <si>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</si>
  <si>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</si>
  <si>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</si>
  <si>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</si>
  <si>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</si>
  <si>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</si>
  <si>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</si>
  <si>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</si>
  <si>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</si>
  <si>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</si>
  <si>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</si>
  <si>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</si>
  <si>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</si>
  <si>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</si>
  <si>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</si>
  <si>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</si>
  <si>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</si>
  <si>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</si>
  <si>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</si>
  <si>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</si>
  <si>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</si>
  <si>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</si>
  <si>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</si>
  <si>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</si>
  <si>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</si>
  <si>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</si>
  <si>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</si>
  <si>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</si>
  <si>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</si>
  <si>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</si>
  <si>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</si>
  <si>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</si>
  <si>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</si>
  <si>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</si>
  <si>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</si>
  <si>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</si>
  <si>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</si>
  <si>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</si>
  <si>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</si>
  <si>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</si>
  <si>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</si>
  <si>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</si>
  <si>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</si>
  <si>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</si>
  <si>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</si>
  <si>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</si>
  <si>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</si>
  <si>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</si>
  <si>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</si>
  <si>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</si>
  <si>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</si>
  <si>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</si>
  <si>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</si>
  <si>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</si>
  <si>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</si>
  <si>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</si>
  <si>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</si>
  <si>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</si>
  <si>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</si>
  <si>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</si>
  <si>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</si>
  <si>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</si>
  <si>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</si>
  <si>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</si>
  <si>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</si>
  <si>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</si>
  <si>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</si>
  <si>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</si>
  <si>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</si>
  <si>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</si>
  <si>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</si>
  <si>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</si>
  <si>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</si>
  <si>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</si>
  <si>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</si>
  <si>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</si>
  <si>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</si>
  <si>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</si>
  <si>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</si>
  <si>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</si>
  <si>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</si>
  <si>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</si>
  <si>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</si>
  <si>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</si>
  <si>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</si>
  <si>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</si>
  <si>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</si>
  <si>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</si>
  <si>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</si>
  <si>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</si>
  <si>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</si>
  <si>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</si>
  <si>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</si>
  <si>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</si>
  <si>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</si>
  <si>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</si>
  <si>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</si>
  <si>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</si>
  <si>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</si>
  <si>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</si>
  <si>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</si>
  <si>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</si>
  <si>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</si>
  <si>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</si>
  <si>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</si>
  <si>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</si>
  <si>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</si>
  <si>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</si>
  <si>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</si>
  <si>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</si>
  <si>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</si>
  <si>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</si>
  <si>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</si>
  <si>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</si>
  <si>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</si>
  <si>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</si>
  <si>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</si>
  <si>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</si>
  <si>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</si>
  <si>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</si>
  <si>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</si>
  <si>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</si>
  <si>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</si>
  <si>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</si>
  <si>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</si>
  <si>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</si>
  <si>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</si>
  <si>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</si>
  <si>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</si>
  <si>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</si>
  <si>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</si>
  <si>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</si>
  <si>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</si>
  <si>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</si>
  <si>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</si>
  <si>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</si>
  <si>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</si>
  <si>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</si>
  <si>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</si>
  <si>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</si>
  <si>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</si>
  <si>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</si>
  <si>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</si>
  <si>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</si>
  <si>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</si>
  <si>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</si>
  <si>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</si>
  <si>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</si>
  <si>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</si>
  <si>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</si>
  <si>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</si>
  <si>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</si>
  <si>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</si>
  <si>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</si>
  <si>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</si>
  <si>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</si>
  <si>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</si>
  <si>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</si>
  <si>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</si>
  <si>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</si>
  <si>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</si>
  <si>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</si>
  <si>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</si>
  <si>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</si>
  <si>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</si>
  <si>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</si>
  <si>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</si>
  <si>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</si>
  <si>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</si>
  <si>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</si>
  <si>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</si>
  <si>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</si>
  <si>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</si>
  <si>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</si>
  <si>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</si>
  <si>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</si>
  <si>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</si>
  <si>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</si>
  <si>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</si>
  <si>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</si>
  <si>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</si>
  <si>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</si>
  <si>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</si>
  <si>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</si>
  <si>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</si>
  <si>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</si>
  <si>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</si>
  <si>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</si>
  <si>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</si>
  <si>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</si>
  <si>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</si>
  <si>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</si>
  <si>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</si>
  <si>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</si>
  <si>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</si>
  <si>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</si>
  <si>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</si>
  <si>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</si>
  <si>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</si>
  <si>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</si>
  <si>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</si>
  <si>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</si>
  <si>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</si>
  <si>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</si>
  <si>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</si>
  <si>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</si>
  <si>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</si>
  <si>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</si>
  <si>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</si>
  <si>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</si>
  <si>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</si>
  <si>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</si>
  <si>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</si>
  <si>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</si>
  <si>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</si>
  <si>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</si>
  <si>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</si>
  <si>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</si>
  <si>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</si>
  <si>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</si>
  <si>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</si>
  <si>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</si>
  <si>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</si>
  <si>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</si>
  <si>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</si>
  <si>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</si>
  <si>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</si>
  <si>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</si>
  <si>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</si>
  <si>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</si>
  <si>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</si>
  <si>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</si>
  <si>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</si>
  <si>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</si>
  <si>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</si>
  <si>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</si>
  <si>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</si>
  <si>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</si>
  <si>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</si>
  <si>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</si>
  <si>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</si>
  <si>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</si>
  <si>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</si>
  <si>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</si>
  <si>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</si>
  <si>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</si>
  <si>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</si>
  <si>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</si>
  <si>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</si>
  <si>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</si>
  <si>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</si>
  <si>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</si>
  <si>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</si>
  <si>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</si>
  <si>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</si>
  <si>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</si>
  <si>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</si>
  <si>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</si>
  <si>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</si>
  <si>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</si>
  <si>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</si>
  <si>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</si>
  <si>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</si>
  <si>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</si>
  <si>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</si>
  <si>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</si>
  <si>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</si>
  <si>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</si>
  <si>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</si>
  <si>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</si>
  <si>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</si>
  <si>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</si>
  <si>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</si>
  <si>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</si>
  <si>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</si>
  <si>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</si>
  <si>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</si>
  <si>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</si>
  <si>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</si>
  <si>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</si>
  <si>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</si>
  <si>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</si>
  <si>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</si>
  <si>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</si>
  <si>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</si>
  <si>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</si>
  <si>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</si>
  <si>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</si>
  <si>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</si>
  <si>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</si>
  <si>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</si>
  <si>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</si>
  <si>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</si>
  <si>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</si>
  <si>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</si>
  <si>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</si>
  <si>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</si>
  <si>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</si>
  <si>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</si>
  <si>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</si>
  <si>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</si>
  <si>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</si>
  <si>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</si>
  <si>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</si>
  <si>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</si>
  <si>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</si>
  <si>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</si>
  <si>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</si>
  <si>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</si>
  <si>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</si>
  <si>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</si>
  <si>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</si>
  <si>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</si>
  <si>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</si>
  <si>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</si>
  <si>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</si>
  <si>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</si>
  <si>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</si>
  <si>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</si>
  <si>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</si>
  <si>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</si>
  <si>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</si>
  <si>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</si>
  <si>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</si>
  <si>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</si>
  <si>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</si>
  <si>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</si>
  <si>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</si>
  <si>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</si>
  <si>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</si>
  <si>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</si>
  <si>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</si>
  <si>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</si>
  <si>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</si>
  <si>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</si>
  <si>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</si>
  <si>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</si>
  <si>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</si>
  <si>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</si>
  <si>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</si>
  <si>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</si>
  <si>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</si>
  <si>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</si>
  <si>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</si>
  <si>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</si>
  <si>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</si>
  <si>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</si>
  <si>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</si>
  <si>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</si>
  <si>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</si>
  <si>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</si>
  <si>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</si>
  <si>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</si>
  <si>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</si>
  <si>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</si>
  <si>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</si>
  <si>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</si>
  <si>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</si>
  <si>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</si>
  <si>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</si>
  <si>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</si>
  <si>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</si>
  <si>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</si>
  <si>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</si>
  <si>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</si>
  <si>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</si>
  <si>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</si>
  <si>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</si>
  <si>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</si>
  <si>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</si>
  <si>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</si>
  <si>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</si>
  <si>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</si>
  <si>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</si>
  <si>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</si>
  <si>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</si>
  <si>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</si>
  <si>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</si>
  <si>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</si>
  <si>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</si>
  <si>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</si>
  <si>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</si>
  <si>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</si>
  <si>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</si>
  <si>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</si>
  <si>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</si>
  <si>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</si>
  <si>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</si>
  <si>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</si>
  <si>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</si>
  <si>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</si>
  <si>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</si>
  <si>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</si>
  <si>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</si>
  <si>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</si>
  <si>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</si>
  <si>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</si>
  <si>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</si>
  <si>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</si>
  <si>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</si>
  <si>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</si>
  <si>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</si>
  <si>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</si>
  <si>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</si>
  <si>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</si>
  <si>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</si>
  <si>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</si>
  <si>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</si>
  <si>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</si>
  <si>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</si>
  <si>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</si>
  <si>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</si>
  <si>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</si>
  <si>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</si>
  <si>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</si>
  <si>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</si>
  <si>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</si>
  <si>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</si>
  <si>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</si>
  <si>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</si>
  <si>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</si>
  <si>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</si>
  <si>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</si>
  <si>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</si>
  <si>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</si>
  <si>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</si>
  <si>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</si>
  <si>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</si>
  <si>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</si>
  <si>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</si>
  <si>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</si>
  <si>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</si>
  <si>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</si>
  <si>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</si>
  <si>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</si>
  <si>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</si>
  <si>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</si>
  <si>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</si>
  <si>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</si>
  <si>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</si>
  <si>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</si>
  <si>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</si>
  <si>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</si>
  <si>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</si>
  <si>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</si>
  <si>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</si>
  <si>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</si>
  <si>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</si>
  <si>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</si>
  <si>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</si>
  <si>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</si>
  <si>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</si>
  <si>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</si>
  <si>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</si>
  <si>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</si>
  <si>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</si>
  <si>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</si>
  <si>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</si>
  <si>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</si>
  <si>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</si>
  <si>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</si>
  <si>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</si>
  <si>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</si>
  <si>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</si>
  <si>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</si>
  <si>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</si>
  <si>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</si>
  <si>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</si>
  <si>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</si>
  <si>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</si>
  <si>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</si>
  <si>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</si>
  <si>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</si>
  <si>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</si>
  <si>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</si>
  <si>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</si>
  <si>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</si>
  <si>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</si>
  <si>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</si>
  <si>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</si>
  <si>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</si>
  <si>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</si>
  <si>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</si>
  <si>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</si>
  <si>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</si>
  <si>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</si>
  <si>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</si>
  <si>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</si>
  <si>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</si>
  <si>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</si>
  <si>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</si>
  <si>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</si>
  <si>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</si>
  <si>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</si>
  <si>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</si>
  <si>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</si>
  <si>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</si>
  <si>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</si>
  <si>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</si>
  <si>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</si>
  <si>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</si>
  <si>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</si>
  <si>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</si>
  <si>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</si>
  <si>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</si>
  <si>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</si>
  <si>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</si>
  <si>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</si>
  <si>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</si>
  <si>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</si>
  <si>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</si>
  <si>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</si>
  <si>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</si>
  <si>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</si>
  <si>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</si>
  <si>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</si>
  <si>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</si>
  <si>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</si>
  <si>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</si>
  <si>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</si>
  <si>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</si>
  <si>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</si>
  <si>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</si>
  <si>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</si>
  <si>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</si>
  <si>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</si>
  <si>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</si>
  <si>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</si>
  <si>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</si>
  <si>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</si>
  <si>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</si>
  <si>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</si>
  <si>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</si>
  <si>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</si>
  <si>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</si>
  <si>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</si>
  <si>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</si>
  <si>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</si>
  <si>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</si>
  <si>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</si>
  <si>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</si>
  <si>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</si>
  <si>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</si>
  <si>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</si>
  <si>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</si>
  <si>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</si>
  <si>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</si>
  <si>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</si>
  <si>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</si>
  <si>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</si>
  <si>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</si>
  <si>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</si>
  <si>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</si>
  <si>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</si>
  <si>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</si>
  <si>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</si>
  <si>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</si>
  <si>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</si>
  <si>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</si>
  <si>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</si>
  <si>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</si>
  <si>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</si>
  <si>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</si>
  <si>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</si>
  <si>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</si>
  <si>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</si>
  <si>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</si>
  <si>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</si>
  <si>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</si>
  <si>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</si>
  <si>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</si>
  <si>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</si>
  <si>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</si>
  <si>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</si>
  <si>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</si>
  <si>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</si>
  <si>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</si>
  <si>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</si>
  <si>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</si>
  <si>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</si>
  <si>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</si>
  <si>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</si>
  <si>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</si>
  <si>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</si>
  <si>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</si>
  <si>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</si>
  <si>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</si>
  <si>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</si>
  <si>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</si>
  <si>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</si>
  <si>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</si>
  <si>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</si>
  <si>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</si>
  <si>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</si>
  <si>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</si>
  <si>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</si>
  <si>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</si>
  <si>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</si>
  <si>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</si>
  <si>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</si>
  <si>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</si>
  <si>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</si>
  <si>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</si>
  <si>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</si>
  <si>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</si>
  <si>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</si>
  <si>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</si>
  <si>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</si>
  <si>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</si>
  <si>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</si>
  <si>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</si>
  <si>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</si>
  <si>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</si>
  <si>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</si>
  <si>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</si>
  <si>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</si>
  <si>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</si>
  <si>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</si>
  <si>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</si>
  <si>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</si>
  <si>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</si>
  <si>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</si>
  <si>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</si>
  <si>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</si>
  <si>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</si>
  <si>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</si>
  <si>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</si>
  <si>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</si>
  <si>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</si>
  <si>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</si>
  <si>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</si>
  <si>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</si>
  <si>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</si>
  <si>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</si>
  <si>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</si>
  <si>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</si>
  <si>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</si>
  <si>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</si>
  <si>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</si>
  <si>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</si>
  <si>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</si>
  <si>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</si>
  <si>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</si>
  <si>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</si>
  <si>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</si>
  <si>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</si>
  <si>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</si>
  <si>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</si>
  <si>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</si>
  <si>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</si>
  <si>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</si>
  <si>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</si>
  <si>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</si>
  <si>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</si>
  <si>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</si>
  <si>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</si>
  <si>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</si>
  <si>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</si>
  <si>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</si>
  <si>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</si>
  <si>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</si>
  <si>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</si>
  <si>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</si>
  <si>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</si>
  <si>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</si>
  <si>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</si>
  <si>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</si>
  <si>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</si>
  <si>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</si>
  <si>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</si>
  <si>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</si>
  <si>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</si>
  <si>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</si>
  <si>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</si>
  <si>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</si>
  <si>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</si>
  <si>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</si>
  <si>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</si>
  <si>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</si>
  <si>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</si>
  <si>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</si>
  <si>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</si>
  <si>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</si>
  <si>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</si>
  <si>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</si>
  <si>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</si>
  <si>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</si>
  <si>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</si>
  <si>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</si>
  <si>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</si>
  <si>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</si>
  <si>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</si>
  <si>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</si>
  <si>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</si>
  <si>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</si>
  <si>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</si>
  <si>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</si>
  <si>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</si>
  <si>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</si>
  <si>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</si>
  <si>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</si>
  <si>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</si>
  <si>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</si>
  <si>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</si>
  <si>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</si>
  <si>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</si>
  <si>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</si>
  <si>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</si>
  <si>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</si>
  <si>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</si>
  <si>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</si>
  <si>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</si>
  <si>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</si>
  <si>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</si>
  <si>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</si>
  <si>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</si>
  <si>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</si>
  <si>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</si>
  <si>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</si>
  <si>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</si>
  <si>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</si>
  <si>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</si>
  <si>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</si>
  <si>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</si>
  <si>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</si>
  <si>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</si>
  <si>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</si>
  <si>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</si>
  <si>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</si>
  <si>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</si>
  <si>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</si>
  <si>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</si>
  <si>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</si>
  <si>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</si>
  <si>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</si>
  <si>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</si>
  <si>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</si>
  <si>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</si>
  <si>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</si>
  <si>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</si>
  <si>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</si>
  <si>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</si>
  <si>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</si>
  <si>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</si>
  <si>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</si>
  <si>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</si>
  <si>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</si>
  <si>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</si>
  <si>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</si>
  <si>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</si>
  <si>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</si>
  <si>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</si>
  <si>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</si>
  <si>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</si>
  <si>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</si>
  <si>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</si>
  <si>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</si>
  <si>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</si>
  <si>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</si>
  <si>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</si>
  <si>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</si>
  <si>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</si>
  <si>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</si>
  <si>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</si>
  <si>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</si>
  <si>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</si>
  <si>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</si>
  <si>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</si>
  <si>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</si>
  <si>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</si>
  <si>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</si>
  <si>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</si>
  <si>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</si>
  <si>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</si>
  <si>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</si>
  <si>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</si>
  <si>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</si>
  <si>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</si>
  <si>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</si>
  <si>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</si>
  <si>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</si>
  <si>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</si>
  <si>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</si>
  <si>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</si>
  <si>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</si>
  <si>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</si>
  <si>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</si>
  <si>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</si>
  <si>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</si>
  <si>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</si>
  <si>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</si>
  <si>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</si>
  <si>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</si>
  <si>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</si>
  <si>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</si>
  <si>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</si>
  <si>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</si>
  <si>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</si>
  <si>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</si>
  <si>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</si>
  <si>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</si>
  <si>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</si>
  <si>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</si>
  <si>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</si>
  <si>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</si>
  <si>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</si>
  <si>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</si>
  <si>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</si>
  <si>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</si>
  <si>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</si>
  <si>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</si>
  <si>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</si>
  <si>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</si>
  <si>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</si>
  <si>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</si>
  <si>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</si>
  <si>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</si>
  <si>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</si>
  <si>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</si>
  <si>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</si>
  <si>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</si>
  <si>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</si>
  <si>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</si>
  <si>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</si>
  <si>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</si>
  <si>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</si>
  <si>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</si>
  <si>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</si>
  <si>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</si>
  <si>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</si>
  <si>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</si>
  <si>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</si>
  <si>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</si>
  <si>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</si>
  <si>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</si>
  <si>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</si>
  <si>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</si>
  <si>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</si>
  <si>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</si>
  <si>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</si>
  <si>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</si>
  <si>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</si>
  <si>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</si>
  <si>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</si>
  <si>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</si>
  <si>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</si>
  <si>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</si>
  <si>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</si>
  <si>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</si>
  <si>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</si>
  <si>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</si>
  <si>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</si>
  <si>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</si>
  <si>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</si>
  <si>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</si>
  <si>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</si>
  <si>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</si>
  <si>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</si>
  <si>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</si>
  <si>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</si>
  <si>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</si>
  <si>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</si>
  <si>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</si>
  <si>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</si>
  <si>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</si>
  <si>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</si>
  <si>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</si>
  <si>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</si>
  <si>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</si>
  <si>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</si>
  <si>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</si>
  <si>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</si>
  <si>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</si>
  <si>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</si>
  <si>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</si>
  <si>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</si>
  <si>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</si>
  <si>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</si>
  <si>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</si>
  <si>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</si>
  <si>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</si>
  <si>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</si>
  <si>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</si>
  <si>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</si>
  <si>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</si>
  <si>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</si>
  <si>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</si>
  <si>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</si>
  <si>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</si>
  <si>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</si>
  <si>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</si>
  <si>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</si>
  <si>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</si>
  <si>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</si>
  <si>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</si>
  <si>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</si>
  <si>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</si>
  <si>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</si>
  <si>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</si>
  <si>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</si>
  <si>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</si>
  <si>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</si>
  <si>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</si>
  <si>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</si>
  <si>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</si>
  <si>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</si>
  <si>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</si>
  <si>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</si>
  <si>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</si>
  <si>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</si>
  <si>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</si>
  <si>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</si>
  <si>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</si>
  <si>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</si>
  <si>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</si>
  <si>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</si>
  <si>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</si>
  <si>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</si>
  <si>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</si>
  <si>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</si>
  <si>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</si>
  <si>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</si>
  <si>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</si>
  <si>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</si>
  <si>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</si>
  <si>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</si>
  <si>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</si>
  <si>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</si>
  <si>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</si>
  <si>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</si>
  <si>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</si>
  <si>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</si>
  <si>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</si>
  <si>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</si>
  <si>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</si>
  <si>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</si>
  <si>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</si>
  <si>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</si>
  <si>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</si>
  <si>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</si>
  <si>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</si>
  <si>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</si>
  <si>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</si>
  <si>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</si>
  <si>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</si>
  <si>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</si>
  <si>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</si>
  <si>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</si>
  <si>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</si>
  <si>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</si>
  <si>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</si>
  <si>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</si>
  <si>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</si>
  <si>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</si>
  <si>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</si>
  <si>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</si>
  <si>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</si>
  <si>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</si>
  <si>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</si>
  <si>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</si>
  <si>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</si>
  <si>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</si>
  <si>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</si>
  <si>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</si>
  <si>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</si>
  <si>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</si>
  <si>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</si>
  <si>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</si>
  <si>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</si>
  <si>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</si>
  <si>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</si>
  <si>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</si>
  <si>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</si>
  <si>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</si>
  <si>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</si>
  <si>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</si>
  <si>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</si>
  <si>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</si>
  <si>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</si>
  <si>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</si>
  <si>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</si>
  <si>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</si>
  <si>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</si>
  <si>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</si>
  <si>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</si>
  <si>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</si>
  <si>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</si>
  <si>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</si>
  <si>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</si>
  <si>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</si>
  <si>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</si>
  <si>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</si>
  <si>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</si>
  <si>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</si>
  <si>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</si>
  <si>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</si>
  <si>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</si>
  <si>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</si>
  <si>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</si>
  <si>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</si>
  <si>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</si>
  <si>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</si>
  <si>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</si>
  <si>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</si>
  <si>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</si>
  <si>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</si>
  <si>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</si>
  <si>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</si>
  <si>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</si>
  <si>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</si>
  <si>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</si>
  <si>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</si>
  <si>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</si>
  <si>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</si>
  <si>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</si>
  <si>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</si>
  <si>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</si>
  <si>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</si>
  <si>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</si>
  <si>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</si>
  <si>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</si>
  <si>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</si>
  <si>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</si>
  <si>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</si>
  <si>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</si>
  <si>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</si>
  <si>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</si>
  <si>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</si>
  <si>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</si>
  <si>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</si>
  <si>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</si>
  <si>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</si>
  <si>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</si>
  <si>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</si>
  <si>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</si>
  <si>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</si>
  <si>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</si>
  <si>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</si>
  <si>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</si>
  <si>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</si>
  <si>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</si>
  <si>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</si>
  <si>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</si>
  <si>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</si>
  <si>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</si>
  <si>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</si>
  <si>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</si>
  <si>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</si>
  <si>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</si>
  <si>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</si>
  <si>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</si>
  <si>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</si>
  <si>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</si>
  <si>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</si>
  <si>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</si>
  <si>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</si>
  <si>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</si>
  <si>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</si>
  <si>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</si>
  <si>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</si>
  <si>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</si>
  <si>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</si>
  <si>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</si>
  <si>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</si>
  <si>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</si>
  <si>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</si>
  <si>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</si>
  <si>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</si>
  <si>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</si>
  <si>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</si>
  <si>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</si>
  <si>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</si>
  <si>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</si>
  <si>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</si>
  <si>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</si>
  <si>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</si>
  <si>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</si>
  <si>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</si>
  <si>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</si>
  <si>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</si>
  <si>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</si>
  <si>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</si>
  <si>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</si>
  <si>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</si>
  <si>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</si>
  <si>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</si>
  <si>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</si>
  <si>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</si>
  <si>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</si>
  <si>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</si>
  <si>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</si>
  <si>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</si>
  <si>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</si>
  <si>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</si>
  <si>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</si>
  <si>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</si>
  <si>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</si>
  <si>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</si>
  <si>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</si>
  <si>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</si>
  <si>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</si>
  <si>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</si>
  <si>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</si>
  <si>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</si>
  <si>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</si>
  <si>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</si>
  <si>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</si>
  <si>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</si>
  <si>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</si>
  <si>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</si>
  <si>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</si>
  <si>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</si>
  <si>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</si>
  <si>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</si>
  <si>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</si>
  <si>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</si>
  <si>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</si>
  <si>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</si>
  <si>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</si>
  <si>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</si>
  <si>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</si>
  <si>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</si>
  <si>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</si>
  <si>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</si>
  <si>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</si>
  <si>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</si>
  <si>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</si>
  <si>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</si>
  <si>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</si>
  <si>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</si>
  <si>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</si>
  <si>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</si>
  <si>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</si>
  <si>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</si>
  <si>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</si>
  <si>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</si>
  <si>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</si>
  <si>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</si>
  <si>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</si>
  <si>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</si>
  <si>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</si>
  <si>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</si>
  <si>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</si>
  <si>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</si>
  <si>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</si>
  <si>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</si>
  <si>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</si>
  <si>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</si>
  <si>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</si>
  <si>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</si>
  <si>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</si>
  <si>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</si>
  <si>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</si>
  <si>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</si>
  <si>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</si>
  <si>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</si>
  <si>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</si>
  <si>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</si>
  <si>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</si>
  <si>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</si>
  <si>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</si>
  <si>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</si>
  <si>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</si>
  <si>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</si>
  <si>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</si>
  <si>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</si>
  <si>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</si>
  <si>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</si>
  <si>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</si>
  <si>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</si>
  <si>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</si>
  <si>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</si>
  <si>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</si>
  <si>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</si>
  <si>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</si>
  <si>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</si>
  <si>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</si>
  <si>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</si>
  <si>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</si>
  <si>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</si>
  <si>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</si>
  <si>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</si>
  <si>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</si>
  <si>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</si>
  <si>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</si>
  <si>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</si>
  <si>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</si>
  <si>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</si>
  <si>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</si>
  <si>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</si>
  <si>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</si>
  <si>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</si>
  <si>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</si>
  <si>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</si>
  <si>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</si>
  <si>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</si>
  <si>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</si>
  <si>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</si>
  <si>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</si>
  <si>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</si>
  <si>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</si>
  <si>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</si>
  <si>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</si>
  <si>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</si>
  <si>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</si>
  <si>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</si>
  <si>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</si>
  <si>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</si>
  <si>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</si>
  <si>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</si>
  <si>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</si>
  <si>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</si>
  <si>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</si>
  <si>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</si>
  <si>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</si>
  <si>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</si>
  <si>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</si>
  <si>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</si>
  <si>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</si>
  <si>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</si>
  <si>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</si>
  <si>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</si>
  <si>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</si>
  <si>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</si>
  <si>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</si>
  <si>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</si>
  <si>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</si>
  <si>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</si>
  <si>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</si>
  <si>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</si>
  <si>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</si>
  <si>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</si>
  <si>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</si>
  <si>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</si>
  <si>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</si>
  <si>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</si>
  <si>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</si>
  <si>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</si>
  <si>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</si>
  <si>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</si>
  <si>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</si>
  <si>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</si>
  <si>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</si>
  <si>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</si>
  <si>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</si>
  <si>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</si>
  <si>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</si>
  <si>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</si>
  <si>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</si>
  <si>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</si>
  <si>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</si>
  <si>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</si>
  <si>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</si>
  <si>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</si>
  <si>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</si>
  <si>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</si>
  <si>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</si>
  <si>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</si>
  <si>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</si>
  <si>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</si>
  <si>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</si>
  <si>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</si>
  <si>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</si>
  <si>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</si>
  <si>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</si>
  <si>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</si>
  <si>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</si>
  <si>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</si>
  <si>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</si>
  <si>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</si>
  <si>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</si>
  <si>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</si>
  <si>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</si>
  <si>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</si>
  <si>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</si>
  <si>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</si>
  <si>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</si>
  <si>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</si>
  <si>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</si>
  <si>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</si>
  <si>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</si>
  <si>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</si>
  <si>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</si>
  <si>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</si>
  <si>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</si>
  <si>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</si>
  <si>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</si>
  <si>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</si>
  <si>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</si>
  <si>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</si>
  <si>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</si>
  <si>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</si>
  <si>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</si>
  <si>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</si>
  <si>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</si>
  <si>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</si>
  <si>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</si>
  <si>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</si>
  <si>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</si>
  <si>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</si>
  <si>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</si>
  <si>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</si>
  <si>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</si>
  <si>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</si>
  <si>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</si>
  <si>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</si>
  <si>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</si>
  <si>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</si>
  <si>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</si>
  <si>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</si>
  <si>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</si>
  <si>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</si>
  <si>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</si>
  <si>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</si>
  <si>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</si>
  <si>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</si>
  <si>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</si>
  <si>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</si>
  <si>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</si>
  <si>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</si>
  <si>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</si>
  <si>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</si>
  <si>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</si>
  <si>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</si>
  <si>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</si>
  <si>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</si>
  <si>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</si>
  <si>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</si>
  <si>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</si>
  <si>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</si>
  <si>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</si>
  <si>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</si>
  <si>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</si>
  <si>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</si>
  <si>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</si>
  <si>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</si>
  <si>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</si>
  <si>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</si>
  <si>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</si>
  <si>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</si>
  <si>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</si>
  <si>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</si>
  <si>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</si>
  <si>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</si>
  <si>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</si>
  <si>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</si>
  <si>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</si>
  <si>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</si>
  <si>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</si>
  <si>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</si>
  <si>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</si>
  <si>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</si>
  <si>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</si>
  <si>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</si>
  <si>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</si>
  <si>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</si>
  <si>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</si>
  <si>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</si>
  <si>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</si>
  <si>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</si>
  <si>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</si>
  <si>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</si>
  <si>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</si>
  <si>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</si>
  <si>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</si>
  <si>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</si>
  <si>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</si>
  <si>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</si>
  <si>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</si>
  <si>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</si>
  <si>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</si>
  <si>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</si>
  <si>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</si>
  <si>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</si>
  <si>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</si>
  <si>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</si>
  <si>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</si>
  <si>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</si>
  <si>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</si>
  <si>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</si>
  <si>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</si>
  <si>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</si>
  <si>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</si>
  <si>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</si>
  <si>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</si>
  <si>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</si>
  <si>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</si>
  <si>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</si>
  <si>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</si>
  <si>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</si>
  <si>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</si>
  <si>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</si>
  <si>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</si>
  <si>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</si>
  <si>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</si>
  <si>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</si>
  <si>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</si>
  <si>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</si>
  <si>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</si>
  <si>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</si>
  <si>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</si>
  <si>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</si>
  <si>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</si>
  <si>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</si>
  <si>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</si>
  <si>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</si>
  <si>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</si>
  <si>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</si>
  <si>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</si>
  <si>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</si>
  <si>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</si>
  <si>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</si>
  <si>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</si>
  <si>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</si>
  <si>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</si>
  <si>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</si>
  <si>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</si>
  <si>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</si>
  <si>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</si>
  <si>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</si>
  <si>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</si>
  <si>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</si>
  <si>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</si>
  <si>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</si>
  <si>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</si>
  <si>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</si>
  <si>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</si>
  <si>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</si>
  <si>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</si>
  <si>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</si>
  <si>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</si>
  <si>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</si>
  <si>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</si>
  <si>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</si>
  <si>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</si>
  <si>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</si>
  <si>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</si>
  <si>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</si>
  <si>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</si>
  <si>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</si>
  <si>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</si>
  <si>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</si>
  <si>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</si>
  <si>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</si>
  <si>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</si>
  <si>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</si>
  <si>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</si>
  <si>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</si>
  <si>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</si>
  <si>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</si>
  <si>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</si>
  <si>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</si>
  <si>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</si>
  <si>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</si>
  <si>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</si>
  <si>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</si>
  <si>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</si>
  <si>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</si>
  <si>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</si>
  <si>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</si>
  <si>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</si>
  <si>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</si>
  <si>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</si>
  <si>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</si>
  <si>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</si>
  <si>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</si>
  <si>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</si>
  <si>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</si>
  <si>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</si>
  <si>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</si>
  <si>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</si>
  <si>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</si>
  <si>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</si>
  <si>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</si>
  <si>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</si>
  <si>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</si>
  <si>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</si>
  <si>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</si>
  <si>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</si>
  <si>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</si>
  <si>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</si>
  <si>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</si>
  <si>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</si>
  <si>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</si>
  <si>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</si>
  <si>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</si>
  <si>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</si>
  <si>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</si>
  <si>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</si>
  <si>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</si>
  <si>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</si>
  <si>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</si>
  <si>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</si>
  <si>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</si>
  <si>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</si>
  <si>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</si>
  <si>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</si>
  <si>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</si>
  <si>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</si>
  <si>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</si>
  <si>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</si>
  <si>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</si>
  <si>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</si>
  <si>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</si>
  <si>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</si>
  <si>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</si>
  <si>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</si>
  <si>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</si>
  <si>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</si>
  <si>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</si>
  <si>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</si>
  <si>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</si>
  <si>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</si>
  <si>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</si>
  <si>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</si>
  <si>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</si>
  <si>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</si>
  <si>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</si>
  <si>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</si>
  <si>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</si>
  <si>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</si>
  <si>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</si>
  <si>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</si>
  <si>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</si>
  <si>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</si>
  <si>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</si>
  <si>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</si>
  <si>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</si>
  <si>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</si>
  <si>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</si>
  <si>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</si>
  <si>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</si>
  <si>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</si>
  <si>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</si>
  <si>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</si>
  <si>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</si>
  <si>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</si>
  <si>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</si>
  <si>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</si>
  <si>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</si>
  <si>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</si>
  <si>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</si>
  <si>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</si>
  <si>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</si>
  <si>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</si>
  <si>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</si>
  <si>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</si>
  <si>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</si>
  <si>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</si>
  <si>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</si>
  <si>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</si>
  <si>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</si>
  <si>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</si>
  <si>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</si>
  <si>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</si>
  <si>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</si>
  <si>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</si>
  <si>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</si>
  <si>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</si>
  <si>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</si>
  <si>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</si>
  <si>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</si>
  <si>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</si>
  <si>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</si>
  <si>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</si>
  <si>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</si>
  <si>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</si>
  <si>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</si>
  <si>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</si>
  <si>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</si>
  <si>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</si>
  <si>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</si>
  <si>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</si>
  <si>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</si>
  <si>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</si>
  <si>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</si>
  <si>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</si>
  <si>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</si>
  <si>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</si>
  <si>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</si>
  <si>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</si>
  <si>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</si>
  <si>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</si>
  <si>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</si>
  <si>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</si>
  <si>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</si>
  <si>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</si>
  <si>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</si>
  <si>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</si>
  <si>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</si>
  <si>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</si>
  <si>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</si>
  <si>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</si>
  <si>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</si>
  <si>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</si>
  <si>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</si>
  <si>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</si>
  <si>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</si>
  <si>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</si>
  <si>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</si>
  <si>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</si>
  <si>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</si>
  <si>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</si>
  <si>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</si>
  <si>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</si>
  <si>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</si>
  <si>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</si>
  <si>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</si>
  <si>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</si>
  <si>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</si>
  <si>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</si>
  <si>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</si>
  <si>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</si>
  <si>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</si>
  <si>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</si>
  <si>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</si>
  <si>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</si>
  <si>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</si>
  <si>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</si>
  <si>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</si>
  <si>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</si>
  <si>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</si>
  <si>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</si>
  <si>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</si>
  <si>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</si>
  <si>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</si>
  <si>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</si>
  <si>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</si>
  <si>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</si>
  <si>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</si>
  <si>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</si>
  <si>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</si>
  <si>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</si>
  <si>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</si>
  <si>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</si>
  <si>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</si>
  <si>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</si>
  <si>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</si>
  <si>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</si>
  <si>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</si>
  <si>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</si>
  <si>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</si>
  <si>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</si>
  <si>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</si>
  <si>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</si>
  <si>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</si>
  <si>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</si>
  <si>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</si>
  <si>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</si>
  <si>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</si>
  <si>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</si>
  <si>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</si>
  <si>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</si>
  <si>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</si>
  <si>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</si>
  <si>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</si>
  <si>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</si>
  <si>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</si>
  <si>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</si>
  <si>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</si>
  <si>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</si>
  <si>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</si>
  <si>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</si>
  <si>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</si>
  <si>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</si>
  <si>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</si>
  <si>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</si>
  <si>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</si>
  <si>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</si>
  <si>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</si>
  <si>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</si>
  <si>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</si>
  <si>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</si>
  <si>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</si>
  <si>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</si>
  <si>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</si>
  <si>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</si>
  <si>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</si>
  <si>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</si>
  <si>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</si>
  <si>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</si>
  <si>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</si>
  <si>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</si>
  <si>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</si>
  <si>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</si>
  <si>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</si>
  <si>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</si>
  <si>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</si>
  <si>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</si>
  <si>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</si>
  <si>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</si>
  <si>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</si>
  <si>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</si>
  <si>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</si>
  <si>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</si>
  <si>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</si>
  <si>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</si>
  <si>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</si>
  <si>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</si>
  <si>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</si>
  <si>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</si>
  <si>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</si>
  <si>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</si>
  <si>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</si>
  <si>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</si>
  <si>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</si>
  <si>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</si>
  <si>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</si>
  <si>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</si>
  <si>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</si>
  <si>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</si>
  <si>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</si>
  <si>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</si>
  <si>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</si>
  <si>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</si>
  <si>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</si>
  <si>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</si>
  <si>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</si>
  <si>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</si>
  <si>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</si>
  <si>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</si>
  <si>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</si>
  <si>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</si>
  <si>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</si>
  <si>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</si>
  <si>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</si>
  <si>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</si>
  <si>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</si>
  <si>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</si>
  <si>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</si>
  <si>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</si>
  <si>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</si>
  <si>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</si>
  <si>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</si>
  <si>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</si>
  <si>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</si>
  <si>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</si>
  <si>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</si>
  <si>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</si>
  <si>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</si>
  <si>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</si>
  <si>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</si>
  <si>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</si>
  <si>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</si>
  <si>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</si>
  <si>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</si>
  <si>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</si>
  <si>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</si>
  <si>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</si>
  <si>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</si>
  <si>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</si>
  <si>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</si>
  <si>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</si>
  <si>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</si>
  <si>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</si>
  <si>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</si>
  <si>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</si>
  <si>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</si>
  <si>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</si>
  <si>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</si>
  <si>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</si>
  <si>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</si>
  <si>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</si>
  <si>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</si>
  <si>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</si>
  <si>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</si>
  <si>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</si>
  <si>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</si>
  <si>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</si>
  <si>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</si>
  <si>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</si>
  <si>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</si>
  <si>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</si>
  <si>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</si>
  <si>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</si>
  <si>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</si>
  <si>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</si>
  <si>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</si>
  <si>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</si>
  <si>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</si>
  <si>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</si>
  <si>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</si>
  <si>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</si>
  <si>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</si>
  <si>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</si>
  <si>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</si>
  <si>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</si>
  <si>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</si>
  <si>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</si>
  <si>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</si>
  <si>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</si>
  <si>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</si>
  <si>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</si>
  <si>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</si>
  <si>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</si>
  <si>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</si>
  <si>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</si>
  <si>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</si>
  <si>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</si>
  <si>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</si>
  <si>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</si>
  <si>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</si>
  <si>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</si>
  <si>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</si>
  <si>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</si>
  <si>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</si>
  <si>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</si>
  <si>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</si>
  <si>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</si>
  <si>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</si>
  <si>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</si>
  <si>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</si>
  <si>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</si>
  <si>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</si>
  <si>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</si>
  <si>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</si>
  <si>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</si>
  <si>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</si>
  <si>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</si>
  <si>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</si>
  <si>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</si>
  <si>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</si>
  <si>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</si>
  <si>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</si>
  <si>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</si>
  <si>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</si>
  <si>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</si>
  <si>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</si>
  <si>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</si>
  <si>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</si>
  <si>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</si>
  <si>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</si>
  <si>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</si>
  <si>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</si>
  <si>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</si>
  <si>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</si>
  <si>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</si>
  <si>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</si>
  <si>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</si>
  <si>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</si>
  <si>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</si>
  <si>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</si>
  <si>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</si>
  <si>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</si>
  <si>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</si>
  <si>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</si>
  <si>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</si>
  <si>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</si>
  <si>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</si>
  <si>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</si>
  <si>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</si>
  <si>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</si>
  <si>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</si>
  <si>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</si>
  <si>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</si>
  <si>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</si>
  <si>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</si>
  <si>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</si>
  <si>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</si>
  <si>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</si>
  <si>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</si>
  <si>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</si>
  <si>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</si>
  <si>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</si>
  <si>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</si>
  <si>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</si>
  <si>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</si>
  <si>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</si>
  <si>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</si>
  <si>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</si>
  <si>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</si>
  <si>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</si>
  <si>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</si>
  <si>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</si>
  <si>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</si>
  <si>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</si>
  <si>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</si>
  <si>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</si>
  <si>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</si>
  <si>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</si>
  <si>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</si>
  <si>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</si>
  <si>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</si>
  <si>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</si>
  <si>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</si>
  <si>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</si>
  <si>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</si>
  <si>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</si>
  <si>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</si>
  <si>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</si>
  <si>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</si>
  <si>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</si>
  <si>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</si>
  <si>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</si>
  <si>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</si>
  <si>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</si>
  <si>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</si>
  <si>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</si>
  <si>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</si>
  <si>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</si>
  <si>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</si>
  <si>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</si>
  <si>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</si>
  <si>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</si>
  <si>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</si>
  <si>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</si>
  <si>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</si>
  <si>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</si>
  <si>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</si>
  <si>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</si>
  <si>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</si>
  <si>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</si>
  <si>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</si>
  <si>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</si>
  <si>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</si>
  <si>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</si>
  <si>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</si>
  <si>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</si>
  <si>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</si>
  <si>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</si>
  <si>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</si>
  <si>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</si>
  <si>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</si>
  <si>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</si>
  <si>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</si>
  <si>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</si>
  <si>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</si>
  <si>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</si>
  <si>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</si>
  <si>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</si>
  <si>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</si>
  <si>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</si>
  <si>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</si>
  <si>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</si>
  <si>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</si>
  <si>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</si>
  <si>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</si>
  <si>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</si>
  <si>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</si>
  <si>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</si>
  <si>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</si>
  <si>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</si>
  <si>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</si>
  <si>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</si>
  <si>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</si>
  <si>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</si>
  <si>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</si>
  <si>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</si>
  <si>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</si>
  <si>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</si>
  <si>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</si>
  <si>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</si>
  <si>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</si>
  <si>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</si>
  <si>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</si>
  <si>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</si>
  <si>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</si>
  <si>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</si>
  <si>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</si>
  <si>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</si>
  <si>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</si>
  <si>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</si>
  <si>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</si>
  <si>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</si>
  <si>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</si>
  <si>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</si>
  <si>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</si>
  <si>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</si>
  <si>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</si>
  <si>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</si>
  <si>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</si>
  <si>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</si>
  <si>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</si>
  <si>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</si>
  <si>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</si>
  <si>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</si>
  <si>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</si>
  <si>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</si>
  <si>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</si>
  <si>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</si>
  <si>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</si>
  <si>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</si>
  <si>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</si>
  <si>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</si>
  <si>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</si>
  <si>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</si>
  <si>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</si>
  <si>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</si>
  <si>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</si>
  <si>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</si>
  <si>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</si>
  <si>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</si>
  <si>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</si>
  <si>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</si>
  <si>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</si>
  <si>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</si>
  <si>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</si>
  <si>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</si>
  <si>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</si>
  <si>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</si>
  <si>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</si>
  <si>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</si>
  <si>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</si>
  <si>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</si>
  <si>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</si>
  <si>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</si>
  <si>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</si>
  <si>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</si>
  <si>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</si>
  <si>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</si>
  <si>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</si>
  <si>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</si>
  <si>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</si>
  <si>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</si>
  <si>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</si>
  <si>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</si>
  <si>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</si>
  <si>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</si>
  <si>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</si>
  <si>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</si>
  <si>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</si>
  <si>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</si>
  <si>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</si>
  <si>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</si>
  <si>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</si>
  <si>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</si>
  <si>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</si>
  <si>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</si>
  <si>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</si>
  <si>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</si>
  <si>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</si>
  <si>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</si>
  <si>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</si>
  <si>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</si>
  <si>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</si>
  <si>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</si>
  <si>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</si>
  <si>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</si>
  <si>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</si>
  <si>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</si>
  <si>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</si>
  <si>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</si>
  <si>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</si>
  <si>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</si>
  <si>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</si>
  <si>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</si>
  <si>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</si>
  <si>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</si>
  <si>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</si>
  <si>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</si>
  <si>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</si>
  <si>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</si>
  <si>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</si>
  <si>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</si>
  <si>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</si>
  <si>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</si>
  <si>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</si>
  <si>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</si>
  <si>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</si>
  <si>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</si>
  <si>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</si>
  <si>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</si>
  <si>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</si>
  <si>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</si>
  <si>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</si>
  <si>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</si>
  <si>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</si>
  <si>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</si>
  <si>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</si>
  <si>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</si>
  <si>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</si>
  <si>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</si>
  <si>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</si>
  <si>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</si>
  <si>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</si>
  <si>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</si>
  <si>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</si>
  <si>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</si>
  <si>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</si>
  <si>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</si>
  <si>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</si>
  <si>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</si>
  <si>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</si>
  <si>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</si>
  <si>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</si>
  <si>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</si>
  <si>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</si>
  <si>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</si>
  <si>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</si>
  <si>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</si>
  <si>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</si>
  <si>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</si>
  <si>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</si>
  <si>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</si>
  <si>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</si>
  <si>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</si>
  <si>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</si>
  <si>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</si>
  <si>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</si>
  <si>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</si>
  <si>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</si>
  <si>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</si>
  <si>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</si>
  <si>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</si>
  <si>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</si>
  <si>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</si>
  <si>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</si>
  <si>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</si>
  <si>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</si>
  <si>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</si>
  <si>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</si>
  <si>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</si>
  <si>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</si>
  <si>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</si>
  <si>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</si>
  <si>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</si>
  <si>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</si>
  <si>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</si>
  <si>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</si>
  <si>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</si>
  <si>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</si>
  <si>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</si>
  <si>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</si>
  <si>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</si>
  <si>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</si>
  <si>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</si>
  <si>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</si>
  <si>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</si>
  <si>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</si>
  <si>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</si>
  <si>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</si>
  <si>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</si>
  <si>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</si>
  <si>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</si>
  <si>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</si>
  <si>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</si>
  <si>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</si>
  <si>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</si>
  <si>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</si>
  <si>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</si>
  <si>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</si>
  <si>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</si>
  <si>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</si>
  <si>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</si>
  <si>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</si>
  <si>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</si>
  <si>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</si>
  <si>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</si>
  <si>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</si>
  <si>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</si>
  <si>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</si>
  <si>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</si>
  <si>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</si>
  <si>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</si>
  <si>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</si>
  <si>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</si>
  <si>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</si>
  <si>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</si>
  <si>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</si>
  <si>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</si>
  <si>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</si>
  <si>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</si>
  <si>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</si>
  <si>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</si>
  <si>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</si>
  <si>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</si>
  <si>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</si>
  <si>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</si>
  <si>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</si>
  <si>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</si>
  <si>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</si>
  <si>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</si>
  <si>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</si>
  <si>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</si>
  <si>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</si>
  <si>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</si>
  <si>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</si>
  <si>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</si>
  <si>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</si>
  <si>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</si>
  <si>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</si>
  <si>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</si>
  <si>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</si>
  <si>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</si>
  <si>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</si>
  <si>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</si>
  <si>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</si>
  <si>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</si>
  <si>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</si>
  <si>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</si>
  <si>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</si>
  <si>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</si>
  <si>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</si>
  <si>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</si>
  <si>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</si>
  <si>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</si>
  <si>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</si>
  <si>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</si>
  <si>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</si>
  <si>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</si>
  <si>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</si>
  <si>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</si>
  <si>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</si>
  <si>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</si>
  <si>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</si>
  <si>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</si>
  <si>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</si>
  <si>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</si>
  <si>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</si>
  <si>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</si>
  <si>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</si>
  <si>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</si>
  <si>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</si>
  <si>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</si>
  <si>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</si>
  <si>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</si>
  <si>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</si>
  <si>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</si>
  <si>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</si>
  <si>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</si>
  <si>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</si>
  <si>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</si>
  <si>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</si>
  <si>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</si>
  <si>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</si>
  <si>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</si>
  <si>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</si>
  <si>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</si>
  <si>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</si>
  <si>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</si>
  <si>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</si>
  <si>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</si>
  <si>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</si>
  <si>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</si>
  <si>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</si>
  <si>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</si>
  <si>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</si>
  <si>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</si>
  <si>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</si>
  <si>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</si>
  <si>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</si>
  <si>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</si>
  <si>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</si>
  <si>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</si>
  <si>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</si>
  <si>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</si>
  <si>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</si>
  <si>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</si>
  <si>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</si>
  <si>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</si>
  <si>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</si>
  <si>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</si>
  <si>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</si>
  <si>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</si>
  <si>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</si>
  <si>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</si>
  <si>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</si>
  <si>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</si>
  <si>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</si>
  <si>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</si>
  <si>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</si>
  <si>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</si>
  <si>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</si>
  <si>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</si>
  <si>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</si>
  <si>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</si>
  <si>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</si>
  <si>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</si>
  <si>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</si>
  <si>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</si>
  <si>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</si>
  <si>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</si>
  <si>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</si>
  <si>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</si>
  <si>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</si>
  <si>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</si>
  <si>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</si>
  <si>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</si>
  <si>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</si>
  <si>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</si>
  <si>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</si>
  <si>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</si>
  <si>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</si>
  <si>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</si>
  <si>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</si>
  <si>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</si>
  <si>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</si>
  <si>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</si>
  <si>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</si>
  <si>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</si>
  <si>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</si>
  <si>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</si>
  <si>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</si>
  <si>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</si>
  <si>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</si>
  <si>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</si>
  <si>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</si>
  <si>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</si>
  <si>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</si>
  <si>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</si>
  <si>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</si>
  <si>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</si>
  <si>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</si>
  <si>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</si>
  <si>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</si>
  <si>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</si>
  <si>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</si>
  <si>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</si>
  <si>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</si>
  <si>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</si>
  <si>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</si>
  <si>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</si>
  <si>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</si>
  <si>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</si>
  <si>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</si>
  <si>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</si>
  <si>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</si>
  <si>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</si>
  <si>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</si>
  <si>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</si>
  <si>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</si>
  <si>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</si>
  <si>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</si>
  <si>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</si>
  <si>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</si>
  <si>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</si>
  <si>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</si>
  <si>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</si>
  <si>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</si>
  <si>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</si>
  <si>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</si>
  <si>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</si>
  <si>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</si>
  <si>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</si>
  <si>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</si>
  <si>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</si>
  <si>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</si>
  <si>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</si>
  <si>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</si>
  <si>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</si>
  <si>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</si>
  <si>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</si>
  <si>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</si>
  <si>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</si>
  <si>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</si>
  <si>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</si>
  <si>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</si>
  <si>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</si>
  <si>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</si>
  <si>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</si>
  <si>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</si>
  <si>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</si>
  <si>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</si>
  <si>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</si>
  <si>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</si>
  <si>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</si>
  <si>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</si>
  <si>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</si>
  <si>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</si>
  <si>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</si>
  <si>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</si>
  <si>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</si>
  <si>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</si>
  <si>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</si>
  <si>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</si>
  <si>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</si>
  <si>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</si>
  <si>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</si>
  <si>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</si>
  <si>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</si>
  <si>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</si>
  <si>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</si>
  <si>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</si>
  <si>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</si>
  <si>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</si>
  <si>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</si>
  <si>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</si>
  <si>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</si>
  <si>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</si>
  <si>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</si>
  <si>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</si>
  <si>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</si>
  <si>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</si>
  <si>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</si>
  <si>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</si>
  <si>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</si>
  <si>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</si>
  <si>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</si>
  <si>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</si>
  <si>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</si>
  <si>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</si>
  <si>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</si>
  <si>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</si>
  <si>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</si>
  <si>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</si>
  <si>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</si>
  <si>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</si>
  <si>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</si>
  <si>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</si>
  <si>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</si>
  <si>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</si>
  <si>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</si>
  <si>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</si>
  <si>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</si>
  <si>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</si>
  <si>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</si>
  <si>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</si>
  <si>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</si>
  <si>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</si>
  <si>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</si>
  <si>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</si>
  <si>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</si>
  <si>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</si>
  <si>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</si>
  <si>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</si>
  <si>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</si>
  <si>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</si>
  <si>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</si>
  <si>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</si>
  <si>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</si>
  <si>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</si>
  <si>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</si>
  <si>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</si>
  <si>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</si>
  <si>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</si>
  <si>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</si>
  <si>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</si>
  <si>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</si>
  <si>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</si>
  <si>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</si>
  <si>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</si>
  <si>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</si>
  <si>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</si>
  <si>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</si>
  <si>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</si>
  <si>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</si>
  <si>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</si>
  <si>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</si>
  <si>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</si>
  <si>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</si>
  <si>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</si>
  <si>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</si>
  <si>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</si>
  <si>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</si>
  <si>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</si>
  <si>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</si>
  <si>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</si>
  <si>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</si>
  <si>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</si>
  <si>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</si>
  <si>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</si>
  <si>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</si>
  <si>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</si>
  <si>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</si>
  <si>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</si>
  <si>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</si>
  <si>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</si>
  <si>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</si>
  <si>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</si>
  <si>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</si>
  <si>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</si>
  <si>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</si>
  <si>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</si>
  <si>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</si>
  <si>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</si>
  <si>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</si>
  <si>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</si>
  <si>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</si>
  <si>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</si>
  <si>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</si>
  <si>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</si>
  <si>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</si>
  <si>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</si>
  <si>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</si>
  <si>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</si>
  <si>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</si>
  <si>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</si>
  <si>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</si>
  <si>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</si>
  <si>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</si>
  <si>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</si>
  <si>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</si>
  <si>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</si>
  <si>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</si>
  <si>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</si>
  <si>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</si>
  <si>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</si>
  <si>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</si>
  <si>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</si>
  <si>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</si>
  <si>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</si>
  <si>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</si>
  <si>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</si>
  <si>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</si>
  <si>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</si>
  <si>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</si>
  <si>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</si>
  <si>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</si>
  <si>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</si>
  <si>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</si>
  <si>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</si>
  <si>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</si>
  <si>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</si>
  <si>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</si>
  <si>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</si>
  <si>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</si>
  <si>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</si>
  <si>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</si>
  <si>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</si>
  <si>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</si>
  <si>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</si>
  <si>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</si>
  <si>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</si>
  <si>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</si>
  <si>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</si>
  <si>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</si>
  <si>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</si>
  <si>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</si>
  <si>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</si>
  <si>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</si>
  <si>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</si>
  <si>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</si>
  <si>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</si>
  <si>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</si>
  <si>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</si>
  <si>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</si>
  <si>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</si>
  <si>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</si>
  <si>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</si>
  <si>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</si>
  <si>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</si>
  <si>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</si>
  <si>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</si>
  <si>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</si>
  <si>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</si>
  <si>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</si>
  <si>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</si>
  <si>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</si>
  <si>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</si>
  <si>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</si>
  <si>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</si>
  <si>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</si>
  <si>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</si>
  <si>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</si>
  <si>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</si>
  <si>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</si>
  <si>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</si>
  <si>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</si>
  <si>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</si>
  <si>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</si>
  <si>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</si>
  <si>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</si>
  <si>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</si>
  <si>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</si>
  <si>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</si>
  <si>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</si>
  <si>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</si>
  <si>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</si>
  <si>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</si>
  <si>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</si>
  <si>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</si>
  <si>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</si>
  <si>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</si>
  <si>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</si>
  <si>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</si>
  <si>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</si>
  <si>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</si>
  <si>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</si>
  <si>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</si>
  <si>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</si>
  <si>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</si>
  <si>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</si>
  <si>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</si>
  <si>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</si>
  <si>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</si>
  <si>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</si>
  <si>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</si>
  <si>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</si>
  <si>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</si>
  <si>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</si>
  <si>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</si>
  <si>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</si>
  <si>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</si>
  <si>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</si>
  <si>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</si>
  <si>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</si>
  <si>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</si>
  <si>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</si>
  <si>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</si>
  <si>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</si>
  <si>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</si>
  <si>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</si>
  <si>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</si>
  <si>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</si>
  <si>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</si>
  <si>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</si>
  <si>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</si>
  <si>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</si>
  <si>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</si>
  <si>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</si>
  <si>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</si>
  <si>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</si>
  <si>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</si>
  <si>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</si>
  <si>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</si>
  <si>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</si>
  <si>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</si>
  <si>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</si>
  <si>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</si>
  <si>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</si>
  <si>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</si>
  <si>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</si>
  <si>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</si>
  <si>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</si>
  <si>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</si>
  <si>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</si>
  <si>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</si>
  <si>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</si>
  <si>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</si>
  <si>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</si>
  <si>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</si>
  <si>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</si>
  <si>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</si>
  <si>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</si>
  <si>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</si>
  <si>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</si>
  <si>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</si>
  <si>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</si>
  <si>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</si>
  <si>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</si>
  <si>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</si>
  <si>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</si>
  <si>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</si>
  <si>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</si>
  <si>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</si>
  <si>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</si>
  <si>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</si>
  <si>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</si>
  <si>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</si>
  <si>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</si>
  <si>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</si>
  <si>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</si>
  <si>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</si>
  <si>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</si>
  <si>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</si>
  <si>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</si>
  <si>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</si>
  <si>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</si>
  <si>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</si>
  <si>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</si>
  <si>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</si>
  <si>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</si>
  <si>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</si>
  <si>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</si>
  <si>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</si>
  <si>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</si>
  <si>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</si>
  <si>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</si>
  <si>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</si>
  <si>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</si>
  <si>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</si>
  <si>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</si>
  <si>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</si>
  <si>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</si>
  <si>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</si>
  <si>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</si>
  <si>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</si>
  <si>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</si>
  <si>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</si>
  <si>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</si>
  <si>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</si>
  <si>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</si>
  <si>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</si>
  <si>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</si>
  <si>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</si>
  <si>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</si>
  <si>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</si>
  <si>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</si>
  <si>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</si>
  <si>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</si>
  <si>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</si>
  <si>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</si>
  <si>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</si>
  <si>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</si>
  <si>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</si>
  <si>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</si>
  <si>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</si>
  <si>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</si>
  <si>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</si>
  <si>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</si>
  <si>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</si>
  <si>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</si>
  <si>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</si>
  <si>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</si>
  <si>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</si>
  <si>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</si>
  <si>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</si>
  <si>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</si>
  <si>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</si>
  <si>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</si>
  <si>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</si>
  <si>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</si>
  <si>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</si>
  <si>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</si>
  <si>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</si>
  <si>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</si>
  <si>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</si>
  <si>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</si>
  <si>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</si>
  <si>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</si>
  <si>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</si>
  <si>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</si>
  <si>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</si>
  <si>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</si>
  <si>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</si>
  <si>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</si>
  <si>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</si>
  <si>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</si>
  <si>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</si>
  <si>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</si>
  <si>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</si>
  <si>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</si>
  <si>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</si>
  <si>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</si>
  <si>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</si>
  <si>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</si>
  <si>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</si>
  <si>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</si>
  <si>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</si>
  <si>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</si>
  <si>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</si>
  <si>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</si>
  <si>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</si>
  <si>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</si>
  <si>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</si>
  <si>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</si>
  <si>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</si>
  <si>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</si>
  <si>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</si>
  <si>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</si>
  <si>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</si>
  <si>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</si>
  <si>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</si>
  <si>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</si>
  <si>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</si>
  <si>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</si>
  <si>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</si>
  <si>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</si>
  <si>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</si>
  <si>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</si>
  <si>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</si>
  <si>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</si>
  <si>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</si>
  <si>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</si>
  <si>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</si>
  <si>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</si>
  <si>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</si>
  <si>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</si>
  <si>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</si>
  <si>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</si>
  <si>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</si>
  <si>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</si>
  <si>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</si>
  <si>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</si>
  <si>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</si>
  <si>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</si>
  <si>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</si>
  <si>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</si>
  <si>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</si>
  <si>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</si>
  <si>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</si>
  <si>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</si>
  <si>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</si>
  <si>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</si>
  <si>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</si>
  <si>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</si>
  <si>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</si>
  <si>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</si>
  <si>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</si>
  <si>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</si>
  <si>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</si>
  <si>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</si>
  <si>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</si>
  <si>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</si>
  <si>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</si>
  <si>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</si>
  <si>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</si>
  <si>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</si>
  <si>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</si>
  <si>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</si>
  <si>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</si>
  <si>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</si>
  <si>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</si>
  <si>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</si>
  <si>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</si>
  <si>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</si>
  <si>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</si>
  <si>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</si>
  <si>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</si>
  <si>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</si>
  <si>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</si>
  <si>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</si>
  <si>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</si>
  <si>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</si>
  <si>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</si>
  <si>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</si>
  <si>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</si>
  <si>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</si>
  <si>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</si>
  <si>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</si>
  <si>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</si>
  <si>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</si>
  <si>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</si>
  <si>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</si>
  <si>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</si>
  <si>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</si>
  <si>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</si>
  <si>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</si>
  <si>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</si>
  <si>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</si>
  <si>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</si>
  <si>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</si>
  <si>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</si>
  <si>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</si>
  <si>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</si>
  <si>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</si>
  <si>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</si>
  <si>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</si>
  <si>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</si>
  <si>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</si>
  <si>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</si>
  <si>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</si>
  <si>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</si>
  <si>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</si>
  <si>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</si>
  <si>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</si>
  <si>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</si>
  <si>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</si>
  <si>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</si>
  <si>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</si>
  <si>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</si>
  <si>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</si>
  <si>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</si>
  <si>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</si>
  <si>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</si>
  <si>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</si>
  <si>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</si>
  <si>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</si>
  <si>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</si>
  <si>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</si>
  <si>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</si>
  <si>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</si>
  <si>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</si>
  <si>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</si>
  <si>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</si>
  <si>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</si>
  <si>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</si>
  <si>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</si>
  <si>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</si>
  <si>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</si>
  <si>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</si>
  <si>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</si>
  <si>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</si>
  <si>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</si>
  <si>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</si>
  <si>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</si>
  <si>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</si>
  <si>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</si>
  <si>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</si>
  <si>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</si>
  <si>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</si>
  <si>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</si>
  <si>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</si>
  <si>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</si>
  <si>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</si>
  <si>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</si>
  <si>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</si>
  <si>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</si>
  <si>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</si>
  <si>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</si>
  <si>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</si>
  <si>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</si>
  <si>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</si>
  <si>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</si>
  <si>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</si>
  <si>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</si>
  <si>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</si>
  <si>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</si>
  <si>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</si>
  <si>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</si>
  <si>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</si>
  <si>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</si>
  <si>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</si>
  <si>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</si>
  <si>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</si>
  <si>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</si>
  <si>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</si>
  <si>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</si>
  <si>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</si>
  <si>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</si>
  <si>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</si>
  <si>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</si>
  <si>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</si>
  <si>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</si>
  <si>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</si>
  <si>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</si>
  <si>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</si>
  <si>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</si>
  <si>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</si>
  <si>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</si>
  <si>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</si>
  <si>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</si>
  <si>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</si>
  <si>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</si>
  <si>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</si>
  <si>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</si>
  <si>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</si>
  <si>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</si>
  <si>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</si>
  <si>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</si>
  <si>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</si>
  <si>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</si>
  <si>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</si>
  <si>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</si>
  <si>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</si>
  <si>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</si>
  <si>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</si>
  <si>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</si>
  <si>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</si>
  <si>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</si>
  <si>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</si>
  <si>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</si>
  <si>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</si>
  <si>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</si>
  <si>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</si>
  <si>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</si>
  <si>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</si>
  <si>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</si>
  <si>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</si>
  <si>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</si>
  <si>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</si>
  <si>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</si>
  <si>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</si>
  <si>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</si>
  <si>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</si>
  <si>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</si>
  <si>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</si>
  <si>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</si>
  <si>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</si>
  <si>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</si>
  <si>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</si>
  <si>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</si>
  <si>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</si>
  <si>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</si>
  <si>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</si>
  <si>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</si>
  <si>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</si>
  <si>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</si>
  <si>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</si>
  <si>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</si>
  <si>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</si>
  <si>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</si>
  <si>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</si>
  <si>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</si>
  <si>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</si>
  <si>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</si>
  <si>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</si>
  <si>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</si>
  <si>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</si>
  <si>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</si>
  <si>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</si>
  <si>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</si>
  <si>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</si>
  <si>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</si>
  <si>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</si>
  <si>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</si>
  <si>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</si>
  <si>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</si>
  <si>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</si>
  <si>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</si>
  <si>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</si>
  <si>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</si>
  <si>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</si>
  <si>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</si>
  <si>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</si>
  <si>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</si>
  <si>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</si>
  <si>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</si>
  <si>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</si>
  <si>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</si>
  <si>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</si>
  <si>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</si>
  <si>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</si>
  <si>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</si>
  <si>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</si>
  <si>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</si>
  <si>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</si>
  <si>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</si>
  <si>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</si>
  <si>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</si>
  <si>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</si>
  <si>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</si>
  <si>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</si>
  <si>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</si>
  <si>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</si>
  <si>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</si>
  <si>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</si>
  <si>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</si>
  <si>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</si>
  <si>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</si>
  <si>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</si>
  <si>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</si>
  <si>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</si>
  <si>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</si>
  <si>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</si>
  <si>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</si>
  <si>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</si>
  <si>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</si>
  <si>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</si>
  <si>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</si>
  <si>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</si>
  <si>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</si>
  <si>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</si>
  <si>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</si>
  <si>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</si>
  <si>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</si>
  <si>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</si>
  <si>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</si>
  <si>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</si>
  <si>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</si>
  <si>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</si>
  <si>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</si>
  <si>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</si>
  <si>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</si>
  <si>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</si>
  <si>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</si>
  <si>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</si>
  <si>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</si>
  <si>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</si>
  <si>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</si>
  <si>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</si>
  <si>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</si>
  <si>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</si>
  <si>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</si>
  <si>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</si>
  <si>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</si>
  <si>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</si>
  <si>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</si>
  <si>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</si>
  <si>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</si>
  <si>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</si>
  <si>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</si>
  <si>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r>
      <rPr>
        <sz val="10"/>
        <color theme="9" tint="-0.249977111117893"/>
        <rFont val="宋体"/>
        <family val="3"/>
        <charset val="134"/>
      </rPr>
      <t>丰台区西三环南路</t>
    </r>
    <r>
      <rPr>
        <sz val="10"/>
        <color theme="9" tint="-0.249977111117893"/>
        <rFont val="Arial"/>
        <family val="2"/>
      </rPr>
      <t>16</t>
    </r>
    <r>
      <rPr>
        <sz val="10"/>
        <color theme="9" tint="-0.249977111117893"/>
        <rFont val="宋体"/>
        <family val="3"/>
        <charset val="134"/>
      </rPr>
      <t>号</t>
    </r>
    <phoneticPr fontId="6" type="noConversion"/>
  </si>
  <si>
    <t>是</t>
  </si>
  <si>
    <t>地上</t>
  </si>
  <si>
    <t>独立商业</t>
  </si>
  <si>
    <t>测绘报告</t>
    <phoneticPr fontId="134" type="noConversion"/>
  </si>
  <si>
    <t>便民市场及便民服务中心</t>
    <phoneticPr fontId="134" type="noConversion"/>
  </si>
  <si>
    <t>地下车库</t>
    <phoneticPr fontId="134" type="noConversion"/>
  </si>
  <si>
    <t>管理用房</t>
    <phoneticPr fontId="134" type="noConversion"/>
  </si>
  <si>
    <t>商业</t>
    <phoneticPr fontId="134" type="noConversion"/>
  </si>
  <si>
    <t>体育设施</t>
    <phoneticPr fontId="134" type="noConversion"/>
  </si>
  <si>
    <t>教育培训</t>
    <phoneticPr fontId="134" type="noConversion"/>
  </si>
  <si>
    <t>冰场及其附属设施</t>
    <phoneticPr fontId="134" type="noConversion"/>
  </si>
  <si>
    <t>自行车库</t>
    <phoneticPr fontId="134" type="noConversion"/>
  </si>
  <si>
    <t>小计</t>
    <phoneticPr fontId="134" type="noConversion"/>
  </si>
  <si>
    <t>人防</t>
    <phoneticPr fontId="134" type="noConversion"/>
  </si>
  <si>
    <t>B3层</t>
    <phoneticPr fontId="134" type="noConversion"/>
  </si>
  <si>
    <t>B2层</t>
    <phoneticPr fontId="134" type="noConversion"/>
  </si>
  <si>
    <t>B101</t>
    <phoneticPr fontId="134" type="noConversion"/>
  </si>
  <si>
    <t>B102</t>
  </si>
  <si>
    <t>B103</t>
  </si>
  <si>
    <t>B104</t>
  </si>
  <si>
    <t>人防</t>
    <phoneticPr fontId="134" type="noConversion"/>
  </si>
  <si>
    <t>地下</t>
  </si>
  <si>
    <t>商业</t>
    <phoneticPr fontId="7" type="noConversion"/>
  </si>
  <si>
    <t>车库</t>
    <phoneticPr fontId="7" type="noConversion"/>
  </si>
  <si>
    <t>商务金融用地</t>
  </si>
  <si>
    <t>不临65条商业街</t>
  </si>
  <si>
    <t>与级别开发程度不一致</t>
  </si>
  <si>
    <t>通路</t>
  </si>
  <si>
    <t>通电</t>
  </si>
  <si>
    <t>通讯</t>
  </si>
  <si>
    <t>通上水</t>
  </si>
  <si>
    <t>通下水</t>
  </si>
  <si>
    <t>燃气</t>
  </si>
  <si>
    <t>楼层修正</t>
  </si>
  <si>
    <t>利息：取LPR加浮动点数</t>
  </si>
  <si>
    <t>一般</t>
  </si>
  <si>
    <t>较好</t>
  </si>
  <si>
    <t>未包含在土地购买价格中</t>
  </si>
  <si>
    <t>全部缴纳</t>
  </si>
  <si>
    <t>已包含在土地取得成本中</t>
  </si>
  <si>
    <t>成本法</t>
  </si>
  <si>
    <t>测绘报告最新</t>
    <phoneticPr fontId="134" type="noConversion"/>
  </si>
  <si>
    <t>1#商业楼</t>
    <phoneticPr fontId="134" type="noConversion"/>
  </si>
  <si>
    <t>教育培训</t>
    <phoneticPr fontId="134" type="noConversion"/>
  </si>
  <si>
    <t>商业</t>
    <phoneticPr fontId="134" type="noConversion"/>
  </si>
  <si>
    <t>体育设施</t>
    <phoneticPr fontId="134" type="noConversion"/>
  </si>
  <si>
    <t>管理用房</t>
    <phoneticPr fontId="134" type="noConversion"/>
  </si>
  <si>
    <t>设备用房</t>
    <phoneticPr fontId="134" type="noConversion"/>
  </si>
  <si>
    <t>小计</t>
    <phoneticPr fontId="134" type="noConversion"/>
  </si>
  <si>
    <t>2#汽车库</t>
    <phoneticPr fontId="134" type="noConversion"/>
  </si>
  <si>
    <t>人防</t>
    <phoneticPr fontId="134" type="noConversion"/>
  </si>
  <si>
    <t>便民市场</t>
    <phoneticPr fontId="134" type="noConversion"/>
  </si>
  <si>
    <t>便民服务中心</t>
    <phoneticPr fontId="134" type="noConversion"/>
  </si>
  <si>
    <t>冰场及其附属设施</t>
    <phoneticPr fontId="134" type="noConversion"/>
  </si>
  <si>
    <t>自行车库</t>
    <phoneticPr fontId="134" type="noConversion"/>
  </si>
  <si>
    <t>非人防汽车库</t>
    <phoneticPr fontId="134" type="noConversion"/>
  </si>
  <si>
    <t>设备用房</t>
    <phoneticPr fontId="134" type="noConversion"/>
  </si>
  <si>
    <t>未找到地上面积</t>
    <phoneticPr fontId="134" type="noConversion"/>
  </si>
  <si>
    <t>地下</t>
    <phoneticPr fontId="134" type="noConversion"/>
  </si>
  <si>
    <t>地上</t>
    <phoneticPr fontId="134" type="noConversion"/>
  </si>
  <si>
    <t>成新度</t>
  </si>
  <si>
    <t>收益法</t>
  </si>
  <si>
    <t>收益法-车库</t>
  </si>
  <si>
    <t>收益法-车库</t>
    <phoneticPr fontId="16" type="noConversion"/>
  </si>
  <si>
    <t>押一</t>
  </si>
  <si>
    <t>钢混</t>
  </si>
  <si>
    <t>非生产用房</t>
  </si>
  <si>
    <t>自定义</t>
  </si>
  <si>
    <t>自定义容积率</t>
  </si>
  <si>
    <t>收益法（汇总）</t>
  </si>
  <si>
    <t>总价</t>
  </si>
  <si>
    <t>成本比率</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</si>
  <si>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</si>
  <si>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</si>
  <si>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</si>
  <si>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</si>
  <si>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</si>
  <si>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</si>
  <si>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</si>
  <si>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</si>
  <si>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</si>
  <si>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</si>
  <si>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</si>
  <si>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</si>
  <si>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</si>
  <si>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</si>
  <si>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楼面单价</t>
  </si>
  <si>
    <t>2021年1月</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</si>
  <si>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</si>
  <si>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</si>
  <si>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</si>
  <si>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</si>
  <si>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</si>
  <si>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</si>
  <si>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</si>
  <si>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</si>
  <si>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</si>
  <si>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</si>
  <si>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</si>
  <si>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</si>
  <si>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</si>
  <si>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</si>
  <si>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</si>
  <si>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</si>
  <si>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</si>
  <si>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</si>
  <si>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</si>
  <si>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</si>
  <si>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</si>
  <si>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</si>
  <si>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</si>
  <si>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</si>
  <si>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</si>
  <si>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</si>
  <si>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</si>
  <si>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</si>
  <si>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</si>
  <si>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</si>
  <si>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</si>
  <si>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</si>
  <si>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</si>
  <si>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</si>
  <si>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</si>
  <si>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</si>
  <si>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</si>
  <si>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t>ACR 安狮资产</t>
  </si>
  <si>
    <t>新世界燕京大厦</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</si>
  <si>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</si>
  <si>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</si>
  <si>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</si>
  <si>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</si>
  <si>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</si>
  <si>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</si>
  <si>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</si>
  <si>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</si>
  <si>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</si>
  <si>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</si>
  <si>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</si>
  <si>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</si>
  <si>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</si>
  <si>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</si>
  <si>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</si>
  <si>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</si>
  <si>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</si>
  <si>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phoneticPr fontId="134" type="noConversion"/>
  </si>
  <si>
    <t>中关村集成电路设计发展</t>
  </si>
  <si>
    <t>声讯控股</t>
  </si>
  <si>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</si>
  <si>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</si>
  <si>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</si>
  <si>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</si>
  <si>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</si>
  <si>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</si>
  <si>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</si>
  <si>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</si>
  <si>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</si>
  <si>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</si>
  <si>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</si>
  <si>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</si>
  <si>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t>平安人寿</t>
  </si>
  <si>
    <t>2021年7月</t>
  </si>
  <si>
    <t>世茂工三</t>
  </si>
  <si>
    <t>北京产交所</t>
  </si>
  <si>
    <t>北京卓睿物业管理有限公司</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</si>
  <si>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</si>
  <si>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</si>
  <si>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</si>
  <si>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</si>
  <si>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</si>
  <si>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</si>
  <si>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</si>
  <si>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</si>
  <si>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</si>
  <si>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</si>
  <si>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</si>
  <si>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</si>
  <si>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</si>
  <si>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</si>
  <si>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</si>
  <si>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</si>
  <si>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</si>
  <si>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</si>
  <si>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</si>
  <si>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京投发展、万科</t>
  </si>
  <si>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</si>
  <si>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</si>
  <si>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</si>
  <si>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</si>
  <si>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</si>
  <si>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</si>
  <si>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</si>
  <si>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</si>
  <si>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</si>
  <si>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</si>
  <si>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</si>
  <si>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phoneticPr fontId="134" type="noConversion"/>
  </si>
  <si>
    <t>西城区</t>
  </si>
  <si>
    <t>金融街控股</t>
  </si>
  <si>
    <t>凯龙瑞</t>
    <phoneticPr fontId="134" type="noConversion"/>
  </si>
  <si>
    <t>博瑞大厦</t>
    <phoneticPr fontId="134" type="noConversion"/>
  </si>
  <si>
    <t>朝阳区</t>
    <phoneticPr fontId="134" type="noConversion"/>
  </si>
  <si>
    <t>拍卖</t>
    <phoneticPr fontId="134" type="noConversion"/>
  </si>
  <si>
    <t>北京特尔特物业发展有限公司</t>
    <phoneticPr fontId="134" type="noConversion"/>
  </si>
  <si>
    <t>凯德中国</t>
    <phoneticPr fontId="134" type="noConversion"/>
  </si>
  <si>
    <t>办公</t>
    <phoneticPr fontId="134" type="noConversion"/>
  </si>
  <si>
    <t>远洋锐中心</t>
    <phoneticPr fontId="134" type="noConversion"/>
  </si>
  <si>
    <t>丰台区</t>
    <phoneticPr fontId="134" type="noConversion"/>
  </si>
  <si>
    <t>境内股权</t>
    <phoneticPr fontId="134" type="noConversion"/>
  </si>
  <si>
    <t>远洋集团</t>
    <phoneticPr fontId="134" type="noConversion"/>
  </si>
  <si>
    <t>中国平安人寿</t>
    <phoneticPr fontId="134" type="noConversion"/>
  </si>
  <si>
    <t>京投</t>
  </si>
  <si>
    <r>
      <t>地上4</t>
    </r>
    <r>
      <rPr>
        <sz val="10"/>
        <color rgb="FFFF0000"/>
        <rFont val="宋体"/>
        <family val="3"/>
        <charset val="134"/>
        <scheme val="minor"/>
      </rPr>
      <t>2层地下5层</t>
    </r>
    <phoneticPr fontId="134" type="noConversion"/>
  </si>
  <si>
    <t>办公</t>
    <phoneticPr fontId="30" type="noConversion"/>
  </si>
  <si>
    <t>商业</t>
    <phoneticPr fontId="30" type="noConversion"/>
  </si>
  <si>
    <t>京投万科西华府</t>
    <phoneticPr fontId="134" type="noConversion"/>
  </si>
  <si>
    <t>丰科中心</t>
    <phoneticPr fontId="134" type="noConversion"/>
  </si>
  <si>
    <t>鹰腾大厦</t>
    <phoneticPr fontId="134" type="noConversion"/>
  </si>
  <si>
    <t>项目模式</t>
  </si>
  <si>
    <t>售价</t>
  </si>
  <si>
    <t>首科大厦</t>
    <phoneticPr fontId="134" type="noConversion"/>
  </si>
  <si>
    <t>办公</t>
    <phoneticPr fontId="134" type="noConversion"/>
  </si>
  <si>
    <t>售价</t>
    <phoneticPr fontId="134" type="noConversion"/>
  </si>
  <si>
    <r>
      <t>4</t>
    </r>
    <r>
      <rPr>
        <sz val="11"/>
        <color theme="1"/>
        <rFont val="宋体"/>
        <family val="3"/>
        <charset val="134"/>
        <scheme val="minor"/>
      </rPr>
      <t>.4万</t>
    </r>
    <phoneticPr fontId="134" type="noConversion"/>
  </si>
  <si>
    <t>租金</t>
    <phoneticPr fontId="134" type="noConversion"/>
  </si>
  <si>
    <t>6-6.5元</t>
    <phoneticPr fontId="134" type="noConversion"/>
  </si>
  <si>
    <t>周边商业</t>
    <phoneticPr fontId="134" type="noConversion"/>
  </si>
  <si>
    <r>
      <t>7</t>
    </r>
    <r>
      <rPr>
        <sz val="11"/>
        <color theme="1"/>
        <rFont val="宋体"/>
        <family val="3"/>
        <charset val="134"/>
        <scheme val="minor"/>
      </rPr>
      <t>-10元</t>
    </r>
    <phoneticPr fontId="134" type="noConversion"/>
  </si>
  <si>
    <t>6-8万</t>
    <phoneticPr fontId="134" type="noConversion"/>
  </si>
  <si>
    <t>租金</t>
    <phoneticPr fontId="3" type="noConversion"/>
  </si>
  <si>
    <t>建筑面积</t>
    <phoneticPr fontId="3" type="noConversion"/>
  </si>
  <si>
    <t>地上</t>
    <phoneticPr fontId="3" type="noConversion"/>
  </si>
  <si>
    <t>地下</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</si>
</sst>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宋体"/>
      <family val="3"/>
      <charset val="134"/>
      <scheme val="minor"/>
    </font>
    <font>
      <sz val="10"/>
      <color rgb="FF00B0F0"/>
      <name val="宋体"/>
      <family val="3"/>
      <charset val="134"/>
      <scheme val="minor"/>
    </font>
    <font>
      <sz val="10"/>
      <name val="宋体"/>
      <family val="3"/>
      <charset val="134"/>
      <scheme val="minor"/>
    </font>
    <font>
      <sz val="10"/>
      <color rgb="FFFFC000"/>
      <name val="宋体"/>
      <family val="3"/>
      <charset val="134"/>
      <scheme val="minor"/>
    </font>
    <font>
      <sz val="10"/>
      <color rgb="FF92D050"/>
      <name val="宋体"/>
      <family val="3"/>
      <charset val="134"/>
      <scheme val="minor"/>
    </font>
    <font>
      <sz val="10"/>
      <color theme="5"/>
      <name val="宋体"/>
      <family val="3"/>
      <charset val="134"/>
      <scheme val="minor"/>
    </font>
    <font>
      <sz val="11"/>
      <color rgb="FFFF0000"/>
      <name val="宋体"/>
      <family val="3"/>
      <charset val="134"/>
      <scheme val="minor"/>
    </font>
    <font>
      <b/>
      <sz val="8"/>
      <name val="KaiTi"/>
      <family val="3"/>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name val="宋体"/>
      <family val="3"/>
      <charset val="134"/>
      <scheme val="minor"/>
    </font>
    <font>
      <sz val="8"/>
      <color rgb="FFFF0000"/>
      <name val="KaiTi"/>
      <family val="3"/>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7" fillId="0" borderId="0" xfId="0" applyFont="1">
      <alignment vertical="center"/>
    </xf>
    <xf numFmtId="0" fontId="107" fillId="0" borderId="0" xfId="0" applyFont="1" applyAlignment="1">
      <alignment horizontal="left" vertical="center"/>
    </xf>
    <xf numFmtId="0" fontId="269" fillId="0" borderId="0" xfId="0" applyFont="1" applyAlignment="1">
      <alignment horizontal="left" vertical="center"/>
    </xf>
    <xf numFmtId="0" fontId="270" fillId="0" borderId="0" xfId="0" applyFont="1" applyAlignment="1">
      <alignment horizontal="left" vertical="center"/>
    </xf>
    <xf numFmtId="0" fontId="271" fillId="0" borderId="0" xfId="0" applyFont="1" applyAlignment="1">
      <alignment horizontal="left" vertical="center"/>
    </xf>
    <xf numFmtId="0" fontId="272" fillId="0" borderId="0" xfId="0" applyFont="1" applyAlignment="1">
      <alignment horizontal="left" vertical="center"/>
    </xf>
    <xf numFmtId="0" fontId="273" fillId="0" borderId="0" xfId="0" applyFont="1" applyAlignment="1">
      <alignment horizontal="left" vertical="center"/>
    </xf>
    <xf numFmtId="0" fontId="274" fillId="0" borderId="0" xfId="0" applyFont="1" applyAlignment="1">
      <alignment horizontal="left" vertical="center"/>
    </xf>
    <xf numFmtId="0" fontId="112" fillId="0" borderId="0" xfId="0" applyFont="1">
      <alignment vertical="center"/>
    </xf>
    <xf numFmtId="0" fontId="0" fillId="0" borderId="0" xfId="0" applyFill="1">
      <alignment vertical="center"/>
    </xf>
    <xf numFmtId="0" fontId="276" fillId="0" borderId="1" xfId="10" applyFont="1" applyFill="1" applyBorder="1" applyAlignment="1">
      <alignment horizontal="center" vertical="center" wrapText="1"/>
    </xf>
    <xf numFmtId="0" fontId="277" fillId="0" borderId="1" xfId="10" applyFont="1" applyFill="1" applyBorder="1" applyAlignment="1">
      <alignment horizontal="center" vertical="center" wrapText="1"/>
    </xf>
    <xf numFmtId="0" fontId="278" fillId="0" borderId="1" xfId="10" applyFont="1" applyFill="1" applyBorder="1" applyAlignment="1">
      <alignment horizontal="center" vertical="center" wrapText="1"/>
    </xf>
    <xf numFmtId="1" fontId="279" fillId="0" borderId="1" xfId="10" applyNumberFormat="1" applyFont="1" applyFill="1" applyBorder="1" applyAlignment="1">
      <alignment horizontal="center" vertical="center" shrinkToFit="1"/>
    </xf>
    <xf numFmtId="0" fontId="280" fillId="0" borderId="1" xfId="10" applyFont="1" applyFill="1" applyBorder="1" applyAlignment="1">
      <alignment horizontal="center" vertical="center" wrapText="1"/>
    </xf>
    <xf numFmtId="196" fontId="279" fillId="0" borderId="1" xfId="10" applyNumberFormat="1" applyFont="1" applyFill="1" applyBorder="1" applyAlignment="1">
      <alignment horizontal="center" vertical="center" shrinkToFit="1"/>
    </xf>
    <xf numFmtId="3" fontId="279" fillId="0" borderId="1" xfId="10" applyNumberFormat="1" applyFont="1" applyFill="1" applyBorder="1" applyAlignment="1">
      <alignment horizontal="center" vertical="center" shrinkToFit="1"/>
    </xf>
    <xf numFmtId="2" fontId="279" fillId="0" borderId="1" xfId="10" applyNumberFormat="1" applyFont="1" applyFill="1" applyBorder="1" applyAlignment="1">
      <alignment horizontal="center" vertical="center" shrinkToFit="1"/>
    </xf>
    <xf numFmtId="3" fontId="281" fillId="0" borderId="1" xfId="10" applyNumberFormat="1" applyFont="1" applyFill="1" applyBorder="1" applyAlignment="1">
      <alignment horizontal="center" vertical="center" shrinkToFit="1"/>
    </xf>
    <xf numFmtId="1" fontId="280" fillId="0" borderId="1" xfId="10" applyNumberFormat="1" applyFont="1" applyFill="1" applyBorder="1" applyAlignment="1">
      <alignment horizontal="center" vertical="center" shrinkToFit="1"/>
    </xf>
    <xf numFmtId="3" fontId="280" fillId="0" borderId="1" xfId="10" applyNumberFormat="1" applyFont="1" applyFill="1" applyBorder="1" applyAlignment="1">
      <alignment horizontal="center" vertical="center" shrinkToFit="1"/>
    </xf>
    <xf numFmtId="0" fontId="283" fillId="0" borderId="0" xfId="0" applyFont="1" applyFill="1">
      <alignment vertical="center"/>
    </xf>
    <xf numFmtId="196" fontId="280" fillId="0" borderId="1" xfId="10" applyNumberFormat="1" applyFont="1" applyFill="1" applyBorder="1" applyAlignment="1">
      <alignment horizontal="center" vertical="center" shrinkToFit="1"/>
    </xf>
    <xf numFmtId="0" fontId="95" fillId="0" borderId="0" xfId="10" applyFill="1">
      <alignment vertical="center"/>
    </xf>
    <xf numFmtId="2" fontId="280" fillId="0" borderId="1" xfId="10" applyNumberFormat="1" applyFont="1" applyFill="1" applyBorder="1" applyAlignment="1">
      <alignment horizontal="center" vertical="center" shrinkToFit="1"/>
    </xf>
    <xf numFmtId="0" fontId="283" fillId="0" borderId="0" xfId="10" applyFont="1" applyFill="1">
      <alignment vertical="center"/>
    </xf>
    <xf numFmtId="0" fontId="281" fillId="0" borderId="1" xfId="10" applyFont="1" applyFill="1" applyBorder="1" applyAlignment="1">
      <alignment horizontal="center" vertical="center" wrapText="1"/>
    </xf>
    <xf numFmtId="57" fontId="280" fillId="0" borderId="1" xfId="10" applyNumberFormat="1" applyFont="1" applyFill="1" applyBorder="1" applyAlignment="1">
      <alignment horizontal="center" vertical="center" wrapText="1"/>
    </xf>
    <xf numFmtId="1" fontId="284" fillId="0" borderId="1" xfId="10" applyNumberFormat="1" applyFont="1" applyFill="1" applyBorder="1" applyAlignment="1">
      <alignment horizontal="center" vertical="center" shrinkToFit="1"/>
    </xf>
    <xf numFmtId="0" fontId="284" fillId="0" borderId="1" xfId="10" applyFont="1" applyFill="1" applyBorder="1" applyAlignment="1">
      <alignment horizontal="center" vertical="center" wrapText="1"/>
    </xf>
    <xf numFmtId="196" fontId="284" fillId="0" borderId="1" xfId="10" applyNumberFormat="1" applyFont="1" applyFill="1" applyBorder="1" applyAlignment="1">
      <alignment horizontal="center" vertical="center" shrinkToFit="1"/>
    </xf>
    <xf numFmtId="3" fontId="284" fillId="0" borderId="1" xfId="10" applyNumberFormat="1" applyFont="1" applyFill="1" applyBorder="1" applyAlignment="1">
      <alignment horizontal="center" vertical="center" shrinkToFit="1"/>
    </xf>
    <xf numFmtId="0" fontId="275" fillId="0" borderId="0" xfId="0" applyFont="1" applyFill="1">
      <alignment vertical="center"/>
    </xf>
    <xf numFmtId="2" fontId="284" fillId="0" borderId="1" xfId="10" applyNumberFormat="1" applyFont="1" applyFill="1" applyBorder="1" applyAlignment="1">
      <alignment horizontal="center" vertical="center" shrinkToFit="1"/>
    </xf>
    <xf numFmtId="0" fontId="275" fillId="0" borderId="0" xfId="10" applyFont="1" applyFill="1">
      <alignment vertical="center"/>
    </xf>
    <xf numFmtId="57" fontId="284" fillId="0" borderId="1" xfId="10" applyNumberFormat="1" applyFont="1" applyFill="1" applyBorder="1" applyAlignment="1">
      <alignment horizontal="center" vertical="center" wrapText="1"/>
    </xf>
    <xf numFmtId="3" fontId="70" fillId="3" borderId="20" xfId="0" applyNumberFormat="1" applyFont="1" applyFill="1" applyBorder="1" applyAlignment="1" applyProtection="1">
      <alignment vertical="center" wrapText="1"/>
      <protection locked="0"/>
    </xf>
    <xf numFmtId="3" fontId="70" fillId="3" borderId="51" xfId="0" applyNumberFormat="1" applyFont="1" applyFill="1" applyBorder="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3" fontId="44" fillId="0" borderId="3" xfId="0" applyNumberFormat="1" applyFont="1" applyFill="1" applyBorder="1" applyAlignment="1" applyProtection="1">
      <alignment horizontal="center" vertical="center" wrapText="1"/>
      <protection locked="0"/>
    </xf>
    <xf numFmtId="3" fontId="44" fillId="0"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xf numFmtId="0" fontId="77" fillId="12" borderId="0" xfId="0" applyFont="1" applyFill="1" applyAlignment="1" applyProtection="1">
      <alignment vertical="center"/>
      <protection locked="0"/>
    </xf>
    <xf numFmtId="0" fontId="77" fillId="0" borderId="0" xfId="0" applyFont="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17</xdr:row>
      <xdr:rowOff>38100</xdr:rowOff>
    </xdr:from>
    <xdr:to>
      <xdr:col>11</xdr:col>
      <xdr:colOff>304055</xdr:colOff>
      <xdr:row>51</xdr:row>
      <xdr:rowOff>151738</xdr:rowOff>
    </xdr:to>
    <xdr:pic>
      <xdr:nvPicPr>
        <xdr:cNvPr id="2" name="图片 1"/>
        <xdr:cNvPicPr>
          <a:picLocks noChangeAspect="1"/>
        </xdr:cNvPicPr>
      </xdr:nvPicPr>
      <xdr:blipFill>
        <a:blip xmlns:r="http://schemas.openxmlformats.org/officeDocument/2006/relationships" r:embed="rId1"/>
        <a:stretch>
          <a:fillRect/>
        </a:stretch>
      </xdr:blipFill>
      <xdr:spPr>
        <a:xfrm>
          <a:off x="2752725" y="342900"/>
          <a:ext cx="5961905" cy="5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0</xdr:colOff>
      <xdr:row>0</xdr:row>
      <xdr:rowOff>0</xdr:rowOff>
    </xdr:from>
    <xdr:to>
      <xdr:col>30</xdr:col>
      <xdr:colOff>65639</xdr:colOff>
      <xdr:row>22</xdr:row>
      <xdr:rowOff>256324</xdr:rowOff>
    </xdr:to>
    <xdr:pic>
      <xdr:nvPicPr>
        <xdr:cNvPr id="3" name="图片 2"/>
        <xdr:cNvPicPr>
          <a:picLocks noChangeAspect="1"/>
        </xdr:cNvPicPr>
      </xdr:nvPicPr>
      <xdr:blipFill>
        <a:blip xmlns:r="http://schemas.openxmlformats.org/officeDocument/2006/relationships" r:embed="rId1"/>
        <a:stretch>
          <a:fillRect/>
        </a:stretch>
      </xdr:blipFill>
      <xdr:spPr>
        <a:xfrm>
          <a:off x="12620625" y="0"/>
          <a:ext cx="8295239" cy="6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304800</xdr:colOff>
      <xdr:row>1</xdr:row>
      <xdr:rowOff>19051</xdr:rowOff>
    </xdr:from>
    <xdr:to>
      <xdr:col>5</xdr:col>
      <xdr:colOff>752475</xdr:colOff>
      <xdr:row>28</xdr:row>
      <xdr:rowOff>33043</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0" y="190501"/>
          <a:ext cx="3876675" cy="46431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北京市丰台区西三环南路16号房地产抵押价值预评估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受贵公司委托，我公司对北京市丰台区西三环南路16号房地产抵押价值进行了预评估。</v>
      </c>
    </row>
    <row r="7" spans="1:2" s="1203" customFormat="1">
      <c r="A7" s="1201" t="s">
        <v>566</v>
      </c>
      <c r="B7" s="1202" t="str">
        <f>'预评函-1'!A7</f>
        <v>估价对象为北京市丰台区西三环南路16号房地产，为所有。根据《国有土地使用证》[]，估价对象（分摊）出让国有建设用地使用权面积为20453.91平方米，建筑面积为51957.05平方米。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西三环南路16号房地产,属开发建设的，该项目尚在开发建设中。根据《国有土地使用证》[]，估价对象（分摊）出让国有建设用地使用权面积为20453.91平方米，规划建筑面积为51957.05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西三环南路16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2023年2月28日（评估专业人员实地查勘之日）</v>
      </c>
    </row>
    <row r="13" spans="1:2" s="1203" customFormat="1">
      <c r="A13" s="1201" t="s">
        <v>529</v>
      </c>
      <c r="B13" s="1202" t="str">
        <f>'预评函-1'!A18</f>
        <v>本次估价的“房地产价值”是指在正常市场情况下，在价值时点2023年2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99266</v>
      </c>
    </row>
    <row r="21" spans="1:2" s="1203" customFormat="1">
      <c r="A21" s="1201" t="s">
        <v>537</v>
      </c>
      <c r="B21" s="1202">
        <f ca="1">'预评函-2'!D7</f>
        <v>19105</v>
      </c>
    </row>
    <row r="22" spans="1:2" s="1203" customFormat="1">
      <c r="A22" s="1201" t="s">
        <v>538</v>
      </c>
      <c r="B22" s="1202" t="str">
        <f ca="1">'预评函-2'!D6</f>
        <v>玖亿玖仟贰佰陆拾陆万元整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99266</v>
      </c>
    </row>
    <row r="31" spans="1:2" s="1203" customFormat="1">
      <c r="A31" s="1201" t="s">
        <v>576</v>
      </c>
      <c r="B31" s="1202">
        <f ca="1">'预评函-2'!D15</f>
        <v>19105</v>
      </c>
    </row>
    <row r="32" spans="1:2" s="1203" customFormat="1">
      <c r="A32" s="1201" t="s">
        <v>543</v>
      </c>
      <c r="B32" s="1202" t="str">
        <f ca="1">'预评函-2'!D14</f>
        <v>玖亿玖仟贰佰陆拾陆万元整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42086</v>
      </c>
    </row>
    <row r="39" spans="1:2" s="1203" customFormat="1">
      <c r="A39" s="1201" t="s">
        <v>545</v>
      </c>
      <c r="B39" s="1202">
        <f ca="1">'预评函-2'!D21</f>
        <v>8100</v>
      </c>
    </row>
    <row r="40" spans="1:2" s="1203" customFormat="1">
      <c r="A40" s="1201" t="s">
        <v>546</v>
      </c>
      <c r="B40" s="1202" t="str">
        <f ca="1">'预评函-2'!D20</f>
        <v>肆亿贰仟零捌拾陆万元整</v>
      </c>
    </row>
    <row r="41" spans="1:2" s="1203" customFormat="1">
      <c r="A41" s="1201" t="s">
        <v>592</v>
      </c>
      <c r="B41" s="1202" t="str">
        <f>'预评函-3'!A4</f>
        <v>北京市丰台区西三环南路16号房地产</v>
      </c>
    </row>
    <row r="42" spans="1:2" s="1203" customFormat="1">
      <c r="A42" s="1201" t="s">
        <v>590</v>
      </c>
      <c r="B42" s="1202" t="str">
        <f>'预评函-3'!B2</f>
        <v>建筑面积</v>
      </c>
    </row>
    <row r="43" spans="1:2" s="1203" customFormat="1">
      <c r="A43" s="1201" t="s">
        <v>591</v>
      </c>
      <c r="B43" s="1202">
        <f>'预评函-3'!B4</f>
        <v>51957.049999999996</v>
      </c>
    </row>
    <row r="44" spans="1:2" s="1203" customFormat="1">
      <c r="A44" s="1201" t="s">
        <v>575</v>
      </c>
      <c r="B44" s="1202" t="str">
        <f>'预评函-3'!C2</f>
        <v>(分摊)土地面积</v>
      </c>
    </row>
    <row r="45" spans="1:2" s="1203" customFormat="1">
      <c r="A45" s="1201" t="s">
        <v>547</v>
      </c>
      <c r="B45" s="1202">
        <f>'预评函-3'!C4</f>
        <v>20453.91</v>
      </c>
    </row>
    <row r="46" spans="1:2" s="1203" customFormat="1">
      <c r="A46" s="1201" t="s">
        <v>573</v>
      </c>
      <c r="B46" s="1202" t="str">
        <f>'预评函-3'!D2</f>
        <v>出让国有建设用地使用权价值</v>
      </c>
    </row>
    <row r="47" spans="1:2" s="1203" customFormat="1">
      <c r="A47" s="1201" t="s">
        <v>548</v>
      </c>
      <c r="B47" s="1202">
        <f ca="1">'预评函-3'!D4</f>
        <v>74747</v>
      </c>
    </row>
    <row r="48" spans="1:2" s="1203" customFormat="1">
      <c r="A48" s="1201" t="s">
        <v>549</v>
      </c>
      <c r="B48" s="1202">
        <f ca="1">'预评函-3'!E4</f>
        <v>14386</v>
      </c>
    </row>
    <row r="49" spans="1:2" s="1203" customFormat="1">
      <c r="A49" s="1201" t="s">
        <v>550</v>
      </c>
      <c r="B49" s="1202" t="str">
        <f ca="1">'预评函-3'!D5</f>
        <v>柒亿肆仟柒佰肆拾柒万元整</v>
      </c>
    </row>
    <row r="50" spans="1:2" s="1203" customFormat="1">
      <c r="A50" s="1201" t="s">
        <v>574</v>
      </c>
      <c r="B50" s="1202" t="str">
        <f>'预评函-3'!F2</f>
        <v>在建建筑物价值</v>
      </c>
    </row>
    <row r="51" spans="1:2" s="1203" customFormat="1">
      <c r="A51" s="1201" t="s">
        <v>551</v>
      </c>
      <c r="B51" s="1202">
        <f ca="1">'预评函-3'!F4</f>
        <v>24519</v>
      </c>
    </row>
    <row r="52" spans="1:2" s="1203" customFormat="1">
      <c r="A52" s="1201" t="s">
        <v>552</v>
      </c>
      <c r="B52" s="1202">
        <f ca="1">'预评函-3'!G4</f>
        <v>4719</v>
      </c>
    </row>
    <row r="53" spans="1:2" s="1203" customFormat="1">
      <c r="A53" s="1201" t="s">
        <v>580</v>
      </c>
      <c r="B53" s="1202" t="str">
        <f ca="1">'预评函-3'!F5</f>
        <v>贰亿肆仟伍佰壹拾玖万元整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K36" sqref="K3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2579</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2580</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3445</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西三环南路16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54" t="s">
        <v>385</v>
      </c>
      <c r="C54" s="1551" t="s">
        <v>583</v>
      </c>
    </row>
    <row r="55" spans="1:4">
      <c r="A55" s="3543"/>
      <c r="B55" s="1554" t="s">
        <v>386</v>
      </c>
      <c r="C55" s="1551" t="s">
        <v>584</v>
      </c>
    </row>
    <row r="56" spans="1:4">
      <c r="A56" s="3543"/>
      <c r="B56" s="1554" t="s">
        <v>387</v>
      </c>
      <c r="C56" s="1551" t="s">
        <v>588</v>
      </c>
    </row>
    <row r="57" spans="1:4">
      <c r="A57" s="354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44" t="s">
        <v>2582</v>
      </c>
      <c r="J2" s="3544"/>
      <c r="K2" s="3544"/>
      <c r="L2" s="3544"/>
      <c r="M2" s="3544"/>
      <c r="N2" s="3544"/>
      <c r="O2" s="3544"/>
      <c r="P2" s="3544"/>
      <c r="Q2" s="3544"/>
      <c r="R2" s="3544"/>
    </row>
    <row r="3" spans="1:18">
      <c r="A3" s="3019" t="s">
        <v>2503</v>
      </c>
      <c r="B3" s="3020">
        <f>项目基本情况!D3</f>
        <v>44985</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3.8</v>
      </c>
      <c r="D5" s="3024">
        <f>IF(ISERROR(ROUND(POWER(1+E5,A5-C5)*(POWER(1+E5,C5)-1)/(POWER(1+E5,A5)-1),3)),0,ROUND(POWER(1+E5,A5-C5)*(POWER(1+E5,C5)-1)/(POWER(1+E5,A5)-1),4))</f>
        <v>0.1749</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13.81</v>
      </c>
      <c r="D6" s="3024">
        <f>IF(ISERROR(ROUND(POWER(1+E6,A6-C6)*(POWER(1+E6,C6)-1)/(POWER(1+E6,A6)-1),3)),0,ROUND(POWER(1+E6,A6-C6)*(POWER(1+E6,C6)-1)/(POWER(1+E6,A6)-1),4))</f>
        <v>0.48670000000000002</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33.83</v>
      </c>
      <c r="D7" s="3024">
        <f>IF(ISERROR(ROUND(POWER(1+E7,A7-C7)*(POWER(1+E7,C7)-1)/(POWER(1+E7,A7)-1),3)),0,ROUND(POWER(1+E7,A7-C7)*(POWER(1+E7,C7)-1)/(POWER(1+E7,A7)-1),4))</f>
        <v>0.78510000000000002</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3" sqref="D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53" t="str">
        <f>IF(B10="北京市","北京市",C10)&amp;F10&amp;IF(结果表!G1="在建","出让国有建设用地使用权及在建建筑物",IF(结果表!G1="土地","出让国有建设用地使用权",))&amp;B9&amp;"预评估"</f>
        <v>北京市丰台区西三环南路16号房地产抵押价值预评估</v>
      </c>
      <c r="C1" s="3554"/>
      <c r="D1" s="3554"/>
      <c r="E1" s="3554"/>
      <c r="F1" s="3554"/>
      <c r="G1" s="3554"/>
      <c r="H1" s="3554"/>
      <c r="I1" s="355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北京市丰台区西三环南路16号房地产抵押价值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北京市丰台区西三环南路16号房地产</v>
      </c>
      <c r="T2" s="1745"/>
      <c r="U2" s="1745"/>
      <c r="V2" s="1745"/>
      <c r="W2" s="1745"/>
      <c r="X2" s="1745"/>
      <c r="Y2" s="1745"/>
      <c r="Z2" s="1745"/>
      <c r="AA2" s="1745"/>
      <c r="AB2" s="1745"/>
    </row>
    <row r="3" spans="1:30">
      <c r="A3" s="302" t="s">
        <v>2169</v>
      </c>
      <c r="B3" s="2373">
        <v>44985</v>
      </c>
      <c r="C3" s="2374" t="s">
        <v>2170</v>
      </c>
      <c r="D3" s="2373">
        <f>B3</f>
        <v>44985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3377</v>
      </c>
      <c r="C8" s="2390"/>
      <c r="D8" s="3556" t="s">
        <v>2176</v>
      </c>
      <c r="E8" s="2391" t="s">
        <v>3378</v>
      </c>
      <c r="F8" s="2392"/>
      <c r="G8" s="2663"/>
      <c r="H8" s="2663"/>
      <c r="I8" s="2663"/>
      <c r="J8" s="2439"/>
      <c r="K8" s="2614"/>
      <c r="L8" s="2613"/>
      <c r="M8" s="2613"/>
      <c r="N8" s="2439"/>
      <c r="O8" s="2450"/>
      <c r="P8" s="2439"/>
      <c r="Q8" s="2439"/>
      <c r="R8" s="2439"/>
    </row>
    <row r="9" spans="1:30" ht="13.5" thickBot="1">
      <c r="A9" s="2393" t="s">
        <v>2177</v>
      </c>
      <c r="B9" s="2394" t="s">
        <v>3378</v>
      </c>
      <c r="C9" s="2395"/>
      <c r="D9" s="3557"/>
      <c r="E9" s="2394" t="s">
        <v>587</v>
      </c>
      <c r="F9" s="2396"/>
      <c r="G9" s="2665"/>
      <c r="H9" s="2665"/>
      <c r="I9" s="2665"/>
      <c r="J9" s="2439"/>
      <c r="K9" s="2616"/>
      <c r="L9" s="2613"/>
      <c r="M9" s="2613"/>
      <c r="N9" s="2439"/>
      <c r="O9" s="2450"/>
      <c r="P9" s="2439"/>
      <c r="Q9" s="2439"/>
      <c r="R9" s="2439"/>
    </row>
    <row r="10" spans="1:30" ht="13.5" thickTop="1">
      <c r="A10" s="2397" t="s">
        <v>2178</v>
      </c>
      <c r="B10" s="2398" t="s">
        <v>3379</v>
      </c>
      <c r="C10" s="2399"/>
      <c r="D10" s="2382"/>
      <c r="E10" s="2400" t="s">
        <v>2179</v>
      </c>
      <c r="F10" s="2666" t="s">
        <v>3381</v>
      </c>
      <c r="G10" s="2667"/>
      <c r="H10" s="2668"/>
      <c r="I10" s="2669"/>
      <c r="J10" s="2439"/>
      <c r="K10" s="2616"/>
      <c r="L10" s="2613"/>
      <c r="M10" s="2613"/>
      <c r="N10" s="2439"/>
      <c r="O10" s="2450"/>
      <c r="P10" s="2439"/>
      <c r="Q10" s="2439"/>
      <c r="R10" s="2439"/>
    </row>
    <row r="11" spans="1:30">
      <c r="A11" s="2401" t="s">
        <v>2180</v>
      </c>
      <c r="B11" s="2402" t="s">
        <v>3380</v>
      </c>
      <c r="C11" s="2403"/>
      <c r="D11" s="2404"/>
      <c r="E11" s="2370"/>
      <c r="F11" s="2370"/>
      <c r="G11" s="2370"/>
      <c r="H11" s="2370"/>
      <c r="I11" s="2370"/>
      <c r="J11" s="3060"/>
      <c r="K11" s="3059"/>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8" t="s">
        <v>2578</v>
      </c>
      <c r="J12" s="3061"/>
      <c r="K12" s="2613"/>
      <c r="L12" s="2613"/>
      <c r="M12" s="2439"/>
      <c r="N12" s="2450"/>
      <c r="O12" s="2439"/>
      <c r="P12" s="2439"/>
      <c r="Q12" s="2439"/>
      <c r="AD12" s="1745"/>
    </row>
    <row r="13" spans="1:30">
      <c r="A13" s="3422" t="s">
        <v>3338</v>
      </c>
      <c r="B13" s="2407" t="s">
        <v>2189</v>
      </c>
      <c r="C13" s="856"/>
      <c r="D13" s="856">
        <v>57486</v>
      </c>
      <c r="E13" s="856"/>
      <c r="F13" s="856">
        <v>61138</v>
      </c>
      <c r="G13" s="856"/>
      <c r="H13" s="856"/>
      <c r="I13" s="856"/>
      <c r="J13" s="3061"/>
      <c r="K13" s="2613"/>
      <c r="L13" s="2613"/>
      <c r="M13" s="2439"/>
      <c r="N13" s="2450"/>
      <c r="O13" s="2439"/>
      <c r="P13" s="2439"/>
      <c r="Q13" s="2439"/>
      <c r="AD13" s="1745"/>
    </row>
    <row r="14" spans="1:30">
      <c r="A14" s="1081"/>
      <c r="B14" s="2407" t="s">
        <v>2190</v>
      </c>
      <c r="C14" s="2408"/>
      <c r="D14" s="2408">
        <v>40</v>
      </c>
      <c r="E14" s="2408"/>
      <c r="F14" s="2408">
        <v>50</v>
      </c>
      <c r="G14" s="2408"/>
      <c r="H14" s="2408"/>
      <c r="I14" s="2408"/>
      <c r="J14" s="3062"/>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34.24</v>
      </c>
      <c r="E15" s="2410" t="str">
        <f>IF(A13="出让",IF(E13="","",ROUNDDOWN(MIN((E13-$D$3)/365,E14),2)),E14)</f>
        <v/>
      </c>
      <c r="F15" s="2410">
        <f>IF(A13="出让",IF(F13="","",ROUNDDOWN(MIN((F13-$D$3)/365,F14),2)),F14)</f>
        <v>44.25</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2192</v>
      </c>
      <c r="B16" s="3563"/>
      <c r="C16" s="3564"/>
      <c r="D16" s="3565"/>
      <c r="E16" s="2413" t="s">
        <v>2193</v>
      </c>
      <c r="F16" s="3566"/>
      <c r="G16" s="3567"/>
      <c r="H16" s="3567"/>
      <c r="I16" s="3568"/>
      <c r="J16" s="2439"/>
      <c r="K16" s="2617"/>
      <c r="L16" s="2451"/>
      <c r="M16" s="2451"/>
      <c r="N16" s="2509"/>
      <c r="O16" s="2451"/>
      <c r="P16" s="2509"/>
      <c r="Q16" s="2439"/>
      <c r="R16" s="2439"/>
    </row>
    <row r="17" spans="1:28">
      <c r="A17" s="313" t="s">
        <v>2194</v>
      </c>
      <c r="B17" s="302" t="s">
        <v>2195</v>
      </c>
      <c r="C17" s="8">
        <f>'数据-汇总表'!E3</f>
        <v>51957.049999999996</v>
      </c>
      <c r="D17" s="2322" t="s">
        <v>2196</v>
      </c>
      <c r="E17" s="3569" t="s">
        <v>2197</v>
      </c>
      <c r="F17" s="3570"/>
      <c r="G17" s="3570"/>
      <c r="H17" s="3570"/>
      <c r="I17" s="3571"/>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20453.91</v>
      </c>
      <c r="D18" s="1092" t="s">
        <v>2200</v>
      </c>
      <c r="E18" s="3572" t="s">
        <v>2201</v>
      </c>
      <c r="F18" s="3573"/>
      <c r="G18" s="3573"/>
      <c r="H18" s="3573"/>
      <c r="I18" s="3574"/>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59" t="s">
        <v>2205</v>
      </c>
      <c r="C20" s="3560"/>
      <c r="D20" s="3561" t="s">
        <v>2206</v>
      </c>
      <c r="E20" s="3562"/>
      <c r="F20" s="2647" t="s">
        <v>1056</v>
      </c>
      <c r="G20" s="2664"/>
      <c r="H20" s="2664"/>
      <c r="I20" s="2664"/>
      <c r="J20" s="2439"/>
      <c r="K20" s="355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5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5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6"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6"/>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6"/>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7"/>
      <c r="B30" s="302" t="s">
        <v>2217</v>
      </c>
      <c r="C30" s="3548"/>
      <c r="D30" s="3549"/>
      <c r="E30" s="2664"/>
      <c r="F30" s="2664"/>
      <c r="G30" s="2664"/>
      <c r="H30" s="2664"/>
      <c r="I30" s="2664"/>
      <c r="J30" s="2439"/>
      <c r="K30" s="2616"/>
      <c r="L30" s="2613"/>
      <c r="M30" s="2613"/>
      <c r="N30" s="2439"/>
      <c r="O30" s="2450"/>
      <c r="P30" s="2439"/>
      <c r="Q30" s="2439"/>
      <c r="R30" s="2439"/>
      <c r="S30" s="2439"/>
      <c r="T30" s="2439"/>
      <c r="U30" s="2439"/>
      <c r="V30" s="2439"/>
    </row>
    <row r="31" spans="1:28">
      <c r="A31" s="3550"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45" t="s">
        <v>2227</v>
      </c>
      <c r="T34" s="2428" t="str">
        <f>NUMBERSTRING(7-K34,1)&amp;"通"</f>
        <v>七通</v>
      </c>
      <c r="U34" s="2439"/>
      <c r="V34" s="2439"/>
    </row>
    <row r="35" spans="1:30">
      <c r="A35" s="2429"/>
      <c r="B35" s="3552" t="s">
        <v>2228</v>
      </c>
      <c r="C35" s="3552"/>
      <c r="D35" s="3552"/>
      <c r="E35" s="355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5"/>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4"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t="s">
        <v>296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186</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39"/>
  <sheetViews>
    <sheetView topLeftCell="A16" workbookViewId="0">
      <selection activeCell="B47" sqref="B47"/>
    </sheetView>
  </sheetViews>
  <sheetFormatPr defaultRowHeight="12"/>
  <cols>
    <col min="1" max="1" width="20.375" style="3460" bestFit="1" customWidth="1"/>
    <col min="2" max="16384" width="9" style="3460"/>
  </cols>
  <sheetData>
    <row r="1" spans="1:6" hidden="1">
      <c r="A1" s="3460" t="s">
        <v>3385</v>
      </c>
      <c r="F1" s="3460" t="s">
        <v>3402</v>
      </c>
    </row>
    <row r="2" spans="1:6" hidden="1">
      <c r="A2" s="3461" t="s">
        <v>3386</v>
      </c>
      <c r="B2" s="3467">
        <v>4070.96</v>
      </c>
      <c r="D2" s="3461" t="s">
        <v>3396</v>
      </c>
      <c r="E2" s="3462">
        <v>10081.76</v>
      </c>
      <c r="F2" s="3460">
        <v>1647.05</v>
      </c>
    </row>
    <row r="3" spans="1:6" hidden="1">
      <c r="A3" s="3461" t="s">
        <v>3387</v>
      </c>
      <c r="B3" s="3462">
        <v>20414.400000000001</v>
      </c>
      <c r="D3" s="3461" t="s">
        <v>3397</v>
      </c>
      <c r="E3" s="3462">
        <v>10332.64</v>
      </c>
      <c r="F3" s="3460">
        <v>71.13</v>
      </c>
    </row>
    <row r="4" spans="1:6" hidden="1">
      <c r="A4" s="3461" t="s">
        <v>3388</v>
      </c>
      <c r="B4" s="3463">
        <v>898.49</v>
      </c>
      <c r="D4" s="3461" t="s">
        <v>3398</v>
      </c>
      <c r="E4" s="3466">
        <v>3372.05</v>
      </c>
      <c r="F4" s="3460">
        <v>70.7</v>
      </c>
    </row>
    <row r="5" spans="1:6" hidden="1">
      <c r="A5" s="3461" t="s">
        <v>3389</v>
      </c>
      <c r="B5" s="3465">
        <v>6223.47</v>
      </c>
      <c r="D5" s="3461" t="s">
        <v>3399</v>
      </c>
      <c r="E5" s="3466">
        <v>3316.17</v>
      </c>
    </row>
    <row r="6" spans="1:6" hidden="1">
      <c r="A6" s="3461" t="s">
        <v>3390</v>
      </c>
      <c r="B6" s="3461">
        <v>7210.08</v>
      </c>
      <c r="D6" s="3461" t="s">
        <v>3400</v>
      </c>
      <c r="E6" s="3467">
        <v>3934.85</v>
      </c>
    </row>
    <row r="7" spans="1:6" hidden="1">
      <c r="A7" s="3461" t="s">
        <v>3391</v>
      </c>
      <c r="B7" s="3461">
        <v>3846.47</v>
      </c>
      <c r="D7" s="3461" t="s">
        <v>3401</v>
      </c>
      <c r="E7" s="3467">
        <v>136.11000000000001</v>
      </c>
    </row>
    <row r="8" spans="1:6" hidden="1">
      <c r="A8" s="3461" t="s">
        <v>3392</v>
      </c>
      <c r="B8" s="3466">
        <v>6688.22</v>
      </c>
      <c r="D8" s="3461">
        <v>101</v>
      </c>
      <c r="E8" s="3465">
        <v>6223.47</v>
      </c>
      <c r="F8" s="3460">
        <v>67.44</v>
      </c>
    </row>
    <row r="9" spans="1:6" hidden="1">
      <c r="A9" s="3461" t="s">
        <v>3393</v>
      </c>
      <c r="B9" s="3461">
        <v>640.61</v>
      </c>
      <c r="D9" s="3461">
        <v>102</v>
      </c>
      <c r="E9" s="3461">
        <v>720.4</v>
      </c>
    </row>
    <row r="10" spans="1:6" hidden="1">
      <c r="A10" s="3461" t="s">
        <v>3394</v>
      </c>
      <c r="B10" s="3461">
        <f>SUM(B2:B9)</f>
        <v>49992.700000000004</v>
      </c>
      <c r="D10" s="3461">
        <v>201</v>
      </c>
      <c r="E10" s="3464">
        <v>4709.04</v>
      </c>
    </row>
    <row r="11" spans="1:6" hidden="1">
      <c r="A11" s="3461" t="s">
        <v>3395</v>
      </c>
      <c r="B11" s="3461">
        <v>1872.05</v>
      </c>
      <c r="D11" s="3461">
        <v>202</v>
      </c>
      <c r="E11" s="3461">
        <v>2066.77</v>
      </c>
    </row>
    <row r="12" spans="1:6" hidden="1">
      <c r="D12" s="3461">
        <v>301</v>
      </c>
      <c r="E12" s="3461">
        <v>2501.04</v>
      </c>
    </row>
    <row r="13" spans="1:6" hidden="1">
      <c r="D13" s="3461">
        <v>302</v>
      </c>
      <c r="E13" s="3461">
        <v>1059.3</v>
      </c>
    </row>
    <row r="14" spans="1:6" hidden="1">
      <c r="D14" s="3461">
        <v>401</v>
      </c>
      <c r="E14" s="3463">
        <v>898.49</v>
      </c>
      <c r="F14" s="3460">
        <v>15.73</v>
      </c>
    </row>
    <row r="15" spans="1:6" hidden="1">
      <c r="D15" s="3461" t="s">
        <v>3393</v>
      </c>
      <c r="E15" s="3461">
        <v>640.61</v>
      </c>
    </row>
    <row r="22" spans="1:3">
      <c r="A22" s="3460" t="s">
        <v>3423</v>
      </c>
    </row>
    <row r="23" spans="1:3">
      <c r="A23" s="3468" t="s">
        <v>3424</v>
      </c>
    </row>
    <row r="24" spans="1:3">
      <c r="A24" s="3460" t="s">
        <v>3425</v>
      </c>
      <c r="B24" s="3460">
        <v>3640.84</v>
      </c>
      <c r="C24" s="3460" t="s">
        <v>3441</v>
      </c>
    </row>
    <row r="25" spans="1:3">
      <c r="A25" s="3460" t="s">
        <v>3426</v>
      </c>
      <c r="B25" s="3460">
        <v>6184.85</v>
      </c>
      <c r="C25" s="3460" t="s">
        <v>3441</v>
      </c>
    </row>
    <row r="26" spans="1:3">
      <c r="A26" s="3460" t="s">
        <v>3427</v>
      </c>
      <c r="B26" s="3460">
        <v>6560.59</v>
      </c>
      <c r="C26" s="3460" t="s">
        <v>3441</v>
      </c>
    </row>
    <row r="27" spans="1:3">
      <c r="A27" s="3460" t="s">
        <v>3428</v>
      </c>
      <c r="B27" s="3460">
        <v>735.21</v>
      </c>
      <c r="C27" s="3460" t="s">
        <v>3441</v>
      </c>
    </row>
    <row r="28" spans="1:3">
      <c r="A28" s="3460" t="s">
        <v>3429</v>
      </c>
      <c r="B28" s="3460">
        <v>469.83</v>
      </c>
      <c r="C28" s="3460" t="s">
        <v>3441</v>
      </c>
    </row>
    <row r="29" spans="1:3">
      <c r="A29" s="3460" t="s">
        <v>3430</v>
      </c>
      <c r="B29" s="3460">
        <f>SUM(B24:B28)</f>
        <v>17591.32</v>
      </c>
    </row>
    <row r="30" spans="1:3">
      <c r="A30" s="3468" t="s">
        <v>3431</v>
      </c>
    </row>
    <row r="31" spans="1:3">
      <c r="A31" s="3460" t="s">
        <v>3433</v>
      </c>
      <c r="B31" s="3460">
        <v>2036.21</v>
      </c>
      <c r="C31" s="3460" t="s">
        <v>3440</v>
      </c>
    </row>
    <row r="32" spans="1:3">
      <c r="A32" s="3460" t="s">
        <v>3434</v>
      </c>
      <c r="B32" s="3460">
        <v>1501.82</v>
      </c>
      <c r="C32" s="3460" t="s">
        <v>3440</v>
      </c>
    </row>
    <row r="33" spans="1:3">
      <c r="A33" s="3460" t="s">
        <v>3435</v>
      </c>
      <c r="B33" s="3460">
        <v>6540.87</v>
      </c>
      <c r="C33" s="3460" t="s">
        <v>3440</v>
      </c>
    </row>
    <row r="34" spans="1:3">
      <c r="A34" s="3460" t="s">
        <v>3436</v>
      </c>
      <c r="B34" s="3460">
        <v>625.33000000000004</v>
      </c>
      <c r="C34" s="3460" t="s">
        <v>3440</v>
      </c>
    </row>
    <row r="35" spans="1:3">
      <c r="A35" s="3460" t="s">
        <v>3438</v>
      </c>
      <c r="B35" s="3460">
        <v>5478.63</v>
      </c>
      <c r="C35" s="3460" t="s">
        <v>3440</v>
      </c>
    </row>
    <row r="36" spans="1:3">
      <c r="A36" s="3460" t="s">
        <v>3437</v>
      </c>
      <c r="B36" s="3460">
        <v>18169.12</v>
      </c>
      <c r="C36" s="3460" t="s">
        <v>3440</v>
      </c>
    </row>
    <row r="37" spans="1:3">
      <c r="A37" s="3460" t="s">
        <v>3432</v>
      </c>
      <c r="B37" s="3460">
        <f>1760.82+62.01</f>
        <v>1822.83</v>
      </c>
      <c r="C37" s="3460" t="s">
        <v>3440</v>
      </c>
    </row>
    <row r="38" spans="1:3">
      <c r="A38" s="3460" t="s">
        <v>3439</v>
      </c>
      <c r="B38" s="3460">
        <v>13.75</v>
      </c>
    </row>
    <row r="39" spans="1:3">
      <c r="A39" s="3460" t="s">
        <v>3430</v>
      </c>
      <c r="B39" s="3460">
        <v>36188.559999999998</v>
      </c>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8" sqref="K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hidden="1" customWidth="1"/>
    <col min="11" max="11" width="11" style="1573" customWidth="1"/>
    <col min="12" max="12" width="9.5" style="1573" hidden="1" customWidth="1"/>
    <col min="13" max="13" width="9.5" style="1573" customWidth="1"/>
    <col min="14"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21171.5</v>
      </c>
      <c r="B3" s="11">
        <f>IF(C3="否",G5-AT5,G5)</f>
        <v>53779.88</v>
      </c>
      <c r="C3" s="1580" t="s">
        <v>3382</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53779.88</v>
      </c>
      <c r="H5" s="13">
        <f t="shared" ref="H5:AT5" si="0">SUM(H13:H656)</f>
        <v>41096.269999999997</v>
      </c>
      <c r="I5" s="13">
        <f t="shared" si="0"/>
        <v>16386.28</v>
      </c>
      <c r="J5" s="13">
        <f t="shared" si="0"/>
        <v>0</v>
      </c>
      <c r="K5" s="13">
        <f t="shared" si="0"/>
        <v>6540.87</v>
      </c>
      <c r="L5" s="13">
        <f t="shared" si="0"/>
        <v>0</v>
      </c>
      <c r="M5" s="13">
        <f t="shared" si="0"/>
        <v>18169.12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10860.779999999999</v>
      </c>
      <c r="AD5" s="13">
        <f t="shared" si="0"/>
        <v>0</v>
      </c>
      <c r="AE5" s="13">
        <f t="shared" si="0"/>
        <v>0</v>
      </c>
      <c r="AF5" s="13">
        <f t="shared" si="0"/>
        <v>0</v>
      </c>
      <c r="AG5" s="13">
        <f t="shared" si="0"/>
        <v>0</v>
      </c>
      <c r="AH5" s="13">
        <f t="shared" si="0"/>
        <v>0</v>
      </c>
      <c r="AI5" s="13">
        <f t="shared" si="0"/>
        <v>0</v>
      </c>
      <c r="AJ5" s="13">
        <f t="shared" si="0"/>
        <v>0</v>
      </c>
      <c r="AK5" s="13">
        <f t="shared" si="0"/>
        <v>0</v>
      </c>
      <c r="AL5" s="13">
        <f t="shared" si="0"/>
        <v>1218.79</v>
      </c>
      <c r="AM5" s="13">
        <f t="shared" si="0"/>
        <v>0</v>
      </c>
      <c r="AN5" s="13">
        <f t="shared" si="0"/>
        <v>9641.99</v>
      </c>
      <c r="AO5" s="13">
        <f t="shared" si="0"/>
        <v>0</v>
      </c>
      <c r="AP5" s="13">
        <f t="shared" si="0"/>
        <v>0</v>
      </c>
      <c r="AQ5" s="13">
        <f t="shared" si="0"/>
        <v>0</v>
      </c>
      <c r="AR5" s="13">
        <f t="shared" si="0"/>
        <v>0</v>
      </c>
      <c r="AS5" s="13">
        <f t="shared" si="0"/>
        <v>0</v>
      </c>
      <c r="AT5" s="13">
        <f t="shared" si="0"/>
        <v>1822.83</v>
      </c>
      <c r="AU5" s="1346"/>
      <c r="AV5" s="12" t="s">
        <v>1070</v>
      </c>
      <c r="AW5" s="1347"/>
      <c r="AX5" s="1347"/>
      <c r="AY5" s="14" t="s">
        <v>2</v>
      </c>
      <c r="AZ5" s="15">
        <f t="shared" ref="AZ5:BT5" si="1">SUM(AZ13:AZ656)</f>
        <v>51957.049999999996</v>
      </c>
      <c r="BA5" s="15">
        <f t="shared" si="1"/>
        <v>41096.269999999997</v>
      </c>
      <c r="BB5" s="15">
        <f t="shared" si="1"/>
        <v>16386.28</v>
      </c>
      <c r="BC5" s="15">
        <f t="shared" si="1"/>
        <v>6540.87</v>
      </c>
      <c r="BD5" s="15">
        <f t="shared" si="1"/>
        <v>18169.12</v>
      </c>
      <c r="BE5" s="15">
        <f t="shared" si="1"/>
        <v>0</v>
      </c>
      <c r="BF5" s="15">
        <f t="shared" si="1"/>
        <v>0</v>
      </c>
      <c r="BG5" s="15">
        <f t="shared" si="1"/>
        <v>0</v>
      </c>
      <c r="BH5" s="15">
        <f t="shared" si="1"/>
        <v>0</v>
      </c>
      <c r="BI5" s="15">
        <f t="shared" si="1"/>
        <v>0</v>
      </c>
      <c r="BJ5" s="15">
        <f t="shared" si="1"/>
        <v>0</v>
      </c>
      <c r="BK5" s="15">
        <f t="shared" si="1"/>
        <v>0</v>
      </c>
      <c r="BL5" s="15">
        <f t="shared" si="1"/>
        <v>10860.779999999999</v>
      </c>
      <c r="BM5" s="15">
        <f t="shared" si="1"/>
        <v>0</v>
      </c>
      <c r="BN5" s="15">
        <f t="shared" si="1"/>
        <v>0</v>
      </c>
      <c r="BO5" s="15">
        <f t="shared" si="1"/>
        <v>0</v>
      </c>
      <c r="BP5" s="15">
        <f t="shared" si="1"/>
        <v>0</v>
      </c>
      <c r="BQ5" s="15">
        <f t="shared" si="1"/>
        <v>1218.79</v>
      </c>
      <c r="BR5" s="15">
        <f t="shared" si="1"/>
        <v>9641.99</v>
      </c>
      <c r="BS5" s="15">
        <f t="shared" si="1"/>
        <v>0</v>
      </c>
      <c r="BT5" s="16">
        <f t="shared" si="1"/>
        <v>0</v>
      </c>
    </row>
    <row r="6" spans="1:72" s="1589" customFormat="1" ht="12.75">
      <c r="A6" s="12" t="s">
        <v>1071</v>
      </c>
      <c r="B6" s="1586"/>
      <c r="C6" s="1586"/>
      <c r="D6" s="1587"/>
      <c r="E6" s="13">
        <f>H6+AC6+AT6</f>
        <v>21171.5</v>
      </c>
      <c r="F6" s="13" t="s">
        <v>0</v>
      </c>
      <c r="G6" s="13" t="s">
        <v>1</v>
      </c>
      <c r="H6" s="17">
        <f>SUMIF(I$12:AB$12,"总值",I6:AB6)</f>
        <v>16178.349999999999</v>
      </c>
      <c r="I6" s="13">
        <f t="shared" ref="I6:AB6" si="2">ROUND($A$3*I5/$B$3,2)</f>
        <v>6450.78</v>
      </c>
      <c r="J6" s="13">
        <f t="shared" si="2"/>
        <v>0</v>
      </c>
      <c r="K6" s="13">
        <f t="shared" si="2"/>
        <v>2574.94</v>
      </c>
      <c r="L6" s="13">
        <f t="shared" si="2"/>
        <v>0</v>
      </c>
      <c r="M6" s="13">
        <f t="shared" si="2"/>
        <v>7152.63</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4275.5600000000004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479.8</v>
      </c>
      <c r="AM6" s="13">
        <f t="shared" si="3"/>
        <v>0</v>
      </c>
      <c r="AN6" s="13">
        <f t="shared" si="3"/>
        <v>3795.76</v>
      </c>
      <c r="AO6" s="13">
        <f t="shared" si="3"/>
        <v>0</v>
      </c>
      <c r="AP6" s="13">
        <f t="shared" si="3"/>
        <v>0</v>
      </c>
      <c r="AQ6" s="13">
        <f t="shared" si="3"/>
        <v>0</v>
      </c>
      <c r="AR6" s="13">
        <f t="shared" si="3"/>
        <v>0</v>
      </c>
      <c r="AS6" s="13">
        <f t="shared" si="3"/>
        <v>0</v>
      </c>
      <c r="AT6" s="17">
        <f>IF(C3="是",ROUND($A$3*AT5/$B$3,2),0)</f>
        <v>717.59</v>
      </c>
      <c r="AU6" s="1588"/>
      <c r="AV6" s="12" t="s">
        <v>1071</v>
      </c>
      <c r="AW6" s="1586"/>
      <c r="AX6" s="1586"/>
      <c r="AY6" s="18">
        <f>IF(AY3&gt;0,AY3,ROUND($A$3*AZ5/$B$3,2))</f>
        <v>20453.91</v>
      </c>
      <c r="AZ6" s="13" t="s">
        <v>2</v>
      </c>
      <c r="BA6" s="13">
        <f>ROUND($AY$6*BA5/$AZ$5,2)</f>
        <v>16178.35</v>
      </c>
      <c r="BB6" s="13">
        <f>ROUND($AY$6*BB5/$AZ$5,2)</f>
        <v>6450.78</v>
      </c>
      <c r="BC6" s="13">
        <f t="shared" ref="BC6:BH6" si="4">ROUND($AY$6*BC5/$AZ$5,2)</f>
        <v>2574.94</v>
      </c>
      <c r="BD6" s="13">
        <f t="shared" si="4"/>
        <v>7152.63</v>
      </c>
      <c r="BE6" s="13">
        <f t="shared" si="4"/>
        <v>0</v>
      </c>
      <c r="BF6" s="13">
        <f t="shared" si="4"/>
        <v>0</v>
      </c>
      <c r="BG6" s="13">
        <f t="shared" si="4"/>
        <v>0</v>
      </c>
      <c r="BH6" s="13">
        <f t="shared" si="4"/>
        <v>0</v>
      </c>
      <c r="BI6" s="13">
        <f t="shared" ref="BI6:BT6" si="5">ROUND($AY$6*BI5/$AZ$5,2)</f>
        <v>0</v>
      </c>
      <c r="BJ6" s="13">
        <f t="shared" si="5"/>
        <v>0</v>
      </c>
      <c r="BK6" s="13">
        <f t="shared" si="5"/>
        <v>0</v>
      </c>
      <c r="BL6" s="13">
        <f t="shared" si="5"/>
        <v>4275.5600000000004</v>
      </c>
      <c r="BM6" s="13">
        <f t="shared" si="5"/>
        <v>0</v>
      </c>
      <c r="BN6" s="13">
        <f t="shared" si="5"/>
        <v>0</v>
      </c>
      <c r="BO6" s="13">
        <f t="shared" si="5"/>
        <v>0</v>
      </c>
      <c r="BP6" s="13">
        <f t="shared" si="5"/>
        <v>0</v>
      </c>
      <c r="BQ6" s="13">
        <f t="shared" si="5"/>
        <v>479.8</v>
      </c>
      <c r="BR6" s="13">
        <f t="shared" si="5"/>
        <v>3795.76</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3383</v>
      </c>
      <c r="J9" s="809"/>
      <c r="K9" s="1603" t="s">
        <v>3403</v>
      </c>
      <c r="L9" s="809"/>
      <c r="M9" s="1603" t="s">
        <v>3403</v>
      </c>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3" t="s">
        <v>673</v>
      </c>
      <c r="L10" s="809"/>
      <c r="M10" s="1609" t="s">
        <v>3339</v>
      </c>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3384</v>
      </c>
      <c r="J11" s="1615"/>
      <c r="K11" s="1614" t="s">
        <v>3384</v>
      </c>
      <c r="L11" s="1615"/>
      <c r="M11" s="1614" t="s">
        <v>3339</v>
      </c>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t="str">
        <f>M11</f>
        <v>车库</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21171.5</v>
      </c>
      <c r="F13" s="29"/>
      <c r="G13" s="30">
        <f>H13+AC13+AT13</f>
        <v>53779.88</v>
      </c>
      <c r="H13" s="17">
        <f>SUMIF(I$12:AB$12,"总值",I13:AB13)</f>
        <v>41096.269999999997</v>
      </c>
      <c r="I13" s="1626">
        <f>面积表!B24+面积表!B25+面积表!B26</f>
        <v>16386.28</v>
      </c>
      <c r="J13" s="1626"/>
      <c r="K13" s="1626">
        <f>面积表!B33</f>
        <v>6540.87</v>
      </c>
      <c r="L13" s="1626"/>
      <c r="M13" s="1626">
        <f>面积表!B36</f>
        <v>18169.12</v>
      </c>
      <c r="N13" s="1626"/>
      <c r="O13" s="1626"/>
      <c r="P13" s="1626"/>
      <c r="Q13" s="1626"/>
      <c r="R13" s="1626"/>
      <c r="S13" s="1626"/>
      <c r="T13" s="1626"/>
      <c r="U13" s="1626"/>
      <c r="V13" s="1626"/>
      <c r="W13" s="1626"/>
      <c r="X13" s="1626"/>
      <c r="Y13" s="1626"/>
      <c r="Z13" s="1626"/>
      <c r="AA13" s="1626"/>
      <c r="AB13" s="1626"/>
      <c r="AC13" s="13">
        <f>SUMIF(AD$12:AS$12,"总值",AD13:AS13)</f>
        <v>10860.779999999999</v>
      </c>
      <c r="AD13" s="1627"/>
      <c r="AE13" s="1627"/>
      <c r="AF13" s="1627"/>
      <c r="AG13" s="1627"/>
      <c r="AH13" s="1627"/>
      <c r="AI13" s="1627"/>
      <c r="AJ13" s="1627"/>
      <c r="AK13" s="1627"/>
      <c r="AL13" s="1627">
        <f>面积表!B27+面积表!B28+面积表!B38</f>
        <v>1218.79</v>
      </c>
      <c r="AM13" s="1627"/>
      <c r="AN13" s="1627">
        <f>面积表!B34+面积表!B35+面积表!B31+面积表!B32</f>
        <v>9641.99</v>
      </c>
      <c r="AO13" s="1627"/>
      <c r="AP13" s="1627"/>
      <c r="AQ13" s="1627"/>
      <c r="AR13" s="1627"/>
      <c r="AS13" s="1627"/>
      <c r="AT13" s="1628">
        <f>面积表!B37</f>
        <v>1822.83</v>
      </c>
      <c r="AU13" s="1629"/>
      <c r="AV13" s="8">
        <f t="shared" ref="AV13:AX17" si="6">A13</f>
        <v>0</v>
      </c>
      <c r="AW13" s="8">
        <f t="shared" si="6"/>
        <v>0</v>
      </c>
      <c r="AX13" s="8">
        <f t="shared" si="6"/>
        <v>0</v>
      </c>
      <c r="AY13" s="1349">
        <f>ROUND($AY$6*AZ13/$AZ$5,2)</f>
        <v>20453.91</v>
      </c>
      <c r="AZ13" s="13">
        <f>BA13+BL13</f>
        <v>51957.049999999996</v>
      </c>
      <c r="BA13" s="13">
        <f>SUM(BB13:BK13)</f>
        <v>41096.269999999997</v>
      </c>
      <c r="BB13" s="13">
        <f>IF($D13="是",I13-J13,0)</f>
        <v>16386.28</v>
      </c>
      <c r="BC13" s="13">
        <f>IF($D13="是",K13-L13,0)</f>
        <v>6540.87</v>
      </c>
      <c r="BD13" s="13">
        <f>IF($D13="是",M13-N13,0)</f>
        <v>18169.12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10860.779999999999</v>
      </c>
      <c r="BM13" s="13">
        <f>IF($D13="是",AD13-AE13,0)</f>
        <v>0</v>
      </c>
      <c r="BN13" s="13">
        <f>IF($D13="是",AF13-AG13,0)</f>
        <v>0</v>
      </c>
      <c r="BO13" s="13">
        <f>IF($D13="是",AH13-AI13,0)</f>
        <v>0</v>
      </c>
      <c r="BP13" s="13">
        <f>IF($D13="是",AJ13-AK13,0)</f>
        <v>0</v>
      </c>
      <c r="BQ13" s="13">
        <f>IF($D13="是",AL13-AM13,0)</f>
        <v>1218.79</v>
      </c>
      <c r="BR13" s="13">
        <f>IF($D13="是",AN13-AO13,0)</f>
        <v>9641.99</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6" sqref="F3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84" t="s">
        <v>1130</v>
      </c>
      <c r="B2" s="3584"/>
      <c r="C2" s="3584"/>
      <c r="D2" s="796" t="s">
        <v>1106</v>
      </c>
      <c r="E2" s="1639" t="s">
        <v>1107</v>
      </c>
      <c r="F2" s="2659"/>
      <c r="G2" s="2650"/>
      <c r="H2" s="2651"/>
      <c r="I2" s="2325" t="s">
        <v>1131</v>
      </c>
      <c r="J2" s="2659"/>
      <c r="K2" s="2659"/>
      <c r="L2" s="2659"/>
      <c r="M2" s="2659"/>
      <c r="N2" s="2661"/>
      <c r="O2" s="2659"/>
      <c r="P2" s="2659"/>
    </row>
    <row r="3" spans="1:16" ht="15.75" thickBot="1">
      <c r="A3" s="3585" t="s">
        <v>1104</v>
      </c>
      <c r="B3" s="3585"/>
      <c r="C3" s="3585"/>
      <c r="D3" s="43">
        <f>'数据-基础表'!AY6</f>
        <v>20453.91</v>
      </c>
      <c r="E3" s="43">
        <f>'数据-基础表'!AZ5</f>
        <v>51957.049999999996</v>
      </c>
      <c r="F3" s="2659"/>
      <c r="G3" s="1145"/>
      <c r="H3" s="1026" t="s">
        <v>1105</v>
      </c>
      <c r="I3" s="855">
        <f>ROUND('数据-基础表'!B3/'数据-基础表'!A3,2)</f>
        <v>2.54</v>
      </c>
      <c r="J3" s="2659"/>
      <c r="K3" s="2659"/>
      <c r="L3" s="2659"/>
      <c r="M3" s="2659"/>
      <c r="N3" s="2661"/>
      <c r="O3" s="2659"/>
      <c r="P3" s="2659"/>
    </row>
    <row r="4" spans="1:16" ht="15">
      <c r="A4" s="3586"/>
      <c r="B4" s="3587"/>
      <c r="C4" s="3588"/>
      <c r="D4" s="1641" t="s">
        <v>1106</v>
      </c>
      <c r="E4" s="1642" t="s">
        <v>1107</v>
      </c>
      <c r="F4" s="2659"/>
      <c r="G4" s="2652" t="s">
        <v>1132</v>
      </c>
      <c r="H4" s="1026" t="s">
        <v>1112</v>
      </c>
      <c r="I4" s="855">
        <f>ROUND(SUMIF('数据-基础表'!I9:AS9,"地上",'数据-基础表'!I5:AS5)/'数据-基础表'!A3,2)</f>
        <v>0.83</v>
      </c>
      <c r="J4" s="2659"/>
      <c r="K4" s="2659"/>
      <c r="L4" s="2659"/>
      <c r="M4" s="2659"/>
      <c r="N4" s="2661"/>
      <c r="O4" s="2659"/>
      <c r="P4" s="2659"/>
    </row>
    <row r="5" spans="1:16">
      <c r="A5" s="44" t="s">
        <v>1108</v>
      </c>
      <c r="B5" s="3589" t="s">
        <v>1109</v>
      </c>
      <c r="C5" s="3589"/>
      <c r="D5" s="45">
        <f>ROUND($D$3*E5/$E$3,2)</f>
        <v>0</v>
      </c>
      <c r="E5" s="46">
        <f>SUMIF('数据-基础表'!$11:$11,"住宅",'数据-基础表'!$5:$5)</f>
        <v>0</v>
      </c>
      <c r="F5" s="2659"/>
      <c r="G5" s="1145"/>
      <c r="H5" s="1026" t="s">
        <v>1105</v>
      </c>
      <c r="I5" s="855">
        <f>ROUND(E31/D31,2)</f>
        <v>2.54</v>
      </c>
      <c r="J5" s="2659"/>
      <c r="K5" s="2659"/>
      <c r="L5" s="2659"/>
      <c r="M5" s="2659"/>
      <c r="N5" s="2659"/>
      <c r="O5" s="2659"/>
      <c r="P5" s="2659"/>
    </row>
    <row r="6" spans="1:16" ht="15" thickBot="1">
      <c r="A6" s="1644"/>
      <c r="B6" s="3589" t="s">
        <v>1110</v>
      </c>
      <c r="C6" s="3589"/>
      <c r="D6" s="45">
        <f>ROUND($D$3*E6/$E$3,2)</f>
        <v>20453.91</v>
      </c>
      <c r="E6" s="46">
        <f>E3-E5</f>
        <v>51957.049999999996</v>
      </c>
      <c r="F6" s="2659"/>
      <c r="G6" s="2653" t="s">
        <v>1111</v>
      </c>
      <c r="H6" s="1146" t="s">
        <v>1112</v>
      </c>
      <c r="I6" s="2654">
        <f>ROUND(F31/D31,2)</f>
        <v>0.86</v>
      </c>
      <c r="J6" s="2659"/>
      <c r="K6" s="2659"/>
      <c r="L6" s="2659"/>
      <c r="M6" s="2659"/>
      <c r="N6" s="2659"/>
      <c r="O6" s="2659"/>
      <c r="P6" s="2659"/>
    </row>
    <row r="7" spans="1:16" ht="15.75" thickBot="1">
      <c r="A7" s="3581"/>
      <c r="B7" s="3582"/>
      <c r="C7" s="3583"/>
      <c r="D7" s="1641" t="s">
        <v>1106</v>
      </c>
      <c r="E7" s="1645" t="s">
        <v>1113</v>
      </c>
      <c r="F7" s="2659"/>
      <c r="G7" s="2655" t="s">
        <v>1114</v>
      </c>
      <c r="H7" s="2656"/>
      <c r="I7" s="2657">
        <v>1</v>
      </c>
      <c r="J7" s="2659"/>
      <c r="K7" s="2659"/>
      <c r="L7" s="2659"/>
      <c r="M7" s="2659"/>
      <c r="N7" s="2659"/>
      <c r="O7" s="2659"/>
      <c r="P7" s="2659"/>
    </row>
    <row r="8" spans="1:16">
      <c r="A8" s="44" t="s">
        <v>1115</v>
      </c>
      <c r="B8" s="47" t="s">
        <v>1116</v>
      </c>
      <c r="C8" s="45" t="s">
        <v>1117</v>
      </c>
      <c r="D8" s="45">
        <f t="shared" ref="D8:D15" si="0">ROUND($D$3*E8/$E$3,2)</f>
        <v>6450.78</v>
      </c>
      <c r="E8" s="48">
        <f>SUMIF('数据-基础表'!BB10:BK10,"地上",'数据-基础表'!BB5:BK5)</f>
        <v>16386.28</v>
      </c>
      <c r="F8" s="2659"/>
      <c r="G8" s="2660"/>
      <c r="H8" s="2660"/>
      <c r="I8" s="2659"/>
      <c r="J8" s="2659"/>
      <c r="K8" s="2659"/>
      <c r="L8" s="2659"/>
      <c r="M8" s="2659"/>
      <c r="N8" s="2659"/>
      <c r="O8" s="2659"/>
      <c r="P8" s="2659"/>
    </row>
    <row r="9" spans="1:16">
      <c r="A9" s="1646"/>
      <c r="B9" s="1647"/>
      <c r="C9" s="45" t="s">
        <v>1118</v>
      </c>
      <c r="D9" s="45">
        <f t="shared" si="0"/>
        <v>0</v>
      </c>
      <c r="E9" s="49">
        <v>0</v>
      </c>
      <c r="F9" s="2659"/>
      <c r="G9" s="2660"/>
      <c r="H9" s="2660"/>
      <c r="I9" s="2659"/>
      <c r="J9" s="2659"/>
      <c r="K9" s="2659"/>
      <c r="L9" s="2659"/>
      <c r="M9" s="2659"/>
      <c r="N9" s="2659"/>
      <c r="O9" s="2659"/>
      <c r="P9" s="2659"/>
    </row>
    <row r="10" spans="1:16">
      <c r="A10" s="1646"/>
      <c r="B10" s="1647"/>
      <c r="C10" s="45" t="s">
        <v>1127</v>
      </c>
      <c r="D10" s="45">
        <f t="shared" si="0"/>
        <v>2574.94</v>
      </c>
      <c r="E10" s="48">
        <f>SUMPRODUCT(('数据-基础表'!BB10:BK10="地下")*('数据-基础表'!BB11:BK11="商业")*('数据-基础表'!BB5:BK5))</f>
        <v>6540.87</v>
      </c>
      <c r="F10" s="2659"/>
      <c r="G10" s="2660"/>
      <c r="H10" s="2660"/>
      <c r="I10" s="2659"/>
      <c r="J10" s="2659"/>
      <c r="K10" s="2659"/>
      <c r="L10" s="2659"/>
      <c r="M10" s="2659"/>
      <c r="N10" s="2659"/>
      <c r="O10" s="2659"/>
      <c r="P10" s="2659"/>
    </row>
    <row r="11" spans="1:16">
      <c r="A11" s="1646"/>
      <c r="B11" s="1647"/>
      <c r="C11" s="45" t="s">
        <v>1119</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1120</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1121</v>
      </c>
      <c r="D13" s="45">
        <f t="shared" si="0"/>
        <v>7152.63</v>
      </c>
      <c r="E13" s="48">
        <f>SUMPRODUCT(('数据-基础表'!BB10:BK10="地下")*('数据-基础表'!BB11:BK11="车库")*('数据-基础表'!BB5:BK5))</f>
        <v>18169.12</v>
      </c>
      <c r="F13" s="2659"/>
      <c r="G13" s="2660"/>
      <c r="H13" s="2660"/>
      <c r="I13" s="2659"/>
      <c r="J13" s="2659"/>
      <c r="K13" s="2659"/>
      <c r="L13" s="2659"/>
      <c r="M13" s="2659"/>
      <c r="N13" s="2659"/>
      <c r="O13" s="2659"/>
      <c r="P13" s="2659"/>
    </row>
    <row r="14" spans="1:16">
      <c r="A14" s="1646"/>
      <c r="B14" s="1647"/>
      <c r="C14" s="45" t="s">
        <v>1133</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1128</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1122</v>
      </c>
      <c r="D16" s="47">
        <f>SUM(D8:D15)</f>
        <v>16178.349999999999</v>
      </c>
      <c r="E16" s="50">
        <f>SUM(E8:E15)</f>
        <v>41096.269999999997</v>
      </c>
      <c r="F16" s="2659"/>
      <c r="G16" s="2660"/>
      <c r="H16" s="1648" t="s">
        <v>1134</v>
      </c>
      <c r="I16" s="1649"/>
      <c r="J16" s="1139"/>
      <c r="K16" s="3578" t="s">
        <v>1134</v>
      </c>
      <c r="L16" s="3579"/>
      <c r="M16" s="3579"/>
      <c r="N16" s="3579"/>
      <c r="O16" s="3579"/>
      <c r="P16" s="3580"/>
    </row>
    <row r="17" spans="1:19" ht="15">
      <c r="A17" s="1650" t="s">
        <v>1135</v>
      </c>
      <c r="B17" s="1651" t="s">
        <v>1136</v>
      </c>
      <c r="C17" s="1652" t="s">
        <v>1137</v>
      </c>
      <c r="D17" s="1653" t="s">
        <v>1125</v>
      </c>
      <c r="E17" s="1654" t="s">
        <v>1126</v>
      </c>
      <c r="F17" s="1655"/>
      <c r="G17" s="1656"/>
      <c r="H17" s="1657" t="s">
        <v>1138</v>
      </c>
      <c r="I17" s="1658" t="s">
        <v>1123</v>
      </c>
      <c r="J17" s="1139"/>
      <c r="K17" s="3575" t="s">
        <v>1139</v>
      </c>
      <c r="L17" s="3576"/>
      <c r="M17" s="3577"/>
      <c r="N17" s="3575" t="s">
        <v>1140</v>
      </c>
      <c r="O17" s="3576"/>
      <c r="P17" s="3577"/>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6" t="s">
        <v>3404</v>
      </c>
      <c r="D19" s="45">
        <f>ROUND($D$3*E19/$E$3,2)</f>
        <v>9025.7199999999993</v>
      </c>
      <c r="E19" s="53">
        <f t="shared" ref="E19:E26" si="1">SUM(F19:G19)</f>
        <v>22927.149999999998</v>
      </c>
      <c r="F19" s="2794">
        <f>'数据-基础表'!I5</f>
        <v>16386.28</v>
      </c>
      <c r="G19" s="2795">
        <f>'数据-基础表'!K5</f>
        <v>6540.87</v>
      </c>
      <c r="H19" s="670">
        <f>ROUND($D$3*I19/$E$3,2)</f>
        <v>2385.29</v>
      </c>
      <c r="I19" s="48">
        <f t="shared" ref="I19:I26" si="2">IF($I$17="自定义",P19,M19)</f>
        <v>6059.11</v>
      </c>
      <c r="J19" s="1139"/>
      <c r="K19" s="1138">
        <f t="shared" ref="K19:K26" si="3">ROUND(E$28*E19/E$27,2)</f>
        <v>6059.11</v>
      </c>
      <c r="L19" s="1026">
        <f t="shared" ref="L19:L26" si="4">ROUND(IF(COUNTIF(C19,"*住宅*")&gt;0,E$29*E19/E$32,0),2)</f>
        <v>0</v>
      </c>
      <c r="M19" s="1150">
        <f>K19+L19</f>
        <v>6059.11</v>
      </c>
      <c r="N19" s="1668"/>
      <c r="O19" s="1669"/>
      <c r="P19" s="1150">
        <f>N19+O19</f>
        <v>0</v>
      </c>
      <c r="R19" s="1026">
        <f t="shared" ref="R19:S26" si="5">D19+H19</f>
        <v>11411.009999999998</v>
      </c>
      <c r="S19" s="1027">
        <f t="shared" si="5"/>
        <v>28986.26</v>
      </c>
    </row>
    <row r="20" spans="1:19">
      <c r="A20" s="1670"/>
      <c r="B20" s="47" t="s">
        <v>1152</v>
      </c>
      <c r="C20" s="3416" t="s">
        <v>3405</v>
      </c>
      <c r="D20" s="45">
        <f t="shared" ref="D20:D26" si="6">ROUND($D$3*E20/$E$3,2)</f>
        <v>7152.63</v>
      </c>
      <c r="E20" s="53">
        <f t="shared" si="1"/>
        <v>18169.12</v>
      </c>
      <c r="F20" s="2794"/>
      <c r="G20" s="2795">
        <f>'数据-基础表'!M5</f>
        <v>18169.12</v>
      </c>
      <c r="H20" s="670">
        <f t="shared" ref="H20:H26" si="7">ROUND($D$3*I20/$E$3,2)</f>
        <v>1890.27</v>
      </c>
      <c r="I20" s="48">
        <f t="shared" si="2"/>
        <v>4801.67</v>
      </c>
      <c r="J20" s="1139"/>
      <c r="K20" s="1138">
        <f t="shared" si="3"/>
        <v>4801.67</v>
      </c>
      <c r="L20" s="1026">
        <f t="shared" si="4"/>
        <v>0</v>
      </c>
      <c r="M20" s="1150">
        <f t="shared" ref="M20:M26" si="8">K20+L20</f>
        <v>4801.67</v>
      </c>
      <c r="N20" s="1668"/>
      <c r="O20" s="1669"/>
      <c r="P20" s="1150">
        <f t="shared" ref="P20:P26" si="9">N20+O20</f>
        <v>0</v>
      </c>
      <c r="R20" s="1026">
        <f t="shared" si="5"/>
        <v>9042.9</v>
      </c>
      <c r="S20" s="1027">
        <f t="shared" si="5"/>
        <v>22970.79</v>
      </c>
    </row>
    <row r="21" spans="1:19">
      <c r="A21" s="1670"/>
      <c r="B21" s="47" t="s">
        <v>1152</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16178.349999999999</v>
      </c>
      <c r="E27" s="1141">
        <f>IF(SUM(E19:E26)='数据-基础表'!BA5,SUM(E19:E26),IF(F27="地上面积有误","面积有误","地下面积有误"))</f>
        <v>41096.269999999997</v>
      </c>
      <c r="F27" s="1140">
        <f>IF(SUM(F19:F26)=E8,SUM(F19:F26),"地上面积有误")</f>
        <v>16386.28</v>
      </c>
      <c r="G27" s="1142">
        <f>SUM(G19:G26)</f>
        <v>24709.989999999998</v>
      </c>
      <c r="H27" s="1143">
        <f>SUM(H19:H26)</f>
        <v>4275.5599999999995</v>
      </c>
      <c r="I27" s="1144">
        <f>SUM(I19:I26)</f>
        <v>10860.779999999999</v>
      </c>
      <c r="J27" s="1139"/>
      <c r="K27" s="1147">
        <f>SUM(K19:K26)</f>
        <v>10860.779999999999</v>
      </c>
      <c r="L27" s="1148">
        <f>SUM(L19:L26)</f>
        <v>0</v>
      </c>
      <c r="M27" s="1151">
        <f>SUM(M19:M26)</f>
        <v>10860.779999999999</v>
      </c>
      <c r="N27" s="1147">
        <f t="shared" ref="N27:O27" si="10">SUM(N19:N26)</f>
        <v>0</v>
      </c>
      <c r="O27" s="1148">
        <f t="shared" si="10"/>
        <v>0</v>
      </c>
      <c r="P27" s="1149">
        <f>SUM(P19:P26)</f>
        <v>0</v>
      </c>
      <c r="R27" s="1028">
        <f>IF(SUM(R19:R26)=$D$3,SUM(R19:R26),SUM(R19:R26)&amp;"误差"&amp;ROUND(SUM(R19:R26)-$D$3,2))</f>
        <v>20453.909999999996</v>
      </c>
      <c r="S27" s="1026">
        <f>IF(SUM(S19:S26)=$E$3,SUM(S19:S26),SUM(S19:S26)&amp;"误差"&amp;ROUND(SUM(S19:S26)-E3,2))</f>
        <v>51957.05</v>
      </c>
    </row>
    <row r="28" spans="1:19">
      <c r="A28" s="1670"/>
      <c r="B28" s="47" t="s">
        <v>1154</v>
      </c>
      <c r="C28" s="1038" t="s">
        <v>1155</v>
      </c>
      <c r="D28" s="45">
        <f>ROUND($D$3*E28/$E$3,2)</f>
        <v>4275.5600000000004</v>
      </c>
      <c r="E28" s="53">
        <f>SUM(F28:G28)</f>
        <v>10860.779999999999</v>
      </c>
      <c r="F28" s="56">
        <f>'数据-基础表'!BQ5+'数据-基础表'!BS5</f>
        <v>1218.79</v>
      </c>
      <c r="G28" s="57">
        <f>'数据-基础表'!BR5+'数据-基础表'!BT5</f>
        <v>9641.99</v>
      </c>
      <c r="H28" s="2659"/>
      <c r="I28" s="2659"/>
      <c r="J28" s="2659"/>
      <c r="K28" s="2659"/>
      <c r="L28" s="2659"/>
      <c r="M28" s="2659"/>
      <c r="N28" s="2659"/>
      <c r="O28" s="2659"/>
      <c r="P28" s="2659"/>
    </row>
    <row r="29" spans="1:19">
      <c r="A29" s="1670"/>
      <c r="B29" s="47" t="s">
        <v>1154</v>
      </c>
      <c r="C29" s="1674" t="s">
        <v>1156</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1153</v>
      </c>
      <c r="D30" s="1140">
        <f>SUM(D28:D29)</f>
        <v>4275.5600000000004</v>
      </c>
      <c r="E30" s="1140">
        <f>SUM(E28:E29)</f>
        <v>10860.779999999999</v>
      </c>
      <c r="F30" s="1140">
        <f>SUM(F28:F29)</f>
        <v>1218.79</v>
      </c>
      <c r="G30" s="1142">
        <f>SUM(G28:G29)</f>
        <v>9641.99</v>
      </c>
      <c r="H30" s="2659"/>
      <c r="I30" s="2659"/>
      <c r="J30" s="2659"/>
      <c r="K30" s="2659"/>
      <c r="L30" s="2659"/>
      <c r="M30" s="2659"/>
      <c r="N30" s="2659"/>
      <c r="O30" s="2659"/>
      <c r="P30" s="2659"/>
    </row>
    <row r="31" spans="1:19" ht="15.75" thickBot="1">
      <c r="A31" s="1676"/>
      <c r="B31" s="1677"/>
      <c r="C31" s="835" t="s">
        <v>1157</v>
      </c>
      <c r="D31" s="676">
        <f>D27+D30</f>
        <v>20453.91</v>
      </c>
      <c r="E31" s="676">
        <f>E27+E30</f>
        <v>51957.049999999996</v>
      </c>
      <c r="F31" s="677">
        <f>F27+F30</f>
        <v>17605.07</v>
      </c>
      <c r="G31" s="678">
        <f>G27+G30</f>
        <v>34351.979999999996</v>
      </c>
      <c r="H31" s="2659"/>
      <c r="I31" s="2659"/>
      <c r="J31" s="2659"/>
      <c r="K31" s="2659"/>
      <c r="L31" s="2659"/>
      <c r="M31" s="2659"/>
      <c r="N31" s="2659"/>
      <c r="O31" s="2659"/>
      <c r="P31" s="2659"/>
    </row>
    <row r="32" spans="1:19">
      <c r="A32" s="1643"/>
      <c r="B32" s="1643" t="s">
        <v>1158</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Q23" sqref="Q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0.25" style="1682" customWidth="1"/>
    <col min="22" max="22" width="6.375" style="1682" customWidth="1"/>
    <col min="23" max="24" width="6.75" style="1682" customWidth="1"/>
    <col min="25" max="25" width="9.62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1160</v>
      </c>
      <c r="B2" s="1045">
        <f>项目基本情况!D3</f>
        <v>44985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8"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3442</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57486</v>
      </c>
      <c r="F6" s="64">
        <f>SUMIF(项目基本情况!C$12:I$12,C6,项目基本情况!C$15:I$15)</f>
        <v>34.24</v>
      </c>
      <c r="G6" s="65">
        <f>IF(ISERROR(ROUND(POWER(1+H6,D6-F6)*(POWER(1+H6,F6)-1)/(POWER(1+H6,D6)-1),3)),0,ROUND(POWER(1+H6,D6-F6)*(POWER(1+H6,F6)-1)/(POWER(1+H6,D6)-1),3))</f>
        <v>0.94599999999999995</v>
      </c>
      <c r="H6" s="732">
        <v>0.05</v>
      </c>
      <c r="I6" s="732">
        <v>5.5E-2</v>
      </c>
      <c r="J6" s="66">
        <v>7.0000000000000007E-2</v>
      </c>
      <c r="K6" s="1030">
        <f>SUMIF('数据-汇总表'!C$19:C$33,A6,'数据-汇总表'!E$19:E$33)</f>
        <v>22927.149999999998</v>
      </c>
      <c r="L6" s="733">
        <v>5000</v>
      </c>
      <c r="M6" s="67">
        <f t="shared" ref="M6:M14" si="0">ROUND(K6*L6/10000,0)</f>
        <v>11464</v>
      </c>
      <c r="N6" s="731">
        <v>1</v>
      </c>
      <c r="O6" s="67" t="str">
        <f>IF($N$5="成新度","——",ROUND(M6*N6,0))</f>
        <v>——</v>
      </c>
      <c r="P6" s="68" t="str">
        <f>IF($N$5="成新度","——",M6-O6)</f>
        <v>——</v>
      </c>
      <c r="Q6" s="734">
        <v>0.2</v>
      </c>
      <c r="R6" s="69">
        <f ca="1">SUMIF('数据-汇总表'!C$19:C$33,A6,'数据-汇总表'!R$19:R$27)</f>
        <v>11411.009999999998</v>
      </c>
      <c r="S6" s="51">
        <f>IF('数据-汇总表'!$I$17="按面积比例",SUMIF('数据-汇总表'!C$19:C$33,A6,'数据-汇总表'!K$19:K$33),SUMIF('数据-汇总表'!C$19:C$33,A6,'数据-汇总表'!N$19:N$33))</f>
        <v>6059.11</v>
      </c>
      <c r="T6" s="1172">
        <f>ROUND($L$14*S6/10000,0)</f>
        <v>3030</v>
      </c>
      <c r="U6" s="3427">
        <f>V22</f>
        <v>5.5</v>
      </c>
      <c r="V6" s="70">
        <v>0.03</v>
      </c>
      <c r="W6" s="70">
        <v>0.15</v>
      </c>
      <c r="X6" s="1040"/>
      <c r="Y6" s="71">
        <v>1</v>
      </c>
      <c r="Z6" s="72"/>
      <c r="AA6" s="66"/>
      <c r="AB6" s="66"/>
      <c r="AC6" s="1040"/>
      <c r="AD6" s="73"/>
      <c r="AE6" s="1041">
        <f ca="1">IF(AN6="",0,SUMIF(INDIRECT("'"&amp;AN6&amp;"'"&amp;"!E:E"),$AE$5,INDIRECT("'"&amp;AN6&amp;"'"&amp;"!F:F")))</f>
        <v>34.24</v>
      </c>
      <c r="AF6" s="1348"/>
      <c r="AG6" s="138">
        <f>IF(AF6="",0,AE6-AF6)</f>
        <v>0</v>
      </c>
      <c r="AH6" s="74"/>
      <c r="AI6" s="76">
        <v>365</v>
      </c>
      <c r="AJ6" s="77"/>
      <c r="AK6" s="78">
        <v>0.01</v>
      </c>
      <c r="AL6" s="79">
        <v>1E-3</v>
      </c>
      <c r="AM6" s="80">
        <v>0.01</v>
      </c>
      <c r="AN6" s="1715" t="s">
        <v>3443</v>
      </c>
      <c r="AO6" s="52">
        <f ca="1">SUMIF(INDIRECT("'"&amp;AN6&amp;"'"&amp;"!A:A"),"总价",INDIRECT("'"&amp;AN6&amp;"'"&amp;"!B:B"))</f>
        <v>66559</v>
      </c>
      <c r="AP6" s="1716">
        <f>IF(C6="住宅",K6*L6,0)</f>
        <v>0</v>
      </c>
      <c r="AQ6" s="52">
        <f>ROUND($L$14*$N$14*S6/10000,0)</f>
        <v>0</v>
      </c>
      <c r="AR6" s="52">
        <f>ROUND($L$14*(1-$N$14)*S6/10000,0)</f>
        <v>3030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3339</v>
      </c>
      <c r="D7" s="858">
        <f>SUMIF(项目基本情况!C$12:I$12,C7,项目基本情况!C$14:I$14)</f>
        <v>50</v>
      </c>
      <c r="E7" s="857">
        <f>IF(B7="","",SUMIF(项目基本情况!C$12:I$12,C7,项目基本情况!C$13:I$13))</f>
        <v>61138</v>
      </c>
      <c r="F7" s="64">
        <f>SUMIF(项目基本情况!C$12:I$12,C7,项目基本情况!C$15:I$15)</f>
        <v>44.25</v>
      </c>
      <c r="G7" s="65">
        <f t="shared" ref="G7:G11" si="2">IF(ISERROR(ROUND(POWER(1+H7,D7-F7)*(POWER(1+H7,F7)-1)/(POWER(1+H7,D7)-1),3)),0,ROUND(POWER(1+H7,D7-F7)*(POWER(1+H7,F7)-1)/(POWER(1+H7,D7)-1),3))</f>
        <v>0.96399999999999997</v>
      </c>
      <c r="H7" s="732">
        <v>4.4999999999999998E-2</v>
      </c>
      <c r="I7" s="732">
        <v>0.05</v>
      </c>
      <c r="J7" s="66">
        <v>7.0000000000000007E-2</v>
      </c>
      <c r="K7" s="1030">
        <f>SUMIF('数据-汇总表'!C$19:C$33,A7,'数据-汇总表'!E$19:E$33)</f>
        <v>18169.12</v>
      </c>
      <c r="L7" s="733">
        <f>L6</f>
        <v>5000</v>
      </c>
      <c r="M7" s="67">
        <f t="shared" si="0"/>
        <v>9085</v>
      </c>
      <c r="N7" s="731">
        <v>1</v>
      </c>
      <c r="O7" s="67" t="str">
        <f t="shared" ref="O7:O14" si="3">IF($N$5="成新度","——",ROUND(M7*N7,0))</f>
        <v>——</v>
      </c>
      <c r="P7" s="68" t="str">
        <f t="shared" ref="P7:P14" si="4">IF($N$5="成新度","——",M7-O7)</f>
        <v>——</v>
      </c>
      <c r="Q7" s="734">
        <v>0.05</v>
      </c>
      <c r="R7" s="69">
        <f ca="1">SUMIF('数据-汇总表'!C$19:C$33,A7,'数据-汇总表'!R$19:R$27)</f>
        <v>9042.9</v>
      </c>
      <c r="S7" s="51">
        <f>IF('数据-汇总表'!$I$17="按面积比例",SUMIF('数据-汇总表'!C$19:C$33,A7,'数据-汇总表'!K$19:K$33),SUMIF('数据-汇总表'!C$19:C$33,A7,'数据-汇总表'!N$19:N$33))</f>
        <v>4801.67</v>
      </c>
      <c r="T7" s="1172">
        <f t="shared" ref="T7:T13" si="5">ROUND($L$14*S7/10000,0)</f>
        <v>2401</v>
      </c>
      <c r="U7" s="3427">
        <v>1000</v>
      </c>
      <c r="V7" s="70">
        <v>0.02</v>
      </c>
      <c r="W7" s="70">
        <v>0.15</v>
      </c>
      <c r="X7" s="1040"/>
      <c r="Y7" s="71">
        <v>1</v>
      </c>
      <c r="Z7" s="72"/>
      <c r="AA7" s="66"/>
      <c r="AB7" s="66"/>
      <c r="AC7" s="1040"/>
      <c r="AD7" s="73"/>
      <c r="AE7" s="1041">
        <f t="shared" ref="AE7:AE13" ca="1" si="6">IF(AN7="",0,SUMIF(INDIRECT("'"&amp;AN7&amp;"'"&amp;"!E:E"),$AE$5,INDIRECT("'"&amp;AN7&amp;"'"&amp;"!F:F")))</f>
        <v>44.25</v>
      </c>
      <c r="AF7" s="1348"/>
      <c r="AG7" s="138">
        <f t="shared" ref="AG7:AG13" si="7">IF(AF7="",0,AE7-AF7)</f>
        <v>0</v>
      </c>
      <c r="AH7" s="74">
        <f>ROUND(K7/35,0)</f>
        <v>519</v>
      </c>
      <c r="AI7" s="76">
        <v>12</v>
      </c>
      <c r="AJ7" s="77"/>
      <c r="AK7" s="78">
        <v>0.01</v>
      </c>
      <c r="AL7" s="79">
        <v>1E-3</v>
      </c>
      <c r="AM7" s="80">
        <v>0.01</v>
      </c>
      <c r="AN7" s="1715" t="s">
        <v>3444</v>
      </c>
      <c r="AO7" s="52">
        <f t="shared" ref="AO7:AO13" ca="1" si="8">SUMIF(INDIRECT("'"&amp;AN7&amp;"'"&amp;"!A:A"),"总价",INDIRECT("'"&amp;AN7&amp;"'"&amp;"!B:B"))</f>
        <v>6239</v>
      </c>
      <c r="AP7" s="1716">
        <f t="shared" ref="AP7:AP13" si="9">IF(C7="住宅",K7*L7,0)</f>
        <v>0</v>
      </c>
      <c r="AQ7" s="52">
        <f t="shared" ref="AQ7:AQ13" si="10">ROUND($L$14*$N$14*S7/10000,0)</f>
        <v>0</v>
      </c>
      <c r="AR7" s="52">
        <f t="shared" ref="AR7:AR13" si="11">ROUND($L$14*(1-$N$14)*S7/10000,0)</f>
        <v>2401</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10860.779999999999</v>
      </c>
      <c r="L14" s="82">
        <f>L6</f>
        <v>5000</v>
      </c>
      <c r="M14" s="67">
        <f t="shared" si="0"/>
        <v>5430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0.95399999999999996</v>
      </c>
      <c r="H16" s="90">
        <f>ROUND(SUMPRODUCT(H6:H13,K6:K13)/SUMPRODUCT((H6:H13&gt;0)*(K6:K13)),3)</f>
        <v>4.8000000000000001E-2</v>
      </c>
      <c r="I16" s="91"/>
      <c r="J16" s="91"/>
      <c r="K16" s="92">
        <f>SUM(K6:K15)</f>
        <v>51957.049999999996</v>
      </c>
      <c r="L16" s="93">
        <f>ROUND(M16*10000/SUM(K6:K14),0)</f>
        <v>5000</v>
      </c>
      <c r="M16" s="93">
        <f>SUM(M6:M14)</f>
        <v>25979</v>
      </c>
      <c r="N16" s="94">
        <f>ROUND(SUMPRODUCT(M6:M14,N6:N14)/M16,3)</f>
        <v>0.79100000000000004</v>
      </c>
      <c r="O16" s="93">
        <f>SUM(O6:O14)</f>
        <v>0</v>
      </c>
      <c r="P16" s="93">
        <f>SUM(P6:P14)</f>
        <v>0</v>
      </c>
      <c r="Q16" s="95">
        <f>ROUND(SUMPRODUCT(Q6:Q13,K6:K13)/SUMPRODUCT((Q6:Q13&gt;0)*(K6:K13)),2)</f>
        <v>0.13</v>
      </c>
      <c r="R16" s="1034">
        <f ca="1">SUM(R6:R13)</f>
        <v>20453.909999999996</v>
      </c>
      <c r="S16" s="96">
        <f>SUM(S6:S13)</f>
        <v>10860.779999999999</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1209</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1210</v>
      </c>
      <c r="B19" s="103">
        <v>0</v>
      </c>
      <c r="C19" s="2798" t="s">
        <v>2304</v>
      </c>
      <c r="D19" s="2676"/>
      <c r="E19" s="2673"/>
      <c r="F19" s="2673"/>
      <c r="G19" s="2673"/>
      <c r="H19" s="2673"/>
      <c r="I19" s="2673"/>
      <c r="J19" s="2673"/>
      <c r="K19" s="2672"/>
      <c r="L19" s="2672"/>
      <c r="M19" s="2671"/>
      <c r="N19" s="2671"/>
      <c r="O19" s="2671"/>
      <c r="P19" s="2671"/>
      <c r="Q19" s="2671"/>
      <c r="R19" s="2671"/>
      <c r="S19" s="2671"/>
      <c r="T19" s="1681"/>
      <c r="U19" s="3843" t="s">
        <v>3611</v>
      </c>
      <c r="V19" s="3843" t="s">
        <v>3610</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1211</v>
      </c>
      <c r="B20" s="104">
        <v>2</v>
      </c>
      <c r="C20" s="2799" t="s">
        <v>2302</v>
      </c>
      <c r="D20" s="2676"/>
      <c r="E20" s="2673"/>
      <c r="F20" s="2673"/>
      <c r="G20" s="2673"/>
      <c r="H20" s="2673"/>
      <c r="I20" s="2673"/>
      <c r="J20" s="2673"/>
      <c r="K20" s="2672"/>
      <c r="L20" s="2672"/>
      <c r="M20" s="2671"/>
      <c r="N20" s="2671"/>
      <c r="O20" s="2671"/>
      <c r="P20" s="2671"/>
      <c r="Q20" s="2671"/>
      <c r="R20" s="2671"/>
      <c r="S20" s="2671"/>
      <c r="T20" s="3844" t="s">
        <v>3612</v>
      </c>
      <c r="U20" s="1681">
        <f>'数据-汇总表'!F19</f>
        <v>16386.28</v>
      </c>
      <c r="V20" s="2671">
        <v>6.5</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1212</v>
      </c>
      <c r="B21" s="104">
        <v>2</v>
      </c>
      <c r="C21" s="2673"/>
      <c r="D21" s="2676"/>
      <c r="E21" s="2673"/>
      <c r="F21" s="2673"/>
      <c r="G21" s="2673"/>
      <c r="H21" s="2673"/>
      <c r="I21" s="2673"/>
      <c r="J21" s="2673"/>
      <c r="K21" s="2672"/>
      <c r="L21" s="2672"/>
      <c r="M21" s="2671"/>
      <c r="N21" s="2671"/>
      <c r="O21" s="2671"/>
      <c r="P21" s="2671"/>
      <c r="Q21" s="2671"/>
      <c r="R21" s="2671"/>
      <c r="S21" s="2671"/>
      <c r="T21" s="3843" t="s">
        <v>3613</v>
      </c>
      <c r="U21" s="2671">
        <f>'数据-汇总表'!G19</f>
        <v>6540.87</v>
      </c>
      <c r="V21" s="2671">
        <v>3</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1213</v>
      </c>
      <c r="B22" s="105">
        <f>B19+B20</f>
        <v>2</v>
      </c>
      <c r="C22" s="2673"/>
      <c r="D22" s="2676"/>
      <c r="E22" s="2673"/>
      <c r="F22" s="2673"/>
      <c r="G22" s="2673"/>
      <c r="H22" s="2673"/>
      <c r="I22" s="2673"/>
      <c r="J22" s="2673"/>
      <c r="K22" s="2672"/>
      <c r="L22" s="2672"/>
      <c r="M22" s="2671"/>
      <c r="N22" s="2671"/>
      <c r="O22" s="2671"/>
      <c r="P22" s="2671"/>
      <c r="Q22" s="2671"/>
      <c r="R22" s="2671"/>
      <c r="S22" s="2671"/>
      <c r="T22" s="2671"/>
      <c r="U22" s="2671">
        <f>U21+U20</f>
        <v>22927.149999999998</v>
      </c>
      <c r="V22" s="2671">
        <f>ROUND((V20*U20+V21*U21)/U22,1)</f>
        <v>5.5</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1214</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1215</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1216</v>
      </c>
      <c r="B26" s="1726" t="s">
        <v>1217</v>
      </c>
      <c r="C26" s="2677" t="s">
        <v>1218</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1219</v>
      </c>
      <c r="B27" s="107">
        <v>160</v>
      </c>
      <c r="C27" s="2800"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1039</v>
      </c>
      <c r="C29" s="2801"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2"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2"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2"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2"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1229</v>
      </c>
      <c r="B37" s="115">
        <v>0.02</v>
      </c>
      <c r="C37" s="2802"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1230</v>
      </c>
      <c r="B38" s="113">
        <v>0.02</v>
      </c>
      <c r="C38" s="2802"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1231</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4" t="s">
        <v>3416</v>
      </c>
      <c r="B40" s="1078">
        <f ca="1">IF(A40="利息：取LPR",存贷款利率!G1,存贷款利率!G1+C40)</f>
        <v>4.1499999999999995E-2</v>
      </c>
      <c r="C40" s="2813">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1232</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1233</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1234</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1235</v>
      </c>
      <c r="B44" s="119">
        <v>7.0000000000000007E-2</v>
      </c>
      <c r="C44" s="2802"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1236</v>
      </c>
      <c r="B45" s="117">
        <v>0.03</v>
      </c>
      <c r="C45" s="2801"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1237</v>
      </c>
      <c r="B46" s="117">
        <v>0.02</v>
      </c>
      <c r="C46" s="2801"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1238</v>
      </c>
      <c r="B47" s="120"/>
      <c r="C47" s="2804"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1239</v>
      </c>
      <c r="B48" s="121">
        <v>0.03</v>
      </c>
      <c r="C48" s="2801"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1240</v>
      </c>
      <c r="B49" s="117">
        <v>5.0000000000000001E-4</v>
      </c>
      <c r="C49" s="2801"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1241</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1242</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1243</v>
      </c>
      <c r="B52" s="124">
        <f>SUMIF(A54:A63,B53,B54:B63)</f>
        <v>12</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1244</v>
      </c>
      <c r="B53" s="1738" t="s">
        <v>110</v>
      </c>
      <c r="C53" s="2661" t="s">
        <v>1245</v>
      </c>
      <c r="D53" s="2803"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1246</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1247</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1248</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1249</v>
      </c>
      <c r="B57" s="75">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1250</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1251</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1252</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1253</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1254</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1255</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90" t="s">
        <v>2285</v>
      </c>
      <c r="B1" s="3591"/>
      <c r="C1" s="3591"/>
      <c r="D1" s="3591"/>
      <c r="E1" s="3591"/>
      <c r="F1" s="3591"/>
      <c r="G1" s="359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8" sqref="F3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51957.049999999996</v>
      </c>
      <c r="C1" s="2686"/>
      <c r="D1" s="2686"/>
      <c r="E1" s="2686"/>
      <c r="F1" s="2686"/>
      <c r="G1" s="2687"/>
      <c r="H1" s="2688"/>
      <c r="I1" s="2688"/>
      <c r="J1" s="2688"/>
      <c r="K1" s="2688"/>
    </row>
    <row r="2" spans="1:11" ht="16.5">
      <c r="A2" s="2512" t="s">
        <v>653</v>
      </c>
      <c r="B2" s="2512">
        <f>SUM(C14:C23)</f>
        <v>20453.91</v>
      </c>
      <c r="C2" s="2686"/>
      <c r="D2" s="2686"/>
      <c r="E2" s="2686"/>
      <c r="F2" s="2686"/>
      <c r="G2" s="2687"/>
      <c r="H2" s="2688"/>
      <c r="I2" s="2688"/>
      <c r="J2" s="2688"/>
      <c r="K2" s="2688"/>
    </row>
    <row r="3" spans="1:11" ht="16.5">
      <c r="A3" s="2512" t="s">
        <v>662</v>
      </c>
      <c r="B3" s="2514">
        <f>项目基本情况!D3</f>
        <v>44985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99266</v>
      </c>
      <c r="C5" s="2512">
        <f ca="1">IF(B5=D14,结果表!H102,ROUND(B5*10000/$B$1,0))</f>
        <v>19105</v>
      </c>
      <c r="D5" s="2512">
        <f ca="1">ROUND(B5*10000/$B$2,0)</f>
        <v>48532</v>
      </c>
      <c r="E5" s="2686"/>
      <c r="F5" s="2687"/>
      <c r="G5" s="2687"/>
      <c r="H5" s="2688"/>
      <c r="I5" s="2688"/>
      <c r="J5" s="2688"/>
      <c r="K5" s="2688"/>
    </row>
    <row r="6" spans="1:11" ht="16.5">
      <c r="A6" s="2512" t="s">
        <v>656</v>
      </c>
      <c r="B6" s="2512">
        <f ca="1">SUM(G14:G23)</f>
        <v>99266</v>
      </c>
      <c r="C6" s="2512">
        <f ca="1">IF(B6=G14,结果表!H108,ROUND(B6*10000/$B$1,0))</f>
        <v>19105</v>
      </c>
      <c r="D6" s="2512">
        <f ca="1">ROUND(B6*10000/$B$2,0)</f>
        <v>48532</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f ca="1">IF(B8=I14,结果表!H112,ROUND(B8*10000/$B$1,0))</f>
        <v>8100</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0"/>
      <c r="F10" s="3444" t="s">
        <v>3363</v>
      </c>
      <c r="G10" s="3441"/>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51957.049999999996</v>
      </c>
      <c r="C14" s="2518">
        <f>结果表!C118</f>
        <v>20453.91</v>
      </c>
      <c r="D14" s="2518">
        <f ca="1">结果表!H118</f>
        <v>99266</v>
      </c>
      <c r="E14" s="2518">
        <f ca="1">ROUND(D14*10000/B14,0)</f>
        <v>19105</v>
      </c>
      <c r="F14" s="2518">
        <f ca="1">ROUND(D14*10000/C14,0)</f>
        <v>48532</v>
      </c>
      <c r="G14" s="2518">
        <f ca="1">结果表!D122</f>
        <v>99266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K34" sqref="K3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26" t="str">
        <f>项目基本情况!S2</f>
        <v>北京市丰台区西三环南路16号房地产</v>
      </c>
      <c r="B2" s="3627"/>
      <c r="C2" s="3627"/>
      <c r="D2" s="3627"/>
      <c r="E2" s="3627"/>
      <c r="F2" s="3627"/>
      <c r="G2" s="3627"/>
      <c r="H2" s="3627"/>
      <c r="I2" s="3628"/>
    </row>
    <row r="3" spans="1:12" ht="12.75">
      <c r="A3" s="3630" t="s">
        <v>1263</v>
      </c>
      <c r="B3" s="3631"/>
      <c r="C3" s="3631"/>
      <c r="D3" s="3631"/>
      <c r="E3" s="3631"/>
      <c r="F3" s="3631"/>
      <c r="G3" s="3631"/>
      <c r="H3" s="3631"/>
      <c r="I3" s="3631"/>
    </row>
    <row r="4" spans="1:12" ht="14.25">
      <c r="A4" s="1754" t="s">
        <v>1264</v>
      </c>
      <c r="B4" s="1755" t="s">
        <v>1265</v>
      </c>
      <c r="C4" s="1756" t="s">
        <v>3422</v>
      </c>
      <c r="D4" s="1756" t="s">
        <v>3451</v>
      </c>
      <c r="E4" s="3632" t="s">
        <v>1266</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6" t="s">
        <v>1267</v>
      </c>
      <c r="B5" s="3593">
        <v>25</v>
      </c>
      <c r="C5" s="3609"/>
      <c r="D5" s="3629"/>
      <c r="E5" s="131" t="s">
        <v>1268</v>
      </c>
      <c r="F5" s="1757"/>
      <c r="G5" s="1757"/>
      <c r="H5" s="1757"/>
      <c r="I5" s="1373"/>
    </row>
    <row r="6" spans="1:12" ht="12.75">
      <c r="A6" s="3606"/>
      <c r="B6" s="3593"/>
      <c r="C6" s="3610"/>
      <c r="D6" s="3629"/>
      <c r="E6" s="131" t="s">
        <v>1269</v>
      </c>
      <c r="F6" s="1757"/>
      <c r="G6" s="1757"/>
      <c r="H6" s="1757"/>
      <c r="I6" s="1373"/>
    </row>
    <row r="7" spans="1:12" ht="12.75">
      <c r="A7" s="3606"/>
      <c r="B7" s="3593"/>
      <c r="C7" s="3611"/>
      <c r="D7" s="3629"/>
      <c r="E7" s="131" t="s">
        <v>1270</v>
      </c>
      <c r="F7" s="1757"/>
      <c r="G7" s="1757"/>
      <c r="H7" s="1757"/>
      <c r="I7" s="1373"/>
    </row>
    <row r="8" spans="1:12" ht="12.75">
      <c r="A8" s="3606" t="s">
        <v>1271</v>
      </c>
      <c r="B8" s="3593">
        <v>15</v>
      </c>
      <c r="C8" s="3609"/>
      <c r="D8" s="3629"/>
      <c r="E8" s="131" t="s">
        <v>1272</v>
      </c>
      <c r="F8" s="1757"/>
      <c r="G8" s="1757"/>
      <c r="H8" s="1757"/>
      <c r="I8" s="1373"/>
    </row>
    <row r="9" spans="1:12" ht="12.75">
      <c r="A9" s="3606"/>
      <c r="B9" s="3593"/>
      <c r="C9" s="3611"/>
      <c r="D9" s="3629"/>
      <c r="E9" s="131" t="s">
        <v>1273</v>
      </c>
      <c r="F9" s="1757"/>
      <c r="G9" s="1757"/>
      <c r="H9" s="1757"/>
      <c r="I9" s="1373"/>
    </row>
    <row r="10" spans="1:12" ht="12.75">
      <c r="A10" s="3606" t="s">
        <v>1274</v>
      </c>
      <c r="B10" s="3593">
        <v>15</v>
      </c>
      <c r="C10" s="3609"/>
      <c r="D10" s="3629"/>
      <c r="E10" s="131" t="s">
        <v>1275</v>
      </c>
      <c r="F10" s="1757"/>
      <c r="G10" s="1757"/>
      <c r="H10" s="1757"/>
      <c r="I10" s="1373"/>
    </row>
    <row r="11" spans="1:12" ht="12.75">
      <c r="A11" s="3606"/>
      <c r="B11" s="3593"/>
      <c r="C11" s="3611"/>
      <c r="D11" s="3629"/>
      <c r="E11" s="131" t="s">
        <v>1276</v>
      </c>
      <c r="F11" s="1757"/>
      <c r="G11" s="1757"/>
      <c r="H11" s="1757"/>
      <c r="I11" s="1373"/>
    </row>
    <row r="12" spans="1:12" ht="12.75">
      <c r="A12" s="3606" t="s">
        <v>1277</v>
      </c>
      <c r="B12" s="3593">
        <v>15</v>
      </c>
      <c r="C12" s="3609"/>
      <c r="D12" s="3629"/>
      <c r="E12" s="131" t="s">
        <v>1278</v>
      </c>
      <c r="F12" s="1757"/>
      <c r="G12" s="1757"/>
      <c r="H12" s="1757"/>
      <c r="I12" s="1373"/>
    </row>
    <row r="13" spans="1:12" ht="12.75">
      <c r="A13" s="3606"/>
      <c r="B13" s="3593"/>
      <c r="C13" s="3611"/>
      <c r="D13" s="3629"/>
      <c r="E13" s="131" t="s">
        <v>1279</v>
      </c>
      <c r="F13" s="1757"/>
      <c r="G13" s="1757"/>
      <c r="H13" s="1757"/>
      <c r="I13" s="1373"/>
    </row>
    <row r="14" spans="1:12" ht="12.75">
      <c r="A14" s="3606" t="s">
        <v>1280</v>
      </c>
      <c r="B14" s="3593">
        <v>30</v>
      </c>
      <c r="C14" s="3609">
        <v>6</v>
      </c>
      <c r="D14" s="3629">
        <v>4</v>
      </c>
      <c r="E14" s="131" t="s">
        <v>1281</v>
      </c>
      <c r="F14" s="1757"/>
      <c r="G14" s="1757"/>
      <c r="H14" s="1757"/>
      <c r="I14" s="1373"/>
    </row>
    <row r="15" spans="1:12" ht="12.75">
      <c r="A15" s="3606"/>
      <c r="B15" s="3593"/>
      <c r="C15" s="3610"/>
      <c r="D15" s="3629"/>
      <c r="E15" s="131" t="s">
        <v>1282</v>
      </c>
      <c r="F15" s="1757"/>
      <c r="G15" s="1757"/>
      <c r="H15" s="1757"/>
      <c r="I15" s="1373"/>
    </row>
    <row r="16" spans="1:12" ht="12.75">
      <c r="A16" s="3606"/>
      <c r="B16" s="3593"/>
      <c r="C16" s="3611"/>
      <c r="D16" s="3629"/>
      <c r="E16" s="131" t="s">
        <v>1283</v>
      </c>
      <c r="F16" s="1757"/>
      <c r="G16" s="1757"/>
      <c r="H16" s="1757"/>
      <c r="I16" s="1373"/>
    </row>
    <row r="17" spans="1:36" ht="15">
      <c r="A17" s="1758" t="s">
        <v>1284</v>
      </c>
      <c r="B17" s="56"/>
      <c r="C17" s="132">
        <f>SUM(C5:C16)</f>
        <v>6</v>
      </c>
      <c r="D17" s="132">
        <f>SUM(D5:D16)</f>
        <v>4</v>
      </c>
      <c r="E17" s="129"/>
      <c r="F17" s="129"/>
      <c r="G17" s="129"/>
      <c r="H17" s="129"/>
      <c r="I17" s="129"/>
      <c r="K17" s="302"/>
      <c r="L17" s="302" t="s">
        <v>1285</v>
      </c>
      <c r="M17" s="302" t="s">
        <v>1286</v>
      </c>
    </row>
    <row r="18" spans="1:36" ht="31.9" customHeight="1" thickBot="1">
      <c r="A18" s="1759" t="s">
        <v>1287</v>
      </c>
      <c r="B18" s="1760"/>
      <c r="C18" s="133">
        <f>ROUND(C17/SUM(C17:D17),2)</f>
        <v>0.6</v>
      </c>
      <c r="D18" s="133">
        <f>1-C18</f>
        <v>0.4</v>
      </c>
      <c r="E18" s="3616" t="s">
        <v>2130</v>
      </c>
      <c r="F18" s="3617"/>
      <c r="G18" s="3617"/>
      <c r="H18" s="3617"/>
      <c r="I18" s="3617"/>
      <c r="K18" s="302" t="s">
        <v>1288</v>
      </c>
      <c r="L18" s="302">
        <f>IF(C1="",'数据-汇总表'!E3,SUMIF(项目类型,C1,'数据-汇总表'!E17:E26)+SUMIF(项目类型,C1,'数据-汇总表'!I17:I26))</f>
        <v>51957.049999999996</v>
      </c>
      <c r="M18" s="302">
        <f>IF(C1="",'数据-汇总表'!E3,SUMIF(项目类型,C1,'数据-汇总表'!E17:E26))</f>
        <v>51957.049999999996</v>
      </c>
    </row>
    <row r="19" spans="1:36" ht="15">
      <c r="A19" s="1761" t="s">
        <v>1289</v>
      </c>
      <c r="B19" s="1762" t="s">
        <v>1290</v>
      </c>
      <c r="C19" s="134">
        <f ca="1">SUMIF(INDIRECT("'"&amp;C4&amp;"'"&amp;"!A:A"),结果表!B19,INDIRECT("'"&amp;C4&amp;"'"&amp;"!B:B"))</f>
        <v>116912</v>
      </c>
      <c r="D19" s="135">
        <f ca="1">SUMIF(INDIRECT("'"&amp;D4&amp;"'"&amp;"!A:A"),结果表!B19,INDIRECT("'"&amp;D4&amp;"'"&amp;"!B:B"))</f>
        <v>72798</v>
      </c>
      <c r="E19" s="1761" t="s">
        <v>1291</v>
      </c>
      <c r="F19" s="1762" t="s">
        <v>1290</v>
      </c>
      <c r="G19" s="136">
        <f ca="1">ROUND(C19*$C$18+D19*$D$18,0)</f>
        <v>99266</v>
      </c>
      <c r="H19" s="1763" t="s">
        <v>1292</v>
      </c>
      <c r="I19" s="129"/>
      <c r="K19" s="302" t="s">
        <v>1293</v>
      </c>
      <c r="L19" s="302">
        <f>IF(C1="",'数据-汇总表'!D3,SUMIF(项目类型,C1,'数据-汇总表'!D17:D26)+SUMIF(项目类型,C1,'数据-汇总表'!H17:H27))</f>
        <v>20453.91</v>
      </c>
      <c r="M19" s="302">
        <f>IF(C1="",'数据-汇总表'!D3,SUMIF(项目类型,C1,'数据-汇总表'!D17:D26))</f>
        <v>20453.91</v>
      </c>
    </row>
    <row r="20" spans="1:36" ht="15">
      <c r="A20" s="1764"/>
      <c r="B20" s="1026" t="s">
        <v>1294</v>
      </c>
      <c r="C20" s="137">
        <f ca="1">SUMIF(INDIRECT("'"&amp;C4&amp;"'"&amp;"!A:A"),结果表!B20,INDIRECT("'"&amp;C4&amp;"'"&amp;"!B:B"))</f>
        <v>22502</v>
      </c>
      <c r="D20" s="138">
        <f ca="1">SUMIF(INDIRECT("'"&amp;D4&amp;"'"&amp;"!A:A"),结果表!B20,INDIRECT("'"&amp;D4&amp;"'"&amp;"!B:B"))</f>
        <v>14011</v>
      </c>
      <c r="E20" s="1764"/>
      <c r="F20" s="1026" t="s">
        <v>1294</v>
      </c>
      <c r="G20" s="139">
        <f ca="1">ROUND(C20*$C$18+D20*$D$18,0)</f>
        <v>19106</v>
      </c>
      <c r="H20" s="808" t="s">
        <v>1295</v>
      </c>
      <c r="I20" s="129">
        <f ca="1">G19/'数据-汇总表'!F31</f>
        <v>5.6384893669834888</v>
      </c>
    </row>
    <row r="21" spans="1:36" ht="15" customHeight="1" thickBot="1">
      <c r="A21" s="828"/>
      <c r="B21" s="1765" t="s">
        <v>1296</v>
      </c>
      <c r="C21" s="719">
        <f ca="1">ROUND(C19*10000/L19,0)</f>
        <v>57159</v>
      </c>
      <c r="D21" s="720">
        <f ca="1">ROUND(D19*10000/L19,0)</f>
        <v>35591</v>
      </c>
      <c r="E21" s="828"/>
      <c r="F21" s="1765" t="s">
        <v>1296</v>
      </c>
      <c r="G21" s="140">
        <f ca="1">ROUND(G19*10000/L19,0)</f>
        <v>48532</v>
      </c>
      <c r="H21" s="1766" t="s">
        <v>1295</v>
      </c>
      <c r="I21" s="129"/>
    </row>
    <row r="22" spans="1:36" ht="15" thickBot="1">
      <c r="A22" s="1688" t="s">
        <v>1297</v>
      </c>
      <c r="B22" s="1767"/>
      <c r="C22" s="1768"/>
      <c r="D22" s="721">
        <f ca="1">IF(C19&lt;D19,D19/C19-1,C19/D19-1)</f>
        <v>0.60597818621390687</v>
      </c>
      <c r="E22" s="129"/>
      <c r="F22" s="129"/>
      <c r="G22" s="129"/>
      <c r="H22" s="129"/>
      <c r="I22" s="129"/>
    </row>
    <row r="23" spans="1:36" ht="13.5" thickBot="1">
      <c r="A23" s="1747"/>
      <c r="B23" s="1747"/>
      <c r="C23" s="1747"/>
      <c r="D23" s="1747"/>
      <c r="E23" s="129"/>
      <c r="F23" s="129"/>
      <c r="G23" s="129"/>
      <c r="H23" s="129"/>
      <c r="I23" s="129"/>
    </row>
    <row r="24" spans="1:36" ht="14.25">
      <c r="A24" s="3600" t="s">
        <v>1298</v>
      </c>
      <c r="B24" s="1762" t="s">
        <v>1290</v>
      </c>
      <c r="C24" s="136">
        <f>IF(B30=0,0,D30)</f>
        <v>0</v>
      </c>
      <c r="D24" s="1769"/>
      <c r="E24" s="129"/>
      <c r="F24" s="129"/>
      <c r="G24" s="129"/>
      <c r="H24" s="129"/>
      <c r="I24" s="129"/>
    </row>
    <row r="25" spans="1:36" ht="14.25">
      <c r="A25" s="3601"/>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99266</v>
      </c>
      <c r="D32" s="1775" t="s">
        <v>3452</v>
      </c>
      <c r="E32" s="129"/>
      <c r="F32" s="129"/>
      <c r="G32" s="129"/>
      <c r="H32" s="129"/>
      <c r="I32" s="129"/>
    </row>
    <row r="33" spans="1:15" ht="15">
      <c r="A33" s="786" t="s">
        <v>1305</v>
      </c>
      <c r="B33" s="1776"/>
      <c r="C33" s="1777" t="s">
        <v>3453</v>
      </c>
      <c r="D33" s="1778" t="s">
        <v>3422</v>
      </c>
      <c r="E33" s="1779" t="s">
        <v>1306</v>
      </c>
      <c r="F33" s="1780" t="str">
        <f>IF(D32="楼面单价","取值（单价）","取值（总价）")</f>
        <v>取值（总价）</v>
      </c>
      <c r="G33" s="129"/>
      <c r="H33" s="129"/>
      <c r="I33" s="129"/>
    </row>
    <row r="34" spans="1:15" ht="15">
      <c r="A34" s="1781"/>
      <c r="B34" s="1782" t="s">
        <v>1307</v>
      </c>
      <c r="C34" s="148">
        <f ca="1">IF(C33="自定义",F34,C32-C35)</f>
        <v>74747</v>
      </c>
      <c r="D34" s="861">
        <f ca="1">IF(C33="自定义",ROUND(C34/C32,3),IF(C33="收益比率",SUMIF(INDIRECT("'"&amp;D33&amp;"'"&amp;"!b:b"),"土地收益比率",INDIRECT("'"&amp;D33&amp;"'"&amp;"!c:c")),SUMIF(INDIRECT("'"&amp;D33&amp;"'"&amp;"!b:b"),"土地成本比率",INDIRECT("'"&amp;D33&amp;"'"&amp;"!c:c"))))</f>
        <v>0.753</v>
      </c>
      <c r="E34" s="1783" t="s">
        <v>1308</v>
      </c>
      <c r="F34" s="1330"/>
      <c r="G34" s="129"/>
      <c r="H34" s="129"/>
      <c r="I34" s="129"/>
    </row>
    <row r="35" spans="1:15" ht="15.75" thickBot="1">
      <c r="A35" s="1784"/>
      <c r="B35" s="1785" t="s">
        <v>1309</v>
      </c>
      <c r="C35" s="1170">
        <f ca="1">IF(C33="自定义",F35,ROUND(C32*D35,0))</f>
        <v>24519</v>
      </c>
      <c r="D35" s="1171">
        <f ca="1">IF(C33="自定义",ROUND(C35/C32,3),IF(C33="收益比率",SUMIF(INDIRECT("'"&amp;D33&amp;"'"&amp;"!b:b"),"建筑物收益比率",INDIRECT("'"&amp;D33&amp;"'"&amp;"!c:c")),SUMIF(INDIRECT("'"&amp;D33&amp;"'"&amp;"!b:b"),"建筑物成本比率",INDIRECT("'"&amp;D33&amp;"'"&amp;"!c:c"))))</f>
        <v>0.247</v>
      </c>
      <c r="E35" s="1786" t="s">
        <v>1310</v>
      </c>
      <c r="F35" s="154"/>
      <c r="G35" s="129"/>
      <c r="H35" s="129"/>
      <c r="I35" s="129"/>
    </row>
    <row r="36" spans="1:15" ht="15.75" thickBot="1">
      <c r="A36" s="3620" t="s">
        <v>1311</v>
      </c>
      <c r="B36" s="1787" t="s">
        <v>1312</v>
      </c>
      <c r="C36" s="145"/>
      <c r="D36" s="1788"/>
      <c r="E36" s="1789"/>
      <c r="F36" s="1790"/>
      <c r="G36" s="129"/>
      <c r="H36" s="129"/>
      <c r="I36" s="129"/>
    </row>
    <row r="37" spans="1:15" ht="15.75" thickBot="1">
      <c r="A37" s="3621"/>
      <c r="B37" s="1674" t="s">
        <v>1313</v>
      </c>
      <c r="C37" s="147"/>
      <c r="D37" s="1139"/>
      <c r="E37" s="1139"/>
      <c r="F37" s="1790"/>
      <c r="G37" s="129"/>
      <c r="H37" s="129"/>
      <c r="I37" s="129"/>
    </row>
    <row r="38" spans="1:15" ht="15.75" thickBot="1">
      <c r="A38" s="3622"/>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97" t="s">
        <v>1325</v>
      </c>
      <c r="B45" s="3598"/>
      <c r="C45" s="3599"/>
      <c r="D45" s="155">
        <f ca="1">ROUND(H101*F45,0)</f>
        <v>99266</v>
      </c>
      <c r="E45" s="156" t="s">
        <v>1326</v>
      </c>
      <c r="F45" s="157">
        <v>1</v>
      </c>
      <c r="G45" s="158" t="s">
        <v>1327</v>
      </c>
      <c r="H45" s="129"/>
      <c r="I45" s="129"/>
      <c r="J45" s="3675" t="s">
        <v>1328</v>
      </c>
      <c r="K45" s="3675"/>
      <c r="L45" s="3675"/>
      <c r="M45" s="3675"/>
      <c r="N45" s="3675"/>
      <c r="O45" s="3675"/>
    </row>
    <row r="46" spans="1:15" ht="14.25" customHeight="1">
      <c r="A46" s="3594" t="s">
        <v>1329</v>
      </c>
      <c r="B46" s="3595"/>
      <c r="C46" s="3595"/>
      <c r="D46" s="3595"/>
      <c r="E46" s="3595"/>
      <c r="F46" s="3595"/>
      <c r="G46" s="3596"/>
      <c r="H46" s="1806"/>
      <c r="I46" s="159"/>
      <c r="J46" s="2523">
        <v>1</v>
      </c>
      <c r="K46" s="3656" t="s">
        <v>1330</v>
      </c>
      <c r="L46" s="3656"/>
      <c r="M46" s="3676"/>
      <c r="N46" s="3676"/>
      <c r="O46" s="3676"/>
    </row>
    <row r="47" spans="1:15" ht="12" customHeight="1">
      <c r="A47" s="160" t="s">
        <v>1331</v>
      </c>
      <c r="B47" s="161"/>
      <c r="C47" s="162"/>
      <c r="D47" s="1087" t="s">
        <v>1332</v>
      </c>
      <c r="E47" s="302" t="s">
        <v>1333</v>
      </c>
      <c r="F47" s="163" t="s">
        <v>1334</v>
      </c>
      <c r="G47" s="2546" t="s">
        <v>1335</v>
      </c>
      <c r="H47" s="2547"/>
      <c r="I47" s="159"/>
      <c r="J47" s="2523">
        <v>2</v>
      </c>
      <c r="K47" s="3656" t="s">
        <v>1336</v>
      </c>
      <c r="L47" s="3656"/>
      <c r="M47" s="3677">
        <f>'数据-取费表'!B2</f>
        <v>44985</v>
      </c>
      <c r="N47" s="3677"/>
      <c r="O47" s="3677"/>
    </row>
    <row r="48" spans="1:15" ht="25.5">
      <c r="A48" s="3625" t="s">
        <v>1337</v>
      </c>
      <c r="B48" s="3608"/>
      <c r="C48" s="360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1338</v>
      </c>
      <c r="H48" s="2550"/>
      <c r="I48" s="1806"/>
      <c r="J48" s="2523">
        <v>3</v>
      </c>
      <c r="K48" s="3656" t="s">
        <v>1339</v>
      </c>
      <c r="L48" s="3656"/>
      <c r="M48" s="3678">
        <f ca="1">H101</f>
        <v>99266</v>
      </c>
      <c r="N48" s="3678"/>
      <c r="O48" s="3678"/>
    </row>
    <row r="49" spans="1:35" ht="25.5" customHeight="1">
      <c r="A49" s="2333" t="s">
        <v>1340</v>
      </c>
      <c r="B49" s="3592" t="s">
        <v>1341</v>
      </c>
      <c r="C49" s="3592"/>
      <c r="D49" s="1590">
        <v>0</v>
      </c>
      <c r="E49" s="324" t="s">
        <v>1342</v>
      </c>
      <c r="F49" s="2424" t="s">
        <v>28</v>
      </c>
      <c r="G49" s="3662"/>
      <c r="H49" s="2310" t="s">
        <v>2133</v>
      </c>
      <c r="I49" s="2311"/>
      <c r="J49" s="2523">
        <v>4</v>
      </c>
      <c r="K49" s="3656" t="str">
        <f>IF(项目基本情况!E8="房地产抵押价值","房地产抵押价值","抵押担保权已注销时的房地产抵押价值")</f>
        <v>房地产抵押价值</v>
      </c>
      <c r="L49" s="3656"/>
      <c r="M49" s="3678">
        <f ca="1">IF(项目基本情况!E8="房地产抵押价值",H107,H109)</f>
        <v>99266</v>
      </c>
      <c r="N49" s="3678"/>
      <c r="O49" s="3678"/>
    </row>
    <row r="50" spans="1:35" ht="25.5" customHeight="1">
      <c r="A50" s="2551"/>
      <c r="B50" s="3592" t="s">
        <v>1343</v>
      </c>
      <c r="C50" s="3592"/>
      <c r="D50" s="2552"/>
      <c r="E50" s="332"/>
      <c r="F50" s="2424"/>
      <c r="G50" s="3663"/>
      <c r="H50" s="2312" t="s">
        <v>2134</v>
      </c>
      <c r="I50" s="2311"/>
      <c r="J50" s="3675" t="s">
        <v>1344</v>
      </c>
      <c r="K50" s="3675"/>
      <c r="L50" s="3675"/>
      <c r="M50" s="3675"/>
      <c r="N50" s="3675"/>
      <c r="O50" s="3675"/>
    </row>
    <row r="51" spans="1:35" ht="20.45" customHeight="1">
      <c r="A51" s="2553"/>
      <c r="B51" s="3592" t="s">
        <v>1345</v>
      </c>
      <c r="C51" s="3592"/>
      <c r="D51" s="1087"/>
      <c r="E51" s="327"/>
      <c r="F51" s="2424"/>
      <c r="G51" s="3664"/>
      <c r="H51" s="2312" t="s">
        <v>2135</v>
      </c>
      <c r="I51" s="2311"/>
      <c r="J51" s="2524" t="s">
        <v>1346</v>
      </c>
      <c r="K51" s="3656" t="s">
        <v>1347</v>
      </c>
      <c r="L51" s="3656"/>
      <c r="M51" s="2524" t="s">
        <v>1348</v>
      </c>
      <c r="N51" s="2524" t="s">
        <v>1349</v>
      </c>
      <c r="O51" s="2524" t="s">
        <v>1350</v>
      </c>
    </row>
    <row r="52" spans="1:35" ht="24" customHeight="1">
      <c r="A52" s="2335" t="s">
        <v>1351</v>
      </c>
      <c r="B52" s="3592" t="s">
        <v>1352</v>
      </c>
      <c r="C52" s="3592"/>
      <c r="D52" s="1087">
        <f ca="1">ROUND(D45*'数据-取费表'!B41/(1+'数据-取费表'!C42),0)</f>
        <v>5294</v>
      </c>
      <c r="E52" s="2334" t="s">
        <v>1353</v>
      </c>
      <c r="F52" s="2554">
        <f>'数据-取费表'!B41</f>
        <v>5.6000000000000001E-2</v>
      </c>
      <c r="G52" s="2555"/>
      <c r="H52" s="2544"/>
      <c r="I52" s="1807"/>
      <c r="J52" s="2523">
        <v>1</v>
      </c>
      <c r="K52" s="3657" t="s">
        <v>1354</v>
      </c>
      <c r="L52" s="3657"/>
      <c r="M52" s="2525" t="b">
        <f>D48</f>
        <v>0</v>
      </c>
      <c r="N52" s="2523" t="str">
        <f>E48</f>
        <v>销售额×税（费）率</v>
      </c>
      <c r="O52" s="2526">
        <f>F48</f>
        <v>5.6000000000000001E-2</v>
      </c>
    </row>
    <row r="53" spans="1:35" ht="12" customHeight="1">
      <c r="A53" s="2335" t="s">
        <v>1355</v>
      </c>
      <c r="B53" s="3618" t="s">
        <v>2290</v>
      </c>
      <c r="C53" s="3619"/>
      <c r="D53" s="1087">
        <f ca="1">ROUND(D45*'数据-取费表'!B41/(1+'数据-取费表'!C42),0)</f>
        <v>5294</v>
      </c>
      <c r="E53" s="2334" t="s">
        <v>1353</v>
      </c>
      <c r="F53" s="2554">
        <f>'数据-取费表'!B41</f>
        <v>5.6000000000000001E-2</v>
      </c>
      <c r="G53" s="2555"/>
      <c r="H53" s="2544"/>
      <c r="I53" s="1807"/>
      <c r="J53" s="2523">
        <v>2</v>
      </c>
      <c r="K53" s="3657" t="s">
        <v>1356</v>
      </c>
      <c r="L53" s="3657"/>
      <c r="M53" s="2525">
        <f t="shared" ref="M53:O54" ca="1" si="0">D55</f>
        <v>50</v>
      </c>
      <c r="N53" s="2523" t="str">
        <f t="shared" si="0"/>
        <v>销售额×税（费）率</v>
      </c>
      <c r="O53" s="2526" t="str">
        <f t="shared" si="0"/>
        <v>免征</v>
      </c>
    </row>
    <row r="54" spans="1:35" ht="12" customHeight="1">
      <c r="A54" s="2335" t="s">
        <v>1357</v>
      </c>
      <c r="B54" s="3618" t="s">
        <v>2291</v>
      </c>
      <c r="C54" s="3619"/>
      <c r="D54" s="1087">
        <f ca="1">C68</f>
        <v>5294</v>
      </c>
      <c r="E54" s="327" t="s">
        <v>1358</v>
      </c>
      <c r="F54" s="2554">
        <f>'数据-取费表'!B41</f>
        <v>5.6000000000000001E-2</v>
      </c>
      <c r="G54" s="2555"/>
      <c r="H54" s="2556"/>
      <c r="I54" s="1807"/>
      <c r="J54" s="2523">
        <v>3</v>
      </c>
      <c r="K54" s="3657" t="s">
        <v>1359</v>
      </c>
      <c r="L54" s="3657"/>
      <c r="M54" s="2525">
        <f t="shared" ca="1" si="0"/>
        <v>56185</v>
      </c>
      <c r="N54" s="2523" t="str">
        <f t="shared" si="0"/>
        <v>增值额×税（费）率</v>
      </c>
      <c r="O54" s="2527" t="str">
        <f t="shared" si="0"/>
        <v>免征</v>
      </c>
    </row>
    <row r="55" spans="1:35" ht="24" customHeight="1">
      <c r="A55" s="3607" t="s">
        <v>1360</v>
      </c>
      <c r="B55" s="3608"/>
      <c r="C55" s="3608"/>
      <c r="D55" s="2324">
        <f ca="1">IF(H55="个人住宅",0,ROUND(D45*I55,0))</f>
        <v>50</v>
      </c>
      <c r="E55" s="2334" t="s">
        <v>1361</v>
      </c>
      <c r="F55" s="2554" t="str">
        <f>IF(H55="正常",I55,"免征")</f>
        <v>免征</v>
      </c>
      <c r="G55" s="2555"/>
      <c r="H55" s="2550"/>
      <c r="I55" s="165">
        <f>'数据-取费表'!B49</f>
        <v>5.0000000000000001E-4</v>
      </c>
      <c r="J55" s="2523">
        <f>IF(H59="非个人房产","",4)</f>
        <v>4</v>
      </c>
      <c r="K55" s="3657" t="str">
        <f>IF(H59="非个人房产","——","个人所得税")</f>
        <v>个人所得税</v>
      </c>
      <c r="L55" s="3657"/>
      <c r="M55" s="2528">
        <f ca="1">D59</f>
        <v>945</v>
      </c>
      <c r="N55" s="2040" t="str">
        <f>E59</f>
        <v>差额计税</v>
      </c>
      <c r="O55" s="2529">
        <f>F59</f>
        <v>0.01</v>
      </c>
    </row>
    <row r="56" spans="1:35" ht="24.75">
      <c r="A56" s="3607" t="s">
        <v>1362</v>
      </c>
      <c r="B56" s="3608"/>
      <c r="C56" s="3608"/>
      <c r="D56" s="2324">
        <f ca="1">IF(H56="个人住宅",D57,D58)</f>
        <v>56185</v>
      </c>
      <c r="E56" s="2334" t="s">
        <v>1363</v>
      </c>
      <c r="F56" s="2554" t="str">
        <f>IF(H56="正常",F58,"免征")</f>
        <v>免征</v>
      </c>
      <c r="G56" s="2557" t="s">
        <v>1364</v>
      </c>
      <c r="H56" s="2558"/>
      <c r="I56" s="1808"/>
      <c r="J56" s="2523" t="str">
        <f>IF(项目基本情况!K6="上海银行",IF(J55="",4,J55+1),"")</f>
        <v/>
      </c>
      <c r="K56" s="3680" t="str">
        <f>IF(项目基本情况!K6="上海银行","其他处置费用","")</f>
        <v/>
      </c>
      <c r="L56" s="3681"/>
      <c r="M56" s="2525" t="str">
        <f>IF(项目基本情况!K6="上海银行",M69,"")</f>
        <v/>
      </c>
      <c r="N56" s="3680" t="str">
        <f>IF(项目基本情况!K6="上海银行","包含处置中涉及的律师、诉讼、拍卖、评估等费用","")</f>
        <v/>
      </c>
      <c r="O56" s="3683"/>
    </row>
    <row r="57" spans="1:35" ht="12.75">
      <c r="A57" s="2335" t="s">
        <v>1340</v>
      </c>
      <c r="B57" s="3618" t="s">
        <v>1365</v>
      </c>
      <c r="C57" s="3619"/>
      <c r="D57" s="1590">
        <v>0</v>
      </c>
      <c r="E57" s="324" t="s">
        <v>1342</v>
      </c>
      <c r="F57" s="302"/>
      <c r="G57" s="2555"/>
      <c r="H57" s="2559"/>
      <c r="I57" s="1808"/>
      <c r="J57" s="3657">
        <f>IF(AND(J55="",J56=""),4,IF(项目基本情况!K6="上海银行",结果表!J56+1,结果表!J55+1))</f>
        <v>5</v>
      </c>
      <c r="K57" s="3657" t="s">
        <v>1366</v>
      </c>
      <c r="L57" s="2530" t="s">
        <v>1367</v>
      </c>
      <c r="M57" s="2531"/>
      <c r="N57" s="2532">
        <f ca="1">SUMIF(M52:M56,"&lt;9e307")</f>
        <v>57180</v>
      </c>
      <c r="O57" s="2533"/>
      <c r="P57" s="2690">
        <f ca="1">N57/M49</f>
        <v>0.5760280458565874</v>
      </c>
    </row>
    <row r="58" spans="1:35" ht="24.75">
      <c r="A58" s="2335" t="s">
        <v>1351</v>
      </c>
      <c r="B58" s="3618" t="s">
        <v>1368</v>
      </c>
      <c r="C58" s="3592"/>
      <c r="D58" s="2324">
        <f ca="1">IF(H58="转让取得",C81,C97)</f>
        <v>56185</v>
      </c>
      <c r="E58" s="2334" t="s">
        <v>1363</v>
      </c>
      <c r="F58" s="302" t="s">
        <v>28</v>
      </c>
      <c r="G58" s="2555"/>
      <c r="H58" s="2558"/>
      <c r="I58" s="1808"/>
      <c r="J58" s="3657"/>
      <c r="K58" s="3657"/>
      <c r="L58" s="2530" t="s">
        <v>1369</v>
      </c>
      <c r="M58" s="2534"/>
      <c r="N58" s="2535" t="str">
        <f ca="1">NUMBERSTRING(INT(N57*10000),2)&amp;"元整"</f>
        <v>伍亿柒仟壹佰捌拾万元整</v>
      </c>
      <c r="O58" s="2536"/>
    </row>
    <row r="59" spans="1:35" ht="24.75" thickBot="1">
      <c r="A59" s="3660" t="s">
        <v>1370</v>
      </c>
      <c r="B59" s="3661"/>
      <c r="C59" s="3661"/>
      <c r="D59" s="2560">
        <f ca="1">IF(H59="非个人房产","——",IF(H59="个人住宅（满五唯一有凭证）",0,IF(H59="个人其他（无凭证）",ROUND(D45*F59,0),ROUND(C67*F59,0))))</f>
        <v>945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1364</v>
      </c>
      <c r="H59" s="2314"/>
      <c r="I59" s="2313" t="s">
        <v>2136</v>
      </c>
      <c r="J59" s="3658">
        <f>J57+1</f>
        <v>6</v>
      </c>
      <c r="K59" s="3657" t="s">
        <v>1371</v>
      </c>
      <c r="L59" s="2523" t="s">
        <v>1367</v>
      </c>
      <c r="M59" s="2537"/>
      <c r="N59" s="2538">
        <f ca="1">M49-N57</f>
        <v>42086</v>
      </c>
      <c r="O59" s="2539"/>
    </row>
    <row r="60" spans="1:35" ht="12" customHeight="1">
      <c r="A60" s="1809"/>
      <c r="B60" s="1747"/>
      <c r="C60" s="1747"/>
      <c r="D60" s="1747"/>
      <c r="E60" s="1578"/>
      <c r="F60" s="1808"/>
      <c r="G60" s="1808"/>
      <c r="H60" s="1810"/>
      <c r="I60" s="129"/>
      <c r="J60" s="3659"/>
      <c r="K60" s="3657"/>
      <c r="L60" s="2530" t="s">
        <v>1369</v>
      </c>
      <c r="M60" s="2534"/>
      <c r="N60" s="2535" t="str">
        <f ca="1">NUMBERSTRING(INT(N59*10000),2)&amp;"元整"</f>
        <v>肆亿贰仟零捌拾陆万元整</v>
      </c>
      <c r="O60" s="2536"/>
    </row>
    <row r="61" spans="1:35" ht="13.5" thickBot="1">
      <c r="A61" s="3605" t="s">
        <v>1372</v>
      </c>
      <c r="B61" s="3605"/>
      <c r="C61" s="3605"/>
      <c r="D61" s="3605"/>
      <c r="E61" s="3605"/>
      <c r="F61" s="1808"/>
      <c r="G61" s="1808"/>
      <c r="H61" s="1810"/>
      <c r="I61" s="129"/>
      <c r="J61" s="2523">
        <f>J59+1</f>
        <v>7</v>
      </c>
      <c r="K61" s="3657" t="s">
        <v>1373</v>
      </c>
      <c r="L61" s="3657"/>
      <c r="M61" s="2540"/>
      <c r="N61" s="2541">
        <f ca="1">ROUND(N59*10000/'数据-汇总表'!E3,0)</f>
        <v>8100</v>
      </c>
      <c r="O61" s="2542"/>
    </row>
    <row r="62" spans="1:35" ht="12.75">
      <c r="A62" s="3623" t="s">
        <v>1374</v>
      </c>
      <c r="B62" s="3624"/>
      <c r="C62" s="2021"/>
      <c r="D62" s="2021" t="s">
        <v>1375</v>
      </c>
      <c r="E62" s="166" t="s">
        <v>1376</v>
      </c>
      <c r="F62" s="1808"/>
      <c r="G62" s="1808"/>
      <c r="H62" s="1810"/>
      <c r="I62" s="129"/>
    </row>
    <row r="63" spans="1:35" ht="12.75">
      <c r="A63" s="173" t="s">
        <v>330</v>
      </c>
      <c r="B63" s="167" t="s">
        <v>1377</v>
      </c>
      <c r="C63" s="2564">
        <f ca="1">ROUND((C64+C65)/(1+'数据-取费表'!C42),0)</f>
        <v>94539</v>
      </c>
      <c r="D63" s="167"/>
      <c r="E63" s="168"/>
      <c r="F63" s="1808"/>
      <c r="G63" s="1808"/>
      <c r="H63" s="1810"/>
      <c r="I63" s="129"/>
      <c r="J63" s="3682" t="s">
        <v>1378</v>
      </c>
      <c r="K63" s="1332" t="s">
        <v>1379</v>
      </c>
      <c r="L63" s="1332">
        <f ca="1">IF(M49&gt;10000,M49*0.5%,IF(AND(M49&gt;1000,M49&lt;=10000),M49*1%,IF(AND(M49&gt;100,M49&lt;=1000),M49*3%,IF(AND(M49&gt;10,M49&lt;=100),M49*5%,M49*8%))))</f>
        <v>496.33</v>
      </c>
      <c r="M63" s="302">
        <f ca="1">ROUND(L63,1)</f>
        <v>496.3</v>
      </c>
      <c r="N63" s="2543"/>
      <c r="Z63" s="1752"/>
      <c r="AI63" s="1753"/>
    </row>
    <row r="64" spans="1:35" ht="14.25" customHeight="1">
      <c r="A64" s="169" t="s">
        <v>325</v>
      </c>
      <c r="B64" s="170" t="s">
        <v>1380</v>
      </c>
      <c r="C64" s="2565">
        <f ca="1">D45</f>
        <v>99266</v>
      </c>
      <c r="D64" s="170" t="s">
        <v>26</v>
      </c>
      <c r="E64" s="172"/>
      <c r="F64" s="1808"/>
      <c r="G64" s="1808"/>
      <c r="H64" s="1810"/>
      <c r="I64" s="129"/>
      <c r="J64" s="3682"/>
      <c r="K64" s="1332" t="s">
        <v>1381</v>
      </c>
      <c r="L64" s="1332">
        <f ca="1">IF(M49&gt;2000,M49*0.5%,IF(AND(M49&gt;1000,M49&lt;=2000),M49*0.6%,IF(AND(M49&gt;500,M49&lt;=1000),M49*0.7%,IF(AND(M49&gt;200,M49&lt;=500),M49*0.8%,IF(AND(M49&gt;100,M49&lt;=200),M49*0.9%,IF(AND(M49&gt;50,M49&lt;=100),M49*1%,IF(AND(M49&gt;20,M49&lt;=50),M49*1.5%,IF(AND(M49&gt;10,M49&lt;=20),M49*2%,IF(AND(M49&gt;1,M49&lt;=10),M49*2.5%)))))))))</f>
        <v>496.33</v>
      </c>
      <c r="M64" s="302">
        <f t="shared" ref="M64:M65" ca="1" si="1">ROUND(L64,1)</f>
        <v>496.3</v>
      </c>
      <c r="N64" s="2544" t="s">
        <v>1382</v>
      </c>
      <c r="Z64" s="1752"/>
      <c r="AI64" s="1753"/>
    </row>
    <row r="65" spans="1:35" ht="14.25" customHeight="1">
      <c r="A65" s="169" t="s">
        <v>326</v>
      </c>
      <c r="B65" s="170" t="s">
        <v>1383</v>
      </c>
      <c r="C65" s="2566"/>
      <c r="D65" s="170"/>
      <c r="E65" s="172"/>
      <c r="F65" s="1808"/>
      <c r="G65" s="1808"/>
      <c r="H65" s="1810"/>
      <c r="I65" s="129"/>
      <c r="J65" s="3682"/>
      <c r="K65" s="1332" t="s">
        <v>1384</v>
      </c>
      <c r="L65" s="1332">
        <f ca="1">IF(M49&gt;1000,M49*0.1%,IF(AND(M49&gt;500,M49&lt;=1000),M49*0.5%,IF(AND(M49&gt;50,M49&lt;=500),M49*1%,IF(AND(M49&gt;1,M49&lt;=50),M49*1.5%))))</f>
        <v>99.266000000000005</v>
      </c>
      <c r="M65" s="302">
        <f t="shared" ca="1" si="1"/>
        <v>99.3</v>
      </c>
      <c r="N65" s="2544" t="s">
        <v>1382</v>
      </c>
      <c r="Z65" s="1752"/>
      <c r="AI65" s="1753"/>
    </row>
    <row r="66" spans="1:35" ht="14.25" customHeight="1">
      <c r="A66" s="173" t="s">
        <v>327</v>
      </c>
      <c r="B66" s="174" t="s">
        <v>1385</v>
      </c>
      <c r="C66" s="2567"/>
      <c r="D66" s="174" t="s">
        <v>26</v>
      </c>
      <c r="E66" s="1338" t="s">
        <v>671</v>
      </c>
      <c r="F66" s="1808"/>
      <c r="G66" s="1808"/>
      <c r="H66" s="1810"/>
      <c r="I66" s="129"/>
      <c r="J66" s="3682"/>
      <c r="K66" s="1332" t="s">
        <v>1386</v>
      </c>
      <c r="L66" s="1332">
        <f ca="1">M49*0.5%</f>
        <v>496.33</v>
      </c>
      <c r="M66" s="302">
        <f ca="1">IF(L66&gt;0.5,0.5,ROUND(L66,0))</f>
        <v>0.5</v>
      </c>
      <c r="N66" s="2544" t="s">
        <v>1387</v>
      </c>
      <c r="Z66" s="1752"/>
      <c r="AI66" s="1753"/>
    </row>
    <row r="67" spans="1:35" ht="14.25" customHeight="1">
      <c r="A67" s="173" t="s">
        <v>328</v>
      </c>
      <c r="B67" s="174" t="s">
        <v>1388</v>
      </c>
      <c r="C67" s="2568">
        <f ca="1">C63-C66</f>
        <v>94539</v>
      </c>
      <c r="D67" s="170" t="s">
        <v>26</v>
      </c>
      <c r="E67" s="172"/>
      <c r="F67" s="1808"/>
      <c r="G67" s="1808"/>
      <c r="H67" s="1810"/>
      <c r="I67" s="129"/>
      <c r="J67" s="3682"/>
      <c r="K67" s="1332" t="s">
        <v>1389</v>
      </c>
      <c r="L67" s="1332">
        <f ca="1">IF(M49&gt;=10000,(8.25+(M49-10000)*0.01%),IF(AND(M49&gt;=8000,M49&lt;10000),(7.85+(M49-8000)*0.02%),IF(AND(M49&gt;=5000,M49&lt;8000),(6.65+(M49-5000)*0.04%),IF(AND(M49&gt;=2000,M49&lt;5000),(4.25+(PM49-2000)*0.08%),IF(AND(M49&gt;=1000,M49&lt;2000),(2.75+(M49-1000)*0.15%),IF(AND(M49&gt;=100,M49&lt;1000),(0.5+(M49-100)*0.25%),IF(AND(M49&gt;0,M49&lt;100),M49*0.5%)))))))</f>
        <v>17.176600000000001</v>
      </c>
      <c r="M67" s="302">
        <f ca="1">ROUND(L67*0.9,1)</f>
        <v>15.5</v>
      </c>
      <c r="N67" s="2543"/>
      <c r="Z67" s="1752"/>
      <c r="AI67" s="1753"/>
    </row>
    <row r="68" spans="1:35" ht="14.25" customHeight="1" thickBot="1">
      <c r="A68" s="176" t="s">
        <v>329</v>
      </c>
      <c r="B68" s="177" t="s">
        <v>1390</v>
      </c>
      <c r="C68" s="2569">
        <f ca="1">IF(C67&lt;=0,0,ROUND(C67*D68,0))</f>
        <v>5294</v>
      </c>
      <c r="D68" s="2570">
        <f>'数据-取费表'!B41</f>
        <v>5.6000000000000001E-2</v>
      </c>
      <c r="E68" s="178"/>
      <c r="F68" s="1808"/>
      <c r="G68" s="1808"/>
      <c r="H68" s="1810"/>
      <c r="I68" s="129"/>
      <c r="J68" s="3682"/>
      <c r="K68" s="1332" t="s">
        <v>1391</v>
      </c>
      <c r="L68" s="1332">
        <f ca="1">IF(M49&gt;10000,M49*0.5%,IF(AND(M49&gt;5000,M49&lt;=10000),M49*1%,IF(AND(M49&gt;1000,M49&lt;=5000),M49*2%,IF(AND(M49&gt;200,M49&lt;=1000),M49*3%,M49*5%))))</f>
        <v>496.33</v>
      </c>
      <c r="M68" s="302">
        <f ca="1">ROUND(L68,1)</f>
        <v>496.3</v>
      </c>
      <c r="N68" s="2543"/>
      <c r="Z68" s="1752"/>
      <c r="AI68" s="1753"/>
    </row>
    <row r="69" spans="1:35" s="1772" customFormat="1" ht="16.5" customHeight="1">
      <c r="A69" s="1811"/>
      <c r="B69" s="1812"/>
      <c r="C69" s="1813"/>
      <c r="D69" s="1814"/>
      <c r="E69" s="1815"/>
      <c r="F69" s="1578"/>
      <c r="G69" s="1578"/>
      <c r="H69" s="1577"/>
      <c r="I69" s="1747"/>
      <c r="J69" s="3682"/>
      <c r="K69" s="1332" t="s">
        <v>1392</v>
      </c>
      <c r="L69" s="1332"/>
      <c r="M69" s="302">
        <f ca="1">ROUND(SUM(M63:M68),0)</f>
        <v>1604</v>
      </c>
      <c r="N69" s="2545">
        <f ca="1">M69/M49</f>
        <v>1.6158604154493987E-2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44" t="s">
        <v>1393</v>
      </c>
      <c r="B70" s="3645"/>
      <c r="C70" s="3645"/>
      <c r="D70" s="3645"/>
      <c r="E70" s="3645"/>
      <c r="F70" s="3645"/>
      <c r="G70" s="3645"/>
      <c r="H70" s="364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3" t="s">
        <v>1374</v>
      </c>
      <c r="B71" s="3624"/>
      <c r="C71" s="2021"/>
      <c r="D71" s="2021" t="s">
        <v>1375</v>
      </c>
      <c r="E71" s="179" t="s">
        <v>1376</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8">
        <f ca="1">ROUND(D45/(1+'数据-取费表'!C42),0)</f>
        <v>94539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8">
        <f ca="1">C74+C78</f>
        <v>567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1"/>
      <c r="D75" s="170" t="s">
        <v>26</v>
      </c>
      <c r="E75" s="184" t="s">
        <v>1398</v>
      </c>
      <c r="F75" s="2572"/>
      <c r="G75" s="184" t="s">
        <v>1399</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4">
        <v>0.05</v>
      </c>
      <c r="E76" s="3618" t="s">
        <v>1401</v>
      </c>
      <c r="F76" s="3592"/>
      <c r="G76" s="3592"/>
      <c r="H76" s="364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5">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6">
        <f ca="1">ROUND(D45*D78/(1+'数据-取费表'!C42),0)</f>
        <v>567</v>
      </c>
      <c r="D78" s="2577">
        <f>'数据-取费表'!B43</f>
        <v>6.000000000000001E-3</v>
      </c>
      <c r="E78" s="3602" t="s">
        <v>1405</v>
      </c>
      <c r="F78" s="3603"/>
      <c r="G78" s="3603"/>
      <c r="H78" s="361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8">
        <f ca="1">C72-C73</f>
        <v>93972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8">
        <f ca="1">IF(C79&lt;=0,0,C79/C73)</f>
        <v>165.73544973544975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9">
        <f ca="1">ROUND(IF(C79&lt;=0,0,IF(C80&gt;=200%,C79*60%-C73*35%,IF(C80&gt;=100%,C79*50%-C73*15%,IF(C80&gt;=50%,C79*40%-C73*5%,IF(C80&lt;50%,C79*30%,0))))),0)</f>
        <v>56185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44" t="s">
        <v>1409</v>
      </c>
      <c r="B83" s="3645"/>
      <c r="C83" s="3645"/>
      <c r="D83" s="3645"/>
      <c r="E83" s="3645"/>
      <c r="F83" s="3645"/>
      <c r="G83" s="3645"/>
      <c r="H83" s="364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3" t="s">
        <v>1374</v>
      </c>
      <c r="B84" s="3624"/>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8">
        <f ca="1">ROUND(D45/(1+'数据-取费表'!C42),0)</f>
        <v>94539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8">
        <f ca="1">IF(H88="仅含出让金",C87+C90+C91+C92+C93+C94,C87+C91+C92+C93+C94)</f>
        <v>567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2"/>
      <c r="D88" s="2577"/>
      <c r="E88" s="193" t="s">
        <v>1412</v>
      </c>
      <c r="F88" s="2327"/>
      <c r="G88" s="194" t="s">
        <v>1413</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6">
        <f>ROUND(C88*D89,0)</f>
        <v>0</v>
      </c>
      <c r="D89" s="2577">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2"/>
      <c r="D90" s="2577"/>
      <c r="E90" s="193" t="str">
        <f>IF(H88="-","土地取得成本中已包含该笔费用"," ")</f>
        <v xml:space="preserve"> </v>
      </c>
      <c r="F90" s="2327"/>
      <c r="G90" s="3684" t="s">
        <v>2128</v>
      </c>
      <c r="H90" s="3685"/>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6">
        <f>IF(H91="——",成本法!C33,I91)</f>
        <v>0</v>
      </c>
      <c r="D91" s="2577"/>
      <c r="E91" s="3602" t="s">
        <v>1418</v>
      </c>
      <c r="F91" s="3603"/>
      <c r="G91" s="360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6">
        <f>ROUND((C87+C90+C91)*D92,0)</f>
        <v>0</v>
      </c>
      <c r="D92" s="2583"/>
      <c r="E92" s="3602" t="s">
        <v>1421</v>
      </c>
      <c r="F92" s="3603"/>
      <c r="G92" s="3603"/>
      <c r="H92" s="3612"/>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6">
        <f ca="1">ROUND(D45*D93/(1+'数据-取费表'!C42),0)</f>
        <v>567</v>
      </c>
      <c r="D93" s="2577">
        <f>'数据-取费表'!B43</f>
        <v>6.000000000000001E-3</v>
      </c>
      <c r="E93" s="3602" t="s">
        <v>1405</v>
      </c>
      <c r="F93" s="3603"/>
      <c r="G93" s="3603"/>
      <c r="H93" s="361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2">
        <f>ROUND((C87+C90+C91)*D94,0)</f>
        <v>0</v>
      </c>
      <c r="D94" s="2577">
        <v>0.2</v>
      </c>
      <c r="E94" s="3613" t="s">
        <v>1425</v>
      </c>
      <c r="F94" s="3614"/>
      <c r="G94" s="3614"/>
      <c r="H94" s="361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8">
        <f ca="1">ROUND(C85-C86,0)</f>
        <v>93972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8">
        <f ca="1">IF(C95&lt;=0,0,C95/C86)</f>
        <v>165.73544973544975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9">
        <f ca="1">ROUND(IF(C95&lt;=0,0,IF(C96&gt;=200%,C95*60%-C86*35%,IF(C96&gt;=100%,C95*50%-C86*15%,IF(C96&gt;=50%,C95*40%-C86*5%,IF(C96&lt;50%,C95*30%,0))))),0)</f>
        <v>56185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86" t="s">
        <v>1427</v>
      </c>
      <c r="B100" s="3587"/>
      <c r="C100" s="3587"/>
      <c r="D100" s="3604"/>
      <c r="E100" s="3587" t="s">
        <v>1428</v>
      </c>
      <c r="F100" s="3587"/>
      <c r="G100" s="3587"/>
      <c r="H100" s="3604"/>
      <c r="I100" s="129"/>
    </row>
    <row r="101" spans="1:35" ht="18.75" customHeight="1">
      <c r="A101" s="3665" t="s">
        <v>1429</v>
      </c>
      <c r="B101" s="3666"/>
      <c r="C101" s="2585" t="str">
        <f>C4</f>
        <v>成本法</v>
      </c>
      <c r="D101" s="2586" t="str">
        <f>D4</f>
        <v>收益法（汇总）</v>
      </c>
      <c r="E101" s="3679" t="s">
        <v>1430</v>
      </c>
      <c r="F101" s="3636"/>
      <c r="G101" s="1827" t="s">
        <v>1431</v>
      </c>
      <c r="H101" s="2595">
        <f ca="1">H118</f>
        <v>99266</v>
      </c>
      <c r="I101" s="129"/>
    </row>
    <row r="102" spans="1:35" ht="18.75" customHeight="1">
      <c r="A102" s="3638" t="s">
        <v>1432</v>
      </c>
      <c r="B102" s="2584" t="s">
        <v>1431</v>
      </c>
      <c r="C102" s="2585">
        <f ca="1">IF(D32="楼面单价",ROUND(C19,0),C19)</f>
        <v>116912</v>
      </c>
      <c r="D102" s="2586">
        <f ca="1">IF(D32="楼面单价",ROUND(D19,0),D19)</f>
        <v>72798</v>
      </c>
      <c r="E102" s="3679"/>
      <c r="F102" s="3636"/>
      <c r="G102" s="1827" t="s">
        <v>1433</v>
      </c>
      <c r="H102" s="2555">
        <f ca="1">I118</f>
        <v>19105</v>
      </c>
      <c r="I102" s="129"/>
    </row>
    <row r="103" spans="1:35" ht="42.75" customHeight="1">
      <c r="A103" s="3638"/>
      <c r="B103" s="2584" t="s">
        <v>1433</v>
      </c>
      <c r="C103" s="2587">
        <f ca="1">C20</f>
        <v>22502</v>
      </c>
      <c r="D103" s="2588">
        <f ca="1">D20</f>
        <v>14011</v>
      </c>
      <c r="E103" s="3673" t="s">
        <v>1434</v>
      </c>
      <c r="F103" s="3674"/>
      <c r="G103" s="1828" t="s">
        <v>1435</v>
      </c>
      <c r="H103" s="2595">
        <f>IF(D36="正常操作",H104+H105+H106,H105+H106)</f>
        <v>0</v>
      </c>
      <c r="I103" s="129"/>
    </row>
    <row r="104" spans="1:35" ht="18.75" customHeight="1">
      <c r="A104" s="3638" t="s">
        <v>1436</v>
      </c>
      <c r="B104" s="2589" t="s">
        <v>1431</v>
      </c>
      <c r="C104" s="2590">
        <f ca="1">H118</f>
        <v>99266</v>
      </c>
      <c r="D104" s="2591"/>
      <c r="E104" s="1674" t="s">
        <v>1437</v>
      </c>
      <c r="F104" s="1666"/>
      <c r="G104" s="1828" t="s">
        <v>1435</v>
      </c>
      <c r="H104" s="2596">
        <f>IF(D36="同一抵押权人同一抵押物续贷",C36&amp;"（续贷，未扣减，详见特别提示）",C36)</f>
        <v>0</v>
      </c>
      <c r="I104" s="129"/>
    </row>
    <row r="105" spans="1:35" ht="18.75" customHeight="1" thickBot="1">
      <c r="A105" s="3639"/>
      <c r="B105" s="2592" t="s">
        <v>1433</v>
      </c>
      <c r="C105" s="2593">
        <f ca="1">I118</f>
        <v>19105</v>
      </c>
      <c r="D105" s="2594"/>
      <c r="E105" s="1674" t="s">
        <v>1438</v>
      </c>
      <c r="F105" s="1666"/>
      <c r="G105" s="1828" t="s">
        <v>1435</v>
      </c>
      <c r="H105" s="2597">
        <f>C37</f>
        <v>0</v>
      </c>
      <c r="I105" s="129"/>
    </row>
    <row r="106" spans="1:35" ht="18.75" customHeight="1">
      <c r="A106" s="1747" t="s">
        <v>1439</v>
      </c>
      <c r="B106" s="1747"/>
      <c r="C106" s="1747"/>
      <c r="D106" s="1747"/>
      <c r="E106" s="1829" t="s">
        <v>1440</v>
      </c>
      <c r="F106" s="1666"/>
      <c r="G106" s="1828" t="s">
        <v>1435</v>
      </c>
      <c r="H106" s="2597">
        <f>C38</f>
        <v>0</v>
      </c>
      <c r="I106" s="129"/>
    </row>
    <row r="107" spans="1:35" ht="18.75" customHeight="1">
      <c r="A107" s="129"/>
      <c r="B107" s="129"/>
      <c r="C107" s="129"/>
      <c r="D107" s="129"/>
      <c r="E107" s="3635" t="str">
        <f>IF(项目基本情况!E8="已注销","——","3.房地产抵押价值")</f>
        <v>3.房地产抵押价值</v>
      </c>
      <c r="F107" s="3636"/>
      <c r="G107" s="1827" t="s">
        <v>1431</v>
      </c>
      <c r="H107" s="2595">
        <f ca="1">IF(E107="——","——",H101-H103)</f>
        <v>99266</v>
      </c>
      <c r="I107" s="129"/>
    </row>
    <row r="108" spans="1:35" ht="18.75" customHeight="1">
      <c r="A108" s="129"/>
      <c r="B108" s="129"/>
      <c r="C108" s="129"/>
      <c r="D108" s="129"/>
      <c r="E108" s="3635"/>
      <c r="F108" s="3636"/>
      <c r="G108" s="1827" t="s">
        <v>1433</v>
      </c>
      <c r="H108" s="2555">
        <f ca="1">IF(H107=H101,H102,ROUND(H107*10000/'数据-汇总表'!E3,0))</f>
        <v>19105</v>
      </c>
      <c r="I108" s="129"/>
    </row>
    <row r="109" spans="1:35" ht="18.75" customHeight="1">
      <c r="A109" s="129"/>
      <c r="B109" s="129"/>
      <c r="C109" s="129"/>
      <c r="D109" s="129"/>
      <c r="E109" s="3635" t="str">
        <f>IF(项目基本情况!E8="已注销及未注销","4.抵押担保权已注销时的房地产抵押价值",IF(项目基本情况!E8="已注销","3.抵押担保权已注销时的房地产抵押价值","——"))</f>
        <v>——</v>
      </c>
      <c r="F109" s="3636"/>
      <c r="G109" s="1827" t="s">
        <v>1431</v>
      </c>
      <c r="H109" s="2598" t="str">
        <f>IF(E109="——","——",H101-H105-H106)</f>
        <v>——</v>
      </c>
      <c r="I109" s="129"/>
    </row>
    <row r="110" spans="1:35" ht="18.75" customHeight="1">
      <c r="A110" s="129"/>
      <c r="B110" s="129"/>
      <c r="C110" s="129"/>
      <c r="D110" s="129"/>
      <c r="E110" s="3635"/>
      <c r="F110" s="3636"/>
      <c r="G110" s="1827" t="s">
        <v>1433</v>
      </c>
      <c r="H110" s="2555" t="str">
        <f>IF(H109="——","——",ROUND(H109*10000/'数据-汇总表'!E3,0))</f>
        <v>——</v>
      </c>
      <c r="I110" s="129"/>
    </row>
    <row r="111" spans="1:35" ht="18.75" customHeight="1">
      <c r="A111" s="129"/>
      <c r="B111" s="129"/>
      <c r="C111" s="129"/>
      <c r="D111" s="129"/>
      <c r="E111" s="3667" t="str">
        <f>IF(项目基本情况!E9="抵押净值",IF(OR(项目基本情况!E8="已注销",项目基本情况!E8="房地产抵押价值"),"4.抵押净值","5.抵押净值"),"——")</f>
        <v>4.抵押净值</v>
      </c>
      <c r="F111" s="3637"/>
      <c r="G111" s="1827" t="s">
        <v>1431</v>
      </c>
      <c r="H111" s="2595">
        <f ca="1">IF(E111="——","——",N59)</f>
        <v>42086</v>
      </c>
      <c r="I111" s="129"/>
    </row>
    <row r="112" spans="1:35" ht="18.75" customHeight="1" thickBot="1">
      <c r="A112" s="129"/>
      <c r="B112" s="129"/>
      <c r="C112" s="129"/>
      <c r="D112" s="129"/>
      <c r="E112" s="3668"/>
      <c r="F112" s="3669"/>
      <c r="G112" s="1830" t="s">
        <v>1433</v>
      </c>
      <c r="H112" s="2599">
        <f ca="1">IF(E111="——","——",N61)</f>
        <v>8100</v>
      </c>
      <c r="I112" s="129"/>
    </row>
    <row r="113" spans="1:27" ht="18.75" customHeight="1">
      <c r="A113" s="129"/>
      <c r="B113" s="129"/>
      <c r="C113" s="129"/>
      <c r="D113" s="129"/>
      <c r="E113" s="3640" t="s">
        <v>1439</v>
      </c>
      <c r="F113" s="3640"/>
      <c r="G113" s="3640"/>
      <c r="H113" s="3640"/>
      <c r="I113" s="129"/>
    </row>
    <row r="114" spans="1:27" ht="3.75" customHeight="1">
      <c r="A114" s="1747"/>
      <c r="B114" s="1747"/>
      <c r="C114" s="1747"/>
      <c r="D114" s="1747"/>
      <c r="E114" s="1809"/>
      <c r="F114" s="1809"/>
      <c r="G114" s="1809"/>
      <c r="H114" s="1809"/>
      <c r="I114" s="1747"/>
    </row>
    <row r="115" spans="1:27" ht="18.75" customHeight="1">
      <c r="A115" s="3650" t="s">
        <v>1441</v>
      </c>
      <c r="B115" s="3651"/>
      <c r="C115" s="3651"/>
      <c r="D115" s="3651"/>
      <c r="E115" s="3651"/>
      <c r="F115" s="3651"/>
      <c r="G115" s="3651"/>
      <c r="H115" s="3651"/>
      <c r="I115" s="3652"/>
    </row>
    <row r="116" spans="1:27" ht="27" customHeight="1">
      <c r="A116" s="3606" t="s">
        <v>1442</v>
      </c>
      <c r="B116" s="3641" t="s">
        <v>1443</v>
      </c>
      <c r="C116" s="3641" t="s">
        <v>1444</v>
      </c>
      <c r="D116" s="3654" t="s">
        <v>1445</v>
      </c>
      <c r="E116" s="3655"/>
      <c r="F116" s="3649" t="s">
        <v>1446</v>
      </c>
      <c r="G116" s="3649"/>
      <c r="H116" s="3606" t="s">
        <v>1447</v>
      </c>
      <c r="I116" s="3606"/>
    </row>
    <row r="117" spans="1:27" ht="18.75" customHeight="1">
      <c r="A117" s="3606"/>
      <c r="B117" s="3642"/>
      <c r="C117" s="3642"/>
      <c r="D117" s="2329" t="s">
        <v>1448</v>
      </c>
      <c r="E117" s="2329" t="s">
        <v>1449</v>
      </c>
      <c r="F117" s="2329" t="s">
        <v>1448</v>
      </c>
      <c r="G117" s="2329" t="s">
        <v>1450</v>
      </c>
      <c r="H117" s="2329" t="s">
        <v>1448</v>
      </c>
      <c r="I117" s="2329" t="s">
        <v>1450</v>
      </c>
    </row>
    <row r="118" spans="1:27" ht="24.75" customHeight="1">
      <c r="A118" s="2600" t="str">
        <f>项目基本情况!S2</f>
        <v>北京市丰台区西三环南路16号房地产</v>
      </c>
      <c r="B118" s="2329">
        <f>M18</f>
        <v>51957.049999999996</v>
      </c>
      <c r="C118" s="2329">
        <f>M19</f>
        <v>20453.91</v>
      </c>
      <c r="D118" s="2329">
        <f ca="1">ROUND(IF(D32="总价",C34,E118*B118/10000),0)</f>
        <v>74747</v>
      </c>
      <c r="E118" s="2329">
        <f ca="1">ROUND(IF(C33="自定义",IF(D32="楼面单价",C34,D118*10000/B118),I118-G118),0)</f>
        <v>14386</v>
      </c>
      <c r="F118" s="2329">
        <f ca="1">ROUND(IF(D32="总价",C35,G118*B118/10000),0)</f>
        <v>24519</v>
      </c>
      <c r="G118" s="2329">
        <f ca="1">ROUND(IF(D32="楼面单价",C35,F118*10000/B118),0)</f>
        <v>4719</v>
      </c>
      <c r="H118" s="2329">
        <f ca="1">ROUND(IF(D32="总价",C32,I118*B118/10000),0)</f>
        <v>99266</v>
      </c>
      <c r="I118" s="2329">
        <f ca="1">ROUND(IF(D32="楼面单价",C32,H118*10000/B118),0)</f>
        <v>19105</v>
      </c>
    </row>
    <row r="119" spans="1:27" ht="18.75" customHeight="1">
      <c r="A119" s="3606" t="s">
        <v>1451</v>
      </c>
      <c r="B119" s="3606"/>
      <c r="C119" s="3606"/>
      <c r="D119" s="3646" t="str">
        <f ca="1">NUMBERSTRING(INT(D118*10000),2)&amp;"元整"</f>
        <v>柒亿肆仟柒佰肆拾柒万元整</v>
      </c>
      <c r="E119" s="3648"/>
      <c r="F119" s="3646" t="str">
        <f ca="1">NUMBERSTRING(INT(F118*10000),2)&amp;"元整"</f>
        <v>贰亿肆仟伍佰壹拾玖万元整</v>
      </c>
      <c r="G119" s="3648"/>
      <c r="H119" s="3646" t="str">
        <f ca="1">NUMBERSTRING(INT(H118*10000),2)&amp;"元整"</f>
        <v>玖亿玖仟贰佰陆拾陆万元整</v>
      </c>
      <c r="I119" s="3648"/>
    </row>
    <row r="120" spans="1:27" ht="18.75" customHeight="1">
      <c r="A120" s="3670" t="str">
        <f>IF(项目基本情况!B9="房地产市场价值","",MID(E103,3,LEN(E103)-2))</f>
        <v>估价师知悉的法定优先受偿款</v>
      </c>
      <c r="B120" s="3671"/>
      <c r="C120" s="3672"/>
      <c r="D120" s="3670">
        <f>H103</f>
        <v>0</v>
      </c>
      <c r="E120" s="3671"/>
      <c r="F120" s="3671"/>
      <c r="G120" s="3671"/>
      <c r="H120" s="3671"/>
      <c r="I120" s="367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6" t="s">
        <v>1451</v>
      </c>
      <c r="B121" s="3647"/>
      <c r="C121" s="3648"/>
      <c r="D121" s="3646" t="str">
        <f>IF(D120=0,"零元整",NUMBERSTRING(INT(D120*10000),2)&amp;"元整")</f>
        <v>零元整</v>
      </c>
      <c r="E121" s="3647"/>
      <c r="F121" s="3647"/>
      <c r="G121" s="3647"/>
      <c r="H121" s="3647"/>
      <c r="I121" s="3648"/>
      <c r="AA121" s="725"/>
    </row>
    <row r="122" spans="1:27" ht="18.75" customHeight="1">
      <c r="A122" s="3637" t="str">
        <f>IF(项目基本情况!B9="房地产市场价值","",MID(E107,3,LEN(E107)-2))</f>
        <v>房地产抵押价值</v>
      </c>
      <c r="B122" s="3637"/>
      <c r="C122" s="3637"/>
      <c r="D122" s="3670">
        <f ca="1">H107</f>
        <v>99266</v>
      </c>
      <c r="E122" s="3671"/>
      <c r="F122" s="3671"/>
      <c r="G122" s="3671"/>
      <c r="H122" s="3671"/>
      <c r="I122" s="3672"/>
      <c r="AA122" s="725"/>
    </row>
    <row r="123" spans="1:27" ht="18.75" customHeight="1">
      <c r="A123" s="3606" t="s">
        <v>1451</v>
      </c>
      <c r="B123" s="3606"/>
      <c r="C123" s="3606"/>
      <c r="D123" s="3646" t="str">
        <f ca="1">NUMBERSTRING(INT(D122*10000),2)&amp;"元整"</f>
        <v>玖亿玖仟贰佰陆拾陆万元整</v>
      </c>
      <c r="E123" s="3647"/>
      <c r="F123" s="3647"/>
      <c r="G123" s="3647"/>
      <c r="H123" s="3647"/>
      <c r="I123" s="3648"/>
      <c r="AA123" s="725"/>
    </row>
    <row r="124" spans="1:27" ht="18.75" customHeight="1">
      <c r="A124" s="3637" t="str">
        <f>IF(项目基本情况!B9="房地产市场价值","",MID(E109,3,LEN(E109)-2))</f>
        <v/>
      </c>
      <c r="B124" s="3637"/>
      <c r="C124" s="3637"/>
      <c r="D124" s="3670" t="str">
        <f>H109</f>
        <v>——</v>
      </c>
      <c r="E124" s="3671"/>
      <c r="F124" s="3671"/>
      <c r="G124" s="3671"/>
      <c r="H124" s="3671"/>
      <c r="I124" s="3672"/>
      <c r="AA124" s="725"/>
    </row>
    <row r="125" spans="1:27" ht="18.75" customHeight="1">
      <c r="A125" s="3606" t="s">
        <v>1451</v>
      </c>
      <c r="B125" s="3606"/>
      <c r="C125" s="3606"/>
      <c r="D125" s="3646" t="e">
        <f>NUMBERSTRING(INT(D124*10000),2)&amp;"元整"</f>
        <v>#VALUE!</v>
      </c>
      <c r="E125" s="3647"/>
      <c r="F125" s="3647"/>
      <c r="G125" s="3647"/>
      <c r="H125" s="3647"/>
      <c r="I125" s="3648"/>
      <c r="AA125" s="725"/>
    </row>
    <row r="126" spans="1:27" ht="18.75" customHeight="1">
      <c r="A126" s="3637" t="str">
        <f>IF(项目基本情况!B9="房地产市场价值","",MID(E111,3,LEN(E111)-2))</f>
        <v>抵押净值</v>
      </c>
      <c r="B126" s="3637"/>
      <c r="C126" s="3637"/>
      <c r="D126" s="3670">
        <f ca="1">H111</f>
        <v>42086</v>
      </c>
      <c r="E126" s="3671"/>
      <c r="F126" s="3671"/>
      <c r="G126" s="3671"/>
      <c r="H126" s="3671"/>
      <c r="I126" s="3672"/>
      <c r="AA126" s="725"/>
    </row>
    <row r="127" spans="1:27" ht="18.75" customHeight="1">
      <c r="A127" s="3606" t="s">
        <v>1451</v>
      </c>
      <c r="B127" s="3606"/>
      <c r="C127" s="3606"/>
      <c r="D127" s="3646" t="str">
        <f ca="1">NUMBERSTRING(INT(D126*10000),2)&amp;"元整"</f>
        <v>肆亿贰仟零捌拾陆万元整</v>
      </c>
      <c r="E127" s="3647"/>
      <c r="F127" s="3647"/>
      <c r="G127" s="3647"/>
      <c r="H127" s="3647"/>
      <c r="I127" s="3648"/>
      <c r="AA127" s="725"/>
    </row>
    <row r="128" spans="1:27" ht="21.75" customHeight="1">
      <c r="A128" s="3653" t="s">
        <v>1452</v>
      </c>
      <c r="B128" s="3653"/>
      <c r="C128" s="3653"/>
      <c r="D128" s="3653"/>
      <c r="E128" s="3653"/>
      <c r="F128" s="3653"/>
      <c r="G128" s="3653"/>
      <c r="H128" s="3653"/>
      <c r="I128" s="3653"/>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3" t="str">
        <f>项目基本情况!B1</f>
        <v>北京市丰台区西三环南路16号房地产抵押价值预评估</v>
      </c>
      <c r="C37" s="3503"/>
      <c r="D37" s="3503"/>
      <c r="E37" s="3503"/>
      <c r="F37" s="3503"/>
      <c r="G37" s="3503"/>
      <c r="H37" s="3503"/>
      <c r="I37" s="350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H58" sqref="H5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8</v>
      </c>
    </row>
    <row r="2" spans="1:9" s="200" customFormat="1" ht="18" customHeight="1">
      <c r="A2" s="201" t="s">
        <v>1461</v>
      </c>
      <c r="B2" s="202">
        <f ca="1">IF(D2="——",C52,C52-E2)</f>
        <v>116912</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22502</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65665</v>
      </c>
      <c r="D5" s="211" t="s">
        <v>1468</v>
      </c>
      <c r="E5" s="212" t="s">
        <v>1469</v>
      </c>
      <c r="F5" s="212" t="s">
        <v>1470</v>
      </c>
      <c r="G5" s="213"/>
    </row>
    <row r="6" spans="1:9" s="214" customFormat="1" ht="13.5" customHeight="1">
      <c r="A6" s="778" t="s">
        <v>1471</v>
      </c>
      <c r="B6" s="215" t="s">
        <v>1472</v>
      </c>
      <c r="C6" s="216">
        <f>基准地价修正!B2</f>
        <v>62713</v>
      </c>
      <c r="D6" s="217"/>
      <c r="E6" s="218"/>
      <c r="F6" s="218"/>
      <c r="G6" s="219"/>
    </row>
    <row r="7" spans="1:9" s="214" customFormat="1" ht="13.5" customHeight="1">
      <c r="A7" s="778" t="s">
        <v>1473</v>
      </c>
      <c r="B7" s="215" t="s">
        <v>1474</v>
      </c>
      <c r="C7" s="220">
        <f>ROUND(C6*F7,0)</f>
        <v>1913</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1039</v>
      </c>
      <c r="D8" s="222"/>
      <c r="E8" s="220"/>
      <c r="F8" s="221"/>
      <c r="G8" s="1856" t="s">
        <v>3419</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t="s">
        <v>3420</v>
      </c>
      <c r="H9" s="1137"/>
      <c r="I9" s="1858" t="s">
        <v>1478</v>
      </c>
    </row>
    <row r="10" spans="1:9" s="214" customFormat="1" ht="13.5" customHeight="1">
      <c r="A10" s="779" t="s">
        <v>356</v>
      </c>
      <c r="B10" s="224" t="s">
        <v>1479</v>
      </c>
      <c r="C10" s="225">
        <f ca="1">ROUND(D10*E10/10000,0)</f>
        <v>1039</v>
      </c>
      <c r="D10" s="845">
        <f ca="1">IF(B1="",'数据-汇总表'!E6,IF(INDIRECT("'数据-取费表'!c"&amp;$G$1)="住宅",INDIRECT("'数据-取费表'!s"&amp;$G$1),INDIRECT("'数据-取费表'!k"&amp;$G$1)+INDIRECT("'数据-取费表'!s"&amp;$G$1)))</f>
        <v>51957.049999999996</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51957.049999999996</v>
      </c>
      <c r="E19" s="211">
        <f>'数据-取费表'!B31</f>
        <v>200</v>
      </c>
      <c r="F19" s="231"/>
      <c r="G19" s="1856" t="s">
        <v>3421</v>
      </c>
    </row>
    <row r="20" spans="1:7" s="214" customFormat="1" ht="13.5" customHeight="1">
      <c r="A20" s="255" t="s">
        <v>1492</v>
      </c>
      <c r="B20" s="210" t="s">
        <v>1493</v>
      </c>
      <c r="C20" s="232">
        <f ca="1">ROUND((C5+C19)*F20,0)</f>
        <v>1313</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5617</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5563</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54</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8707</v>
      </c>
      <c r="D27" s="235">
        <f ca="1">C29</f>
        <v>2.5999999999999999E-3</v>
      </c>
      <c r="E27" s="236" t="s">
        <v>1513</v>
      </c>
      <c r="F27" s="246">
        <f ca="1">IF(B1="",'数据-取费表'!Q16,INDIRECT("'数据-取费表'!q"&amp;$G$1))</f>
        <v>0.13</v>
      </c>
      <c r="G27" s="247" t="s">
        <v>1514</v>
      </c>
    </row>
    <row r="28" spans="1:7" s="214" customFormat="1" ht="13.5" customHeight="1">
      <c r="A28" s="780" t="s">
        <v>346</v>
      </c>
      <c r="B28" s="248" t="s">
        <v>1515</v>
      </c>
      <c r="C28" s="249">
        <f ca="1">ROUND((C5+C19+C20)*F27*'数据-取费表'!B21/'数据-取费表'!B20,0)</f>
        <v>8707</v>
      </c>
      <c r="D28" s="235"/>
      <c r="E28" s="236"/>
      <c r="F28" s="246"/>
      <c r="G28" s="247"/>
    </row>
    <row r="29" spans="1:7" s="214" customFormat="1" ht="13.5" customHeight="1">
      <c r="A29" s="780" t="s">
        <v>347</v>
      </c>
      <c r="B29" s="248" t="s">
        <v>1516</v>
      </c>
      <c r="C29" s="238">
        <f ca="1">ROUND(C21*F27*'数据-取费表'!B21/'数据-取费表'!B20,4)</f>
        <v>2.5999999999999999E-3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88056</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28187</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25979</v>
      </c>
      <c r="D34" s="217"/>
      <c r="E34" s="220"/>
      <c r="F34" s="257">
        <f ca="1">IF('数据-取费表'!B24=0,1,IF(B1="",'数据-取费表'!N16,INDIRECT("'数据-取费表'!n"&amp;$G$1)))</f>
        <v>1</v>
      </c>
      <c r="G34" s="219" t="s">
        <v>1525</v>
      </c>
    </row>
    <row r="35" spans="1:7" ht="13.5" customHeight="1">
      <c r="A35" s="780" t="s">
        <v>351</v>
      </c>
      <c r="B35" s="215" t="s">
        <v>1526</v>
      </c>
      <c r="C35" s="220">
        <f ca="1">ROUND(C34*F35,0)</f>
        <v>779</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1039</v>
      </c>
      <c r="D37" s="217">
        <f ca="1">D19</f>
        <v>51957.049999999996</v>
      </c>
      <c r="E37" s="249">
        <f>'数据-取费表'!B35</f>
        <v>200</v>
      </c>
      <c r="F37" s="259"/>
      <c r="G37" s="261" t="s">
        <v>1531</v>
      </c>
    </row>
    <row r="38" spans="1:7" ht="13.5" customHeight="1">
      <c r="A38" s="780" t="s">
        <v>354</v>
      </c>
      <c r="B38" s="215" t="s">
        <v>1532</v>
      </c>
      <c r="C38" s="220">
        <f ca="1">ROUND(C34*F38,0)</f>
        <v>390</v>
      </c>
      <c r="D38" s="220"/>
      <c r="E38" s="220"/>
      <c r="F38" s="259">
        <f>'数据-取费表'!B36</f>
        <v>1.4999999999999999E-2</v>
      </c>
      <c r="G38" s="219" t="s">
        <v>1527</v>
      </c>
    </row>
    <row r="39" spans="1:7" s="214" customFormat="1" ht="13.5" customHeight="1">
      <c r="A39" s="255" t="s">
        <v>1533</v>
      </c>
      <c r="B39" s="210" t="s">
        <v>1534</v>
      </c>
      <c r="C39" s="232">
        <f ca="1">ROUND(C33*F20,0)</f>
        <v>564</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1193</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1170</v>
      </c>
      <c r="D42" s="238"/>
      <c r="E42" s="238"/>
      <c r="F42" s="239"/>
      <c r="G42" s="3686" t="s">
        <v>1543</v>
      </c>
    </row>
    <row r="43" spans="1:7" ht="13.5" customHeight="1">
      <c r="A43" s="780" t="s">
        <v>347</v>
      </c>
      <c r="B43" s="215" t="s">
        <v>1544</v>
      </c>
      <c r="C43" s="238">
        <f ca="1">ROUND(IF('数据-取费表'!B22&lt;=1,C39*F22*'数据-取费表'!B21/2,C39*(POWER((1+F22),'数据-取费表'!B21/2)-1)),0)</f>
        <v>23</v>
      </c>
      <c r="D43" s="238"/>
      <c r="E43" s="238"/>
      <c r="F43" s="239"/>
      <c r="G43" s="3687"/>
    </row>
    <row r="44" spans="1:7" ht="13.5" customHeight="1">
      <c r="A44" s="780" t="s">
        <v>348</v>
      </c>
      <c r="B44" s="215" t="s">
        <v>1545</v>
      </c>
      <c r="C44" s="238">
        <f ca="1">ROUND(IF('数据-取费表'!B22&lt;=1,C40*F22*'数据-取费表'!B21/2,C40*(POWER((1+F22),'数据-取费表'!B21/2)-1)),4)</f>
        <v>8.0000000000000004E-4</v>
      </c>
      <c r="D44" s="238"/>
      <c r="E44" s="238"/>
      <c r="F44" s="239"/>
      <c r="G44" s="3688"/>
    </row>
    <row r="45" spans="1:7" s="214" customFormat="1" ht="13.5" customHeight="1">
      <c r="A45" s="255" t="s">
        <v>1546</v>
      </c>
      <c r="B45" s="244" t="s">
        <v>1512</v>
      </c>
      <c r="C45" s="245">
        <f ca="1">C46</f>
        <v>3738</v>
      </c>
      <c r="D45" s="235">
        <f ca="1">C47</f>
        <v>2.5999999999999999E-3</v>
      </c>
      <c r="E45" s="236" t="s">
        <v>1538</v>
      </c>
      <c r="F45" s="246">
        <f ca="1">F27</f>
        <v>0.13</v>
      </c>
      <c r="G45" s="247" t="s">
        <v>1547</v>
      </c>
    </row>
    <row r="46" spans="1:7" s="214" customFormat="1" ht="13.5" customHeight="1">
      <c r="A46" s="780" t="s">
        <v>346</v>
      </c>
      <c r="B46" s="248" t="s">
        <v>1548</v>
      </c>
      <c r="C46" s="249">
        <f ca="1">ROUND((C33+C39)*F27,0)</f>
        <v>3738</v>
      </c>
      <c r="D46" s="263"/>
      <c r="E46" s="236"/>
      <c r="F46" s="246"/>
      <c r="G46" s="247"/>
    </row>
    <row r="47" spans="1:7" s="214" customFormat="1" ht="13.5" customHeight="1">
      <c r="A47" s="780" t="s">
        <v>347</v>
      </c>
      <c r="B47" s="248" t="s">
        <v>1549</v>
      </c>
      <c r="C47" s="238">
        <f ca="1">ROUND(C40*F27,4)</f>
        <v>2.5999999999999999E-3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36480</v>
      </c>
      <c r="D49" s="232"/>
      <c r="E49" s="232"/>
      <c r="F49" s="264"/>
      <c r="G49" s="234" t="s">
        <v>1553</v>
      </c>
    </row>
    <row r="50" spans="1:7" s="258" customFormat="1" ht="24">
      <c r="A50" s="255" t="s">
        <v>1554</v>
      </c>
      <c r="B50" s="210" t="s">
        <v>1555</v>
      </c>
      <c r="C50" s="232"/>
      <c r="D50" s="232"/>
      <c r="E50" s="232"/>
      <c r="F50" s="264">
        <f>IF('数据-取费表'!B24=0,'数据-取费表'!N16,1)</f>
        <v>0.79100000000000004</v>
      </c>
      <c r="G50" s="247" t="s">
        <v>1556</v>
      </c>
    </row>
    <row r="51" spans="1:7" ht="16.5" customHeight="1">
      <c r="A51" s="255" t="s">
        <v>1557</v>
      </c>
      <c r="B51" s="210" t="s">
        <v>1558</v>
      </c>
      <c r="C51" s="232">
        <f ca="1">ROUND(C49*F50,0)</f>
        <v>28856</v>
      </c>
      <c r="D51" s="232"/>
      <c r="E51" s="232"/>
      <c r="F51" s="264"/>
      <c r="G51" s="234" t="s">
        <v>1559</v>
      </c>
    </row>
    <row r="52" spans="1:7" s="208" customFormat="1" ht="16.5" thickBot="1">
      <c r="A52" s="265" t="s">
        <v>1560</v>
      </c>
      <c r="B52" s="266"/>
      <c r="C52" s="267">
        <f ca="1">C31+C51</f>
        <v>116912</v>
      </c>
      <c r="D52" s="266"/>
      <c r="E52" s="266"/>
      <c r="F52" s="266"/>
      <c r="G52" s="268"/>
    </row>
    <row r="55" spans="1:7" ht="15">
      <c r="B55" s="270" t="s">
        <v>1561</v>
      </c>
      <c r="C55" s="271"/>
    </row>
    <row r="56" spans="1:7">
      <c r="B56" s="273" t="s">
        <v>802</v>
      </c>
      <c r="C56" s="275">
        <f ca="1">1-C57</f>
        <v>0.753</v>
      </c>
    </row>
    <row r="57" spans="1:7">
      <c r="B57" s="273" t="s">
        <v>803</v>
      </c>
      <c r="C57" s="274">
        <f ca="1">ROUND(C51/C52,3)</f>
        <v>0.247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8</v>
      </c>
      <c r="H1" s="1061" t="str">
        <f>IF(ISERROR(FIND("住宅",B1)),"非住宅","住宅")</f>
        <v>非住宅</v>
      </c>
    </row>
    <row r="2" spans="1:8" s="200" customFormat="1" ht="18" customHeight="1">
      <c r="A2" s="201" t="s">
        <v>1461</v>
      </c>
      <c r="B2" s="3423">
        <f ca="1">ROUND(IF(D2="——",C52/10000,C52/10000-E2),4)</f>
        <v>31641.942899999998</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6090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10391410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10391410</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10391410</v>
      </c>
      <c r="D10" s="845">
        <f ca="1">IF(B1="",'数据-汇总表'!E6,IF(INDIRECT("'数据-取费表'!c"&amp;$G$1)="住宅",INDIRECT("'数据-取费表'!s"&amp;$G$1),INDIRECT("'数据-取费表'!k"&amp;$G$1)+INDIRECT("'数据-取费表'!s"&amp;$G$1)))</f>
        <v>51957.049999999996</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10391410</v>
      </c>
      <c r="D19" s="849">
        <f ca="1">D9+D10</f>
        <v>51957.049999999996</v>
      </c>
      <c r="E19" s="211">
        <f>'数据-取费表'!B31</f>
        <v>200</v>
      </c>
      <c r="F19" s="231"/>
      <c r="G19" s="1856"/>
    </row>
    <row r="20" spans="1:7" s="214" customFormat="1" ht="13.5" customHeight="1">
      <c r="A20" s="255" t="s">
        <v>1573</v>
      </c>
      <c r="B20" s="210" t="s">
        <v>1574</v>
      </c>
      <c r="C20" s="232">
        <f ca="1">ROUND((C5+C19)*F20,0)</f>
        <v>415656</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1778018</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880384</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880384</v>
      </c>
      <c r="D24" s="238"/>
      <c r="E24" s="238"/>
      <c r="F24" s="239"/>
      <c r="G24" s="240" t="s">
        <v>1585</v>
      </c>
    </row>
    <row r="25" spans="1:7" s="214" customFormat="1" ht="24">
      <c r="A25" s="780" t="s">
        <v>1475</v>
      </c>
      <c r="B25" s="215" t="s">
        <v>1586</v>
      </c>
      <c r="C25" s="1128">
        <f ca="1">ROUND(IF('数据-取费表'!B22&lt;=1,C20*F22*'数据-取费表'!B22/2,C20*(POWER((1+F22),'数据-取费表'!B22/2)-1)),0)</f>
        <v>17250</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2755802</v>
      </c>
      <c r="D27" s="235">
        <f ca="1">C29</f>
        <v>2.5999999999999999E-3</v>
      </c>
      <c r="E27" s="236" t="s">
        <v>1513</v>
      </c>
      <c r="F27" s="246">
        <f ca="1">IF(B1="",'数据-取费表'!Q16,INDIRECT("'数据-取费表'!q"&amp;$G$1))</f>
        <v>0.13</v>
      </c>
      <c r="G27" s="247" t="s">
        <v>1514</v>
      </c>
    </row>
    <row r="28" spans="1:7" s="214" customFormat="1" ht="13.5" customHeight="1">
      <c r="A28" s="780" t="s">
        <v>346</v>
      </c>
      <c r="B28" s="248" t="s">
        <v>1515</v>
      </c>
      <c r="C28" s="249">
        <f ca="1">ROUND((C5+C19+C20)*F27,0)</f>
        <v>2755802</v>
      </c>
      <c r="D28" s="235"/>
      <c r="E28" s="236"/>
      <c r="F28" s="246"/>
      <c r="G28" s="247"/>
    </row>
    <row r="29" spans="1:7" s="214" customFormat="1" ht="13.5" customHeight="1">
      <c r="A29" s="780" t="s">
        <v>347</v>
      </c>
      <c r="B29" s="248" t="s">
        <v>1516</v>
      </c>
      <c r="C29" s="238">
        <f ca="1">ROUND(C21*F27,4)</f>
        <v>2.5999999999999999E-3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27869919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281866997</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259785250</v>
      </c>
      <c r="D34" s="217"/>
      <c r="E34" s="220"/>
      <c r="F34" s="257"/>
      <c r="G34" s="219"/>
    </row>
    <row r="35" spans="1:7" ht="13.5" customHeight="1">
      <c r="A35" s="780" t="s">
        <v>351</v>
      </c>
      <c r="B35" s="215" t="s">
        <v>1526</v>
      </c>
      <c r="C35" s="220">
        <f ca="1">ROUND(C34*F35,0)</f>
        <v>7793558</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10391410</v>
      </c>
      <c r="D37" s="217">
        <f ca="1">D19</f>
        <v>51957.049999999996</v>
      </c>
      <c r="E37" s="249">
        <f>'数据-取费表'!B35</f>
        <v>200</v>
      </c>
      <c r="F37" s="259"/>
      <c r="G37" s="261"/>
    </row>
    <row r="38" spans="1:7" ht="13.5" customHeight="1">
      <c r="A38" s="780" t="s">
        <v>354</v>
      </c>
      <c r="B38" s="215" t="s">
        <v>1532</v>
      </c>
      <c r="C38" s="220">
        <f ca="1">ROUND(C34*F38,0)</f>
        <v>3896779</v>
      </c>
      <c r="D38" s="220"/>
      <c r="E38" s="220"/>
      <c r="F38" s="259">
        <f>'数据-取费表'!B36</f>
        <v>1.4999999999999999E-2</v>
      </c>
      <c r="G38" s="219" t="s">
        <v>1527</v>
      </c>
    </row>
    <row r="39" spans="1:7" s="214" customFormat="1" ht="13.5" customHeight="1">
      <c r="A39" s="255" t="s">
        <v>1533</v>
      </c>
      <c r="B39" s="210" t="s">
        <v>1534</v>
      </c>
      <c r="C39" s="232">
        <f ca="1">ROUND(C33*F20,0)</f>
        <v>5637340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11931430</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11697480</v>
      </c>
      <c r="D42" s="238"/>
      <c r="E42" s="238"/>
      <c r="F42" s="239"/>
      <c r="G42" s="3686" t="s">
        <v>1590</v>
      </c>
    </row>
    <row r="43" spans="1:7" ht="13.5" customHeight="1">
      <c r="A43" s="780" t="s">
        <v>347</v>
      </c>
      <c r="B43" s="215" t="s">
        <v>1544</v>
      </c>
      <c r="C43" s="238">
        <f ca="1">ROUND(IF('数据-取费表'!B22&lt;=1,C39*F22*'数据-取费表'!B20/2,C39*(POWER((1+F22),'数据-取费表'!B20/2)-1)),0)</f>
        <v>233950</v>
      </c>
      <c r="D43" s="238"/>
      <c r="E43" s="238"/>
      <c r="F43" s="239"/>
      <c r="G43" s="3687"/>
    </row>
    <row r="44" spans="1:7" ht="13.5" customHeight="1">
      <c r="A44" s="780" t="s">
        <v>348</v>
      </c>
      <c r="B44" s="215" t="s">
        <v>1545</v>
      </c>
      <c r="C44" s="238">
        <f ca="1">ROUND(IF('数据-取费表'!B22&lt;=1,C40*F22*'数据-取费表'!B20/2,C40*(POWER((1+F22),'数据-取费表'!B20/2)-1)),4)</f>
        <v>8.0000000000000004E-4</v>
      </c>
      <c r="D44" s="238"/>
      <c r="E44" s="238"/>
      <c r="F44" s="239"/>
      <c r="G44" s="3688"/>
    </row>
    <row r="45" spans="1:7" s="214" customFormat="1" ht="13.5" customHeight="1">
      <c r="A45" s="255" t="s">
        <v>1546</v>
      </c>
      <c r="B45" s="244" t="s">
        <v>1512</v>
      </c>
      <c r="C45" s="245">
        <f ca="1">C46</f>
        <v>37375564</v>
      </c>
      <c r="D45" s="235">
        <f ca="1">C47</f>
        <v>2.5999999999999999E-3</v>
      </c>
      <c r="E45" s="236" t="s">
        <v>1538</v>
      </c>
      <c r="F45" s="246">
        <f ca="1">F27</f>
        <v>0.13</v>
      </c>
      <c r="G45" s="247" t="s">
        <v>1547</v>
      </c>
    </row>
    <row r="46" spans="1:7" s="214" customFormat="1" ht="13.5" customHeight="1">
      <c r="A46" s="780" t="s">
        <v>346</v>
      </c>
      <c r="B46" s="248" t="s">
        <v>1548</v>
      </c>
      <c r="C46" s="249">
        <f ca="1">ROUND((C33+C39)*F27,0)</f>
        <v>37375564</v>
      </c>
      <c r="D46" s="263"/>
      <c r="E46" s="236"/>
      <c r="F46" s="246"/>
      <c r="G46" s="247"/>
    </row>
    <row r="47" spans="1:7" s="214" customFormat="1" ht="13.5" customHeight="1">
      <c r="A47" s="780" t="s">
        <v>347</v>
      </c>
      <c r="B47" s="248" t="s">
        <v>1549</v>
      </c>
      <c r="C47" s="238">
        <f ca="1">ROUND(C40*F27,4)</f>
        <v>2.5999999999999999E-3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364790784</v>
      </c>
      <c r="D49" s="232"/>
      <c r="E49" s="232"/>
      <c r="F49" s="264"/>
      <c r="G49" s="234" t="s">
        <v>1553</v>
      </c>
    </row>
    <row r="50" spans="1:7" s="258" customFormat="1">
      <c r="A50" s="255" t="s">
        <v>1554</v>
      </c>
      <c r="B50" s="210" t="s">
        <v>1555</v>
      </c>
      <c r="C50" s="232"/>
      <c r="D50" s="232"/>
      <c r="E50" s="232"/>
      <c r="F50" s="264">
        <f>IF('数据-取费表'!B24=0,'数据-取费表'!N16,1)</f>
        <v>0.79100000000000004</v>
      </c>
      <c r="G50" s="247"/>
    </row>
    <row r="51" spans="1:7" ht="16.5" customHeight="1">
      <c r="A51" s="255" t="s">
        <v>1557</v>
      </c>
      <c r="B51" s="210" t="s">
        <v>1592</v>
      </c>
      <c r="C51" s="232">
        <f ca="1">ROUND(C49*F50,0)</f>
        <v>288549510</v>
      </c>
      <c r="D51" s="232"/>
      <c r="E51" s="232"/>
      <c r="F51" s="264"/>
      <c r="G51" s="234" t="s">
        <v>1559</v>
      </c>
    </row>
    <row r="52" spans="1:7" s="208" customFormat="1" ht="16.5" thickBot="1">
      <c r="A52" s="265" t="s">
        <v>1560</v>
      </c>
      <c r="B52" s="266"/>
      <c r="C52" s="267">
        <f ca="1">C31+C51</f>
        <v>316419429</v>
      </c>
      <c r="D52" s="266"/>
      <c r="E52" s="266"/>
      <c r="F52" s="266"/>
      <c r="G52" s="268"/>
    </row>
    <row r="55" spans="1:7" ht="15">
      <c r="B55" s="270" t="s">
        <v>1561</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5"/>
      <c r="F1" s="2805"/>
      <c r="G1" s="2671"/>
      <c r="H1" s="2805"/>
      <c r="I1" s="2805"/>
      <c r="J1" s="2805"/>
      <c r="K1" s="2806">
        <f>MATCH(C1,'数据-取费表'!A6:A16,0)+5</f>
        <v>8</v>
      </c>
    </row>
    <row r="2" spans="1:33" ht="18" customHeight="1">
      <c r="A2" s="201" t="s">
        <v>1461</v>
      </c>
      <c r="B2" s="204">
        <f ca="1">C32</f>
        <v>0</v>
      </c>
      <c r="C2" s="276" t="s">
        <v>1594</v>
      </c>
      <c r="D2" s="276"/>
      <c r="E2" s="2805"/>
      <c r="F2" s="2805"/>
      <c r="G2" s="2805"/>
      <c r="H2" s="2805"/>
      <c r="I2" s="2805"/>
      <c r="J2" s="2805"/>
      <c r="K2" s="2805"/>
    </row>
    <row r="3" spans="1:33" ht="18" customHeight="1" thickBot="1">
      <c r="A3" s="203" t="s">
        <v>1463</v>
      </c>
      <c r="B3" s="204">
        <f ca="1">ROUND(B2*10000/IF(C1="",'数据-汇总表'!E3,INDIRECT("'数据-取费表'!K"&amp;$K$1)),0)</f>
        <v>0</v>
      </c>
      <c r="C3" s="276" t="s">
        <v>1595</v>
      </c>
      <c r="D3" s="276"/>
      <c r="E3" s="2805"/>
      <c r="F3" s="2805"/>
      <c r="G3" s="2805"/>
      <c r="H3" s="2805"/>
      <c r="I3" s="2805"/>
      <c r="J3" s="2805"/>
      <c r="K3" s="2805"/>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51957.049999999996</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51957.049999999996</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1039</v>
      </c>
      <c r="D20" s="846">
        <f ca="1">IF(C1="",'数据-汇总表'!E6,IF(INDIRECT("'数据-取费表'!c"&amp;$K$1)="住宅",INDIRECT("'数据-取费表'!s"&amp;$K$1),INDIRECT("'数据-取费表'!k"&amp;$K$1)+INDIRECT("'数据-取费表'!s"&amp;$K$1)))</f>
        <v>51957.049999999996</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0.13</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3339</v>
      </c>
      <c r="D1" s="1362" t="s">
        <v>43</v>
      </c>
      <c r="E1" s="1363" t="s">
        <v>678</v>
      </c>
      <c r="F1" s="1062">
        <f ca="1">J53</f>
        <v>44.25</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6239</v>
      </c>
      <c r="C2" s="1387" t="s">
        <v>805</v>
      </c>
      <c r="D2" s="1387"/>
      <c r="E2" s="1388"/>
      <c r="F2" s="1389"/>
      <c r="G2" s="2706"/>
      <c r="H2" s="2695"/>
      <c r="I2" s="2695"/>
      <c r="J2" s="2695"/>
      <c r="K2" s="2696"/>
      <c r="L2" s="2695"/>
      <c r="M2" s="2695"/>
    </row>
    <row r="3" spans="1:37" ht="18" customHeight="1" thickBot="1">
      <c r="A3" s="1390" t="s">
        <v>806</v>
      </c>
      <c r="B3" s="1391">
        <f ca="1">IF(ISERROR(B2*10000/F43),0,ROUND(B2*10000/F43,0))</f>
        <v>3434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529</v>
      </c>
      <c r="D5" s="1364" t="s">
        <v>693</v>
      </c>
      <c r="E5" s="1071"/>
      <c r="F5" s="1072"/>
      <c r="G5" s="1384"/>
      <c r="H5" s="299">
        <v>1</v>
      </c>
      <c r="I5" s="300" t="s">
        <v>692</v>
      </c>
      <c r="J5" s="1070">
        <f ca="1">J6+J10+J12</f>
        <v>0</v>
      </c>
      <c r="K5" s="1364" t="s">
        <v>693</v>
      </c>
      <c r="L5" s="1071"/>
      <c r="M5" s="1072"/>
    </row>
    <row r="6" spans="1:37" ht="18" customHeight="1">
      <c r="A6" s="1069" t="s">
        <v>398</v>
      </c>
      <c r="B6" s="3689" t="s">
        <v>694</v>
      </c>
      <c r="C6" s="1074">
        <f ca="1">ROUND(F6*F8*F7*(1-F9)/10000,0)</f>
        <v>529</v>
      </c>
      <c r="D6" s="155" t="s">
        <v>2108</v>
      </c>
      <c r="E6" s="302" t="s">
        <v>696</v>
      </c>
      <c r="F6" s="303">
        <f ca="1">INDIRECT("'数据-取费表'!u"&amp;$G$1)</f>
        <v>1000</v>
      </c>
      <c r="G6" s="1384"/>
      <c r="H6" s="1069" t="s">
        <v>398</v>
      </c>
      <c r="I6" s="3689" t="s">
        <v>694</v>
      </c>
      <c r="J6" s="301">
        <f ca="1">ROUND(M6*M8*M7*(1-M9)/10000,0)</f>
        <v>0</v>
      </c>
      <c r="K6" s="155" t="s">
        <v>2107</v>
      </c>
      <c r="L6" s="302" t="s">
        <v>696</v>
      </c>
      <c r="M6" s="303">
        <f ca="1">INDIRECT("'数据-取费表'!z"&amp;$G$1)</f>
        <v>0</v>
      </c>
    </row>
    <row r="7" spans="1:37" ht="18" customHeight="1">
      <c r="A7" s="1073"/>
      <c r="B7" s="3690"/>
      <c r="C7" s="1075"/>
      <c r="D7" s="307"/>
      <c r="E7" s="3452" t="s">
        <v>697</v>
      </c>
      <c r="F7" s="303">
        <f ca="1">IF(INDIRECT("'数据-取费表'!ah"&amp;$G$1)="",INDIRECT("'数据-取费表'!k"&amp;$G$1),INDIRECT("'数据-取费表'!ah"&amp;$G$1))</f>
        <v>519</v>
      </c>
      <c r="G7" s="1384"/>
      <c r="H7" s="304"/>
      <c r="I7" s="3690"/>
      <c r="J7" s="306"/>
      <c r="K7" s="307"/>
      <c r="L7" s="302" t="s">
        <v>697</v>
      </c>
      <c r="M7" s="303">
        <f ca="1">F7</f>
        <v>519</v>
      </c>
    </row>
    <row r="8" spans="1:37" ht="18" customHeight="1">
      <c r="A8" s="304"/>
      <c r="B8" s="3690"/>
      <c r="C8" s="306"/>
      <c r="D8" s="307"/>
      <c r="E8" s="302" t="s">
        <v>698</v>
      </c>
      <c r="F8" s="303">
        <f ca="1">INDIRECT("'数据-取费表'!ai"&amp;$G$1)</f>
        <v>12</v>
      </c>
      <c r="G8" s="1384"/>
      <c r="H8" s="304"/>
      <c r="I8" s="3690"/>
      <c r="J8" s="306"/>
      <c r="K8" s="307"/>
      <c r="L8" s="302" t="s">
        <v>698</v>
      </c>
      <c r="M8" s="303">
        <f ca="1">INDIRECT("'数据-取费表'!ai"&amp;$G$1)</f>
        <v>12</v>
      </c>
    </row>
    <row r="9" spans="1:37" ht="18" customHeight="1">
      <c r="A9" s="304"/>
      <c r="B9" s="3691"/>
      <c r="C9" s="306"/>
      <c r="D9" s="307"/>
      <c r="E9" s="302" t="s">
        <v>699</v>
      </c>
      <c r="F9" s="312">
        <f ca="1">INDIRECT("'数据-取费表'!w"&amp;$G$1)</f>
        <v>0.15</v>
      </c>
      <c r="G9" s="1384"/>
      <c r="H9" s="304"/>
      <c r="I9" s="369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3449</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15001</v>
      </c>
      <c r="D13" s="3449" t="s">
        <v>705</v>
      </c>
      <c r="E13" s="3449"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11486</v>
      </c>
      <c r="D14" s="3455" t="s">
        <v>708</v>
      </c>
      <c r="E14" s="3454"/>
      <c r="F14" s="319"/>
      <c r="G14" s="1384"/>
      <c r="H14" s="982" t="s">
        <v>398</v>
      </c>
      <c r="I14" s="302" t="s">
        <v>709</v>
      </c>
      <c r="J14" s="21">
        <f ca="1">C29</f>
        <v>15001</v>
      </c>
      <c r="K14" s="3451"/>
      <c r="L14" s="807"/>
      <c r="M14" s="808"/>
    </row>
    <row r="15" spans="1:37" s="1397" customFormat="1" ht="18" customHeight="1" thickBot="1">
      <c r="A15" s="982" t="s">
        <v>399</v>
      </c>
      <c r="B15" s="302" t="s">
        <v>710</v>
      </c>
      <c r="C15" s="21">
        <f ca="1">ROUND(C14*F15,0)</f>
        <v>345</v>
      </c>
      <c r="D15" s="3450" t="s">
        <v>711</v>
      </c>
      <c r="E15" s="345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161</v>
      </c>
      <c r="K16" s="1087" t="s">
        <v>715</v>
      </c>
      <c r="L16" s="3457"/>
      <c r="M16" s="1072"/>
    </row>
    <row r="17" spans="1:37" s="1397" customFormat="1" ht="18" customHeight="1">
      <c r="A17" s="982" t="s">
        <v>681</v>
      </c>
      <c r="B17" s="302" t="s">
        <v>716</v>
      </c>
      <c r="C17" s="21">
        <f ca="1">ROUND(F17*(F43+INDIRECT("'数据-取费表'!S"&amp;$G$1))/10000,0)</f>
        <v>459</v>
      </c>
      <c r="D17" s="302" t="s">
        <v>717</v>
      </c>
      <c r="E17" s="302" t="s">
        <v>718</v>
      </c>
      <c r="F17" s="23">
        <f>'数据-取费表'!B35</f>
        <v>200</v>
      </c>
      <c r="G17" s="1396"/>
      <c r="H17" s="982" t="s">
        <v>398</v>
      </c>
      <c r="I17" s="302" t="s">
        <v>719</v>
      </c>
      <c r="J17" s="2316">
        <f ca="1">ROUND(IF(AND(项目基本情况!B11="自然人",项目基本情况!B10="北京市"),J6*M17/(1+'数据-取费表'!C42),J18+J19+J20),2)</f>
        <v>10.85</v>
      </c>
      <c r="K17" s="3455" t="s">
        <v>720</v>
      </c>
      <c r="L17" s="3456"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172</v>
      </c>
      <c r="D18" s="302" t="s">
        <v>711</v>
      </c>
      <c r="E18" s="302" t="s">
        <v>712</v>
      </c>
      <c r="F18" s="322">
        <f>'数据-取费表'!B36</f>
        <v>1.4999999999999999E-2</v>
      </c>
      <c r="G18" s="1396"/>
      <c r="H18" s="982" t="s">
        <v>397</v>
      </c>
      <c r="I18" s="302" t="s">
        <v>723</v>
      </c>
      <c r="J18" s="21">
        <f ca="1">ROUND(J6*M18/(1+'数据-取费表'!C42),2)</f>
        <v>0</v>
      </c>
      <c r="K18" s="3456"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12462</v>
      </c>
      <c r="D19" s="131" t="s">
        <v>726</v>
      </c>
      <c r="E19" s="3459"/>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249</v>
      </c>
      <c r="D20" s="2428" t="s">
        <v>729</v>
      </c>
      <c r="E20" s="302" t="s">
        <v>712</v>
      </c>
      <c r="F20" s="322">
        <f>'数据-取费表'!B37</f>
        <v>0.02</v>
      </c>
      <c r="G20" s="1396"/>
      <c r="H20" s="982" t="s">
        <v>680</v>
      </c>
      <c r="I20" s="155" t="s">
        <v>730</v>
      </c>
      <c r="J20" s="22">
        <f ca="1">ROUND(M20*M21/10000,2)</f>
        <v>10.85</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9042.9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9"/>
      <c r="F22" s="23"/>
      <c r="G22" s="1384"/>
      <c r="H22" s="982" t="s">
        <v>402</v>
      </c>
      <c r="I22" s="302" t="s">
        <v>738</v>
      </c>
      <c r="J22" s="21">
        <f ca="1">ROUND(J14*M22,2)</f>
        <v>150.01</v>
      </c>
      <c r="K22" s="3456"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527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56"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9"/>
      <c r="F25" s="23"/>
      <c r="G25" s="1384"/>
      <c r="H25" s="1079" t="s">
        <v>394</v>
      </c>
      <c r="I25" s="1094" t="s">
        <v>752</v>
      </c>
      <c r="J25" s="310">
        <f ca="1">J5-J16</f>
        <v>-161</v>
      </c>
      <c r="K25" s="1095" t="s">
        <v>753</v>
      </c>
      <c r="L25" s="1096"/>
      <c r="M25" s="1097"/>
    </row>
    <row r="26" spans="1:37">
      <c r="A26" s="982" t="s">
        <v>397</v>
      </c>
      <c r="B26" s="302" t="s">
        <v>754</v>
      </c>
      <c r="C26" s="21">
        <f ca="1">ROUND((C19+C20)*F26,0)</f>
        <v>636</v>
      </c>
      <c r="D26" s="2428"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8" t="s">
        <v>761</v>
      </c>
      <c r="E27" s="345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15001</v>
      </c>
      <c r="D29" s="1092"/>
      <c r="E29" s="1090"/>
      <c r="F29" s="1093"/>
      <c r="G29" s="1396"/>
      <c r="H29" s="334" t="s">
        <v>396</v>
      </c>
      <c r="I29" s="335" t="s">
        <v>768</v>
      </c>
      <c r="J29" s="336">
        <f ca="1">ROUND(J26/(1+F40)^F41,0)</f>
        <v>0</v>
      </c>
      <c r="K29" s="337" t="s">
        <v>769</v>
      </c>
      <c r="L29" s="338"/>
      <c r="M29" s="339">
        <f ca="1">INDIRECT("'数据-取费表'!k"&amp;$G$1)</f>
        <v>18169.12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270</v>
      </c>
      <c r="D30" s="1087" t="s">
        <v>715</v>
      </c>
      <c r="E30" s="3457"/>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99.52</v>
      </c>
      <c r="D31" s="3455" t="s">
        <v>720</v>
      </c>
      <c r="E31" s="3456" t="s">
        <v>770</v>
      </c>
      <c r="F31" s="2315" t="str">
        <f>IF(项目基本情况!B11="企业","——",IF(M47="住宅",IF(F6*F7*F8/12/(1+'数据-取费表'!F30)&gt;100000,4%,2.5%),IF(F6*F7*F8/12/(1+'数据-取费表'!F30)&gt;100000,12%,7%)))</f>
        <v>——</v>
      </c>
      <c r="G31" s="1384"/>
      <c r="H31" s="2807" t="s">
        <v>2309</v>
      </c>
      <c r="I31" s="1398"/>
      <c r="J31" s="1399"/>
      <c r="K31" s="2475"/>
      <c r="L31" s="2698"/>
      <c r="M31" s="2699"/>
    </row>
    <row r="32" spans="1:37" ht="18" customHeight="1">
      <c r="A32" s="982" t="s">
        <v>397</v>
      </c>
      <c r="B32" s="302" t="s">
        <v>723</v>
      </c>
      <c r="C32" s="21">
        <f ca="1">IF(项目基本情况!B11="自然人","——",ROUND(C6*F32/(1+'数据-取费表'!C42),2))</f>
        <v>28.21</v>
      </c>
      <c r="D32" s="3456"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60.46</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10.85</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9042.9</v>
      </c>
      <c r="G35" s="1384"/>
      <c r="H35" s="2697"/>
      <c r="I35" s="1398"/>
      <c r="J35" s="1399"/>
      <c r="K35" s="2701"/>
      <c r="L35" s="2700"/>
      <c r="M35" s="2700"/>
    </row>
    <row r="36" spans="1:18" ht="18" customHeight="1">
      <c r="A36" s="1102" t="s">
        <v>402</v>
      </c>
      <c r="B36" s="302" t="s">
        <v>738</v>
      </c>
      <c r="C36" s="21">
        <f ca="1">ROUND(C29*F36,2)</f>
        <v>150.01</v>
      </c>
      <c r="D36" s="3456"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15</v>
      </c>
      <c r="D37" s="3456"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5.29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259</v>
      </c>
      <c r="D39" s="1095" t="s">
        <v>773</v>
      </c>
      <c r="E39" s="1096"/>
      <c r="F39" s="1097"/>
      <c r="G39" s="1384"/>
      <c r="H39" s="2700"/>
      <c r="I39" s="1398"/>
      <c r="J39" s="1399"/>
      <c r="K39" s="2704"/>
      <c r="L39" s="2700"/>
      <c r="M39" s="2700"/>
    </row>
    <row r="40" spans="1:18" ht="18" customHeight="1">
      <c r="A40" s="299" t="s">
        <v>395</v>
      </c>
      <c r="B40" s="300" t="s">
        <v>774</v>
      </c>
      <c r="C40" s="301">
        <f ca="1">ROUND(C39*(1-((1+F42)/(1+F40))^F41)/(F40-F42),0)</f>
        <v>6239</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44.25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3434</v>
      </c>
      <c r="D43" s="337" t="s">
        <v>777</v>
      </c>
      <c r="E43" s="338" t="s">
        <v>778</v>
      </c>
      <c r="F43" s="339">
        <f ca="1">INDIRECT("'数据-取费表'!k"&amp;$G$1)</f>
        <v>18169.12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-9353</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3447</v>
      </c>
      <c r="K47" s="1416" t="s">
        <v>816</v>
      </c>
      <c r="L47" s="1417">
        <f ca="1">INDIRECT("'数据-取费表'!d"&amp;$G$1)</f>
        <v>50</v>
      </c>
      <c r="M47" s="1380" t="str">
        <f>IF(ISNUMBER(FIND("住宅",C1)),"住宅","非住宅")</f>
        <v>非住宅</v>
      </c>
      <c r="O47" s="1418" t="s">
        <v>403</v>
      </c>
      <c r="P47" s="1419" t="s">
        <v>817</v>
      </c>
      <c r="Q47" s="1420">
        <f ca="1">C40+J29</f>
        <v>6239</v>
      </c>
      <c r="R47" s="1420" t="s">
        <v>818</v>
      </c>
    </row>
    <row r="48" spans="1:18" s="1384" customFormat="1" ht="28.5" thickBot="1">
      <c r="A48" s="1110" t="s">
        <v>438</v>
      </c>
      <c r="B48" s="300" t="s">
        <v>692</v>
      </c>
      <c r="C48" s="3458">
        <f ca="1">C49+C53+C55</f>
        <v>0</v>
      </c>
      <c r="D48" s="1112"/>
      <c r="E48" s="1113"/>
      <c r="F48" s="962"/>
      <c r="G48" s="722"/>
      <c r="H48" s="723"/>
      <c r="I48" s="1421" t="s">
        <v>819</v>
      </c>
      <c r="J48" s="1422" t="s">
        <v>3448</v>
      </c>
      <c r="K48" s="1423" t="s">
        <v>820</v>
      </c>
      <c r="L48" s="1424">
        <f ca="1">INDIRECT("'数据-取费表'!f"&amp;$G$1)</f>
        <v>44.25</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v>2023</v>
      </c>
      <c r="K49" s="1423" t="s">
        <v>824</v>
      </c>
      <c r="L49" s="1427"/>
      <c r="O49" s="1428" t="s">
        <v>405</v>
      </c>
      <c r="P49" s="1419" t="s">
        <v>825</v>
      </c>
      <c r="Q49" s="1420">
        <f ca="1">C29</f>
        <v>15001</v>
      </c>
      <c r="R49" s="1420" t="s">
        <v>818</v>
      </c>
    </row>
    <row r="50" spans="1:18" s="1384" customFormat="1" ht="13.5" thickBot="1">
      <c r="A50" s="976"/>
      <c r="B50" s="979"/>
      <c r="C50" s="1118"/>
      <c r="D50" s="953"/>
      <c r="E50" s="1056" t="s">
        <v>697</v>
      </c>
      <c r="F50" s="1057">
        <f ca="1">F7</f>
        <v>519</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60</v>
      </c>
      <c r="K51" s="1434" t="s">
        <v>830</v>
      </c>
      <c r="L51" s="1435">
        <f ca="1">ROUND(-PV(INDIRECT("'数据-取费表'!h"&amp;$G$1),J51,(C39-C13*C76),0),0)</f>
        <v>-16326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44.25</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44.25</v>
      </c>
      <c r="K53" s="3692" t="s">
        <v>837</v>
      </c>
      <c r="L53" s="3693"/>
      <c r="O53" s="1418" t="s">
        <v>409</v>
      </c>
      <c r="P53" s="1419" t="s">
        <v>838</v>
      </c>
      <c r="Q53" s="1420">
        <f ca="1">Q47+Q48</f>
        <v>6239</v>
      </c>
      <c r="R53" s="1420" t="s">
        <v>410</v>
      </c>
    </row>
    <row r="54" spans="1:18" s="1384" customFormat="1" ht="13.5" thickBot="1">
      <c r="A54" s="1153"/>
      <c r="B54" s="1367" t="s">
        <v>679</v>
      </c>
      <c r="C54" s="959"/>
      <c r="D54" s="1366"/>
      <c r="E54" s="3453"/>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3"/>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15001</v>
      </c>
      <c r="D56" s="1447"/>
      <c r="E56" s="1448"/>
      <c r="F56" s="1440"/>
      <c r="I56" s="1449" t="s">
        <v>842</v>
      </c>
      <c r="J56" s="1450" t="s">
        <v>3382</v>
      </c>
      <c r="K56" s="1421" t="s">
        <v>843</v>
      </c>
      <c r="L56" s="1424" t="str">
        <f ca="1">IF(L48&lt;J51,"——",L48-J53)</f>
        <v>——</v>
      </c>
      <c r="O56" s="1418" t="s">
        <v>403</v>
      </c>
      <c r="P56" s="1419" t="s">
        <v>817</v>
      </c>
      <c r="Q56" s="1420">
        <f ca="1">C40+J29</f>
        <v>6239</v>
      </c>
      <c r="R56" s="1420" t="s">
        <v>818</v>
      </c>
    </row>
    <row r="57" spans="1:18" s="1384" customFormat="1" ht="24.75" thickBot="1">
      <c r="A57" s="1451"/>
      <c r="B57" s="950" t="s">
        <v>767</v>
      </c>
      <c r="C57" s="238">
        <f ca="1">C29</f>
        <v>15001</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176</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10.85</v>
      </c>
      <c r="D62" s="965" t="s">
        <v>786</v>
      </c>
      <c r="E62" s="950" t="s">
        <v>787</v>
      </c>
      <c r="F62" s="325">
        <f t="shared" si="0"/>
        <v>12</v>
      </c>
      <c r="I62" s="1462" t="s">
        <v>858</v>
      </c>
      <c r="J62" s="1463" t="s">
        <v>859</v>
      </c>
      <c r="K62" s="1463" t="s">
        <v>860</v>
      </c>
      <c r="L62" s="1463" t="s">
        <v>861</v>
      </c>
      <c r="M62" s="1464" t="s">
        <v>862</v>
      </c>
      <c r="O62" s="1418" t="s">
        <v>409</v>
      </c>
      <c r="P62" s="1419" t="s">
        <v>863</v>
      </c>
      <c r="Q62" s="1420">
        <f ca="1">Q56+Q57</f>
        <v>6239</v>
      </c>
      <c r="R62" s="1420" t="s">
        <v>410</v>
      </c>
    </row>
    <row r="63" spans="1:18" s="1384" customFormat="1" ht="13.5" thickBot="1">
      <c r="A63" s="326"/>
      <c r="B63" s="956"/>
      <c r="C63" s="26"/>
      <c r="D63" s="966"/>
      <c r="E63" s="950" t="s">
        <v>788</v>
      </c>
      <c r="F63" s="303">
        <f t="shared" ca="1" si="0"/>
        <v>9042.9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150.01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15</v>
      </c>
      <c r="D65" s="964" t="s">
        <v>743</v>
      </c>
      <c r="E65" s="950" t="s">
        <v>744</v>
      </c>
      <c r="F65" s="330">
        <f t="shared" ca="1" si="0"/>
        <v>1E-3</v>
      </c>
      <c r="I65" s="1462" t="s">
        <v>867</v>
      </c>
      <c r="J65" s="1463">
        <v>40</v>
      </c>
      <c r="K65" s="1463">
        <v>30</v>
      </c>
      <c r="L65" s="1463">
        <v>50</v>
      </c>
      <c r="M65" s="1465">
        <v>0.02</v>
      </c>
      <c r="O65" s="1418" t="s">
        <v>403</v>
      </c>
      <c r="P65" s="1419" t="s">
        <v>868</v>
      </c>
      <c r="Q65" s="1420">
        <f ca="1">C40+J29</f>
        <v>6239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-176</v>
      </c>
      <c r="D67" s="963" t="s">
        <v>753</v>
      </c>
      <c r="E67" s="968"/>
      <c r="F67" s="969"/>
      <c r="O67" s="1428" t="s">
        <v>405</v>
      </c>
      <c r="P67" s="1419" t="s">
        <v>850</v>
      </c>
      <c r="Q67" s="1466">
        <f ca="1">L51</f>
        <v>-16326</v>
      </c>
      <c r="R67" s="1420" t="s">
        <v>870</v>
      </c>
    </row>
    <row r="68" spans="1:18" s="1384" customFormat="1" ht="16.5" thickBot="1">
      <c r="A68" s="947" t="s">
        <v>395</v>
      </c>
      <c r="B68" s="948" t="s">
        <v>774</v>
      </c>
      <c r="C68" s="301">
        <f ca="1">ROUND(C67*(1-((1+F70)/(1+F68))^F69)/(F68-F70),0)</f>
        <v>-3114</v>
      </c>
      <c r="D68" s="965" t="s">
        <v>758</v>
      </c>
      <c r="E68" s="950" t="s">
        <v>759</v>
      </c>
      <c r="F68" s="312">
        <f ca="1">F40</f>
        <v>0.05</v>
      </c>
      <c r="O68" s="1428" t="s">
        <v>406</v>
      </c>
      <c r="P68" s="1467" t="s">
        <v>871</v>
      </c>
      <c r="Q68" s="1420">
        <f ca="1">ROUND(Q69-Q70*Q71,0)</f>
        <v>-791</v>
      </c>
      <c r="R68" s="1420" t="s">
        <v>414</v>
      </c>
    </row>
    <row r="69" spans="1:18" s="1384" customFormat="1" ht="13.5" thickBot="1">
      <c r="A69" s="951"/>
      <c r="B69" s="952"/>
      <c r="C69" s="306"/>
      <c r="D69" s="970" t="s">
        <v>762</v>
      </c>
      <c r="E69" s="950" t="s">
        <v>763</v>
      </c>
      <c r="F69" s="333">
        <f ca="1">F41</f>
        <v>44.25</v>
      </c>
      <c r="O69" s="1428" t="s">
        <v>411</v>
      </c>
      <c r="P69" s="1467" t="s">
        <v>872</v>
      </c>
      <c r="Q69" s="1420">
        <f ca="1">C39</f>
        <v>259</v>
      </c>
      <c r="R69" s="1420" t="s">
        <v>818</v>
      </c>
    </row>
    <row r="70" spans="1:18" s="1384" customFormat="1" ht="13.5" thickBot="1">
      <c r="A70" s="954"/>
      <c r="B70" s="955"/>
      <c r="C70" s="310"/>
      <c r="D70" s="966"/>
      <c r="E70" s="950" t="s">
        <v>766</v>
      </c>
      <c r="F70" s="1054"/>
      <c r="O70" s="1428" t="s">
        <v>412</v>
      </c>
      <c r="P70" s="1467" t="s">
        <v>873</v>
      </c>
      <c r="Q70" s="1420">
        <f ca="1">C13</f>
        <v>15001</v>
      </c>
      <c r="R70" s="1420" t="s">
        <v>818</v>
      </c>
    </row>
    <row r="71" spans="1:18" s="1384" customFormat="1" ht="13.5" thickBot="1">
      <c r="A71" s="971" t="s">
        <v>396</v>
      </c>
      <c r="B71" s="972" t="s">
        <v>776</v>
      </c>
      <c r="C71" s="336">
        <f ca="1">ROUND(C68*10000/F71,0)</f>
        <v>-1714</v>
      </c>
      <c r="D71" s="973" t="s">
        <v>777</v>
      </c>
      <c r="E71" s="974" t="s">
        <v>778</v>
      </c>
      <c r="F71" s="339">
        <f ca="1">F43</f>
        <v>18169.12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1050</v>
      </c>
      <c r="D75" s="1384"/>
      <c r="E75" s="1384"/>
      <c r="F75" s="1384"/>
      <c r="K75" s="1402"/>
      <c r="L75" s="1384"/>
      <c r="O75" s="1418" t="s">
        <v>409</v>
      </c>
      <c r="P75" s="1419" t="s">
        <v>838</v>
      </c>
      <c r="Q75" s="1420">
        <f ca="1">Q65+Q66</f>
        <v>6239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-3.0540000000000003</v>
      </c>
    </row>
    <row r="80" spans="1:18">
      <c r="B80" s="340" t="s">
        <v>800</v>
      </c>
      <c r="C80" s="274">
        <f ca="1">ROUND(C75/C39,3)</f>
        <v>4.0540000000000003</v>
      </c>
    </row>
    <row r="81" spans="2:3">
      <c r="B81" s="270" t="s">
        <v>801</v>
      </c>
      <c r="C81" s="238"/>
    </row>
    <row r="82" spans="2:3">
      <c r="B82" s="273" t="s">
        <v>802</v>
      </c>
      <c r="C82" s="275">
        <f ca="1">1-C83</f>
        <v>-1.4039999999999999</v>
      </c>
    </row>
    <row r="83" spans="2:3">
      <c r="B83" s="273" t="s">
        <v>803</v>
      </c>
      <c r="C83" s="274">
        <f ca="1">ROUND(C13/C40,3)</f>
        <v>2.4039999999999999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59" sqref="D5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34.24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66559</v>
      </c>
      <c r="C2" s="1387" t="s">
        <v>805</v>
      </c>
      <c r="D2" s="1387"/>
      <c r="E2" s="1388"/>
      <c r="F2" s="1389"/>
      <c r="G2" s="2706"/>
      <c r="H2" s="2695"/>
      <c r="I2" s="2695"/>
      <c r="J2" s="2695"/>
      <c r="K2" s="2696"/>
      <c r="L2" s="2695"/>
      <c r="M2" s="2695"/>
    </row>
    <row r="3" spans="1:37" ht="18" customHeight="1" thickBot="1">
      <c r="A3" s="1390" t="s">
        <v>806</v>
      </c>
      <c r="B3" s="1391">
        <f ca="1">IF(ISERROR(B2*10000/F43),0,ROUND(B2*10000/F43,0))</f>
        <v>29031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3917</v>
      </c>
      <c r="D5" s="1364" t="s">
        <v>693</v>
      </c>
      <c r="E5" s="1071"/>
      <c r="F5" s="1072"/>
      <c r="G5" s="1384"/>
      <c r="H5" s="299">
        <v>1</v>
      </c>
      <c r="I5" s="300" t="s">
        <v>692</v>
      </c>
      <c r="J5" s="1070">
        <f ca="1">J6+J10+J12</f>
        <v>0</v>
      </c>
      <c r="K5" s="1364" t="s">
        <v>693</v>
      </c>
      <c r="L5" s="1071"/>
      <c r="M5" s="1072"/>
    </row>
    <row r="6" spans="1:37" ht="18" customHeight="1">
      <c r="A6" s="1069" t="s">
        <v>398</v>
      </c>
      <c r="B6" s="3689" t="s">
        <v>694</v>
      </c>
      <c r="C6" s="1074">
        <f ca="1">ROUND(F6*F8*F7*(1-F9)/10000,0)</f>
        <v>3912</v>
      </c>
      <c r="D6" s="155" t="s">
        <v>2108</v>
      </c>
      <c r="E6" s="302" t="s">
        <v>696</v>
      </c>
      <c r="F6" s="303">
        <f ca="1">INDIRECT("'数据-取费表'!u"&amp;$G$1)</f>
        <v>5.5</v>
      </c>
      <c r="G6" s="1384"/>
      <c r="H6" s="1069" t="s">
        <v>398</v>
      </c>
      <c r="I6" s="3689" t="s">
        <v>694</v>
      </c>
      <c r="J6" s="301">
        <f ca="1">ROUND(M6*M8*M7*(1-M9)/10000,0)</f>
        <v>0</v>
      </c>
      <c r="K6" s="155" t="s">
        <v>2107</v>
      </c>
      <c r="L6" s="302" t="s">
        <v>696</v>
      </c>
      <c r="M6" s="303">
        <f ca="1">INDIRECT("'数据-取费表'!z"&amp;$G$1)</f>
        <v>0</v>
      </c>
    </row>
    <row r="7" spans="1:37" ht="18" customHeight="1">
      <c r="A7" s="1073"/>
      <c r="B7" s="3690"/>
      <c r="C7" s="1075"/>
      <c r="D7" s="307"/>
      <c r="E7" s="1076" t="s">
        <v>697</v>
      </c>
      <c r="F7" s="303">
        <f ca="1">IF(INDIRECT("'数据-取费表'!ah"&amp;$G$1)="",INDIRECT("'数据-取费表'!k"&amp;$G$1),INDIRECT("'数据-取费表'!ah"&amp;$G$1))</f>
        <v>22927.149999999998</v>
      </c>
      <c r="G7" s="1384"/>
      <c r="H7" s="304"/>
      <c r="I7" s="3690"/>
      <c r="J7" s="306"/>
      <c r="K7" s="307"/>
      <c r="L7" s="302" t="s">
        <v>697</v>
      </c>
      <c r="M7" s="303">
        <f ca="1">F7</f>
        <v>22927.149999999998</v>
      </c>
    </row>
    <row r="8" spans="1:37" ht="18" customHeight="1">
      <c r="A8" s="304"/>
      <c r="B8" s="3690"/>
      <c r="C8" s="306"/>
      <c r="D8" s="307"/>
      <c r="E8" s="302" t="s">
        <v>698</v>
      </c>
      <c r="F8" s="303">
        <f ca="1">INDIRECT("'数据-取费表'!ai"&amp;$G$1)</f>
        <v>365</v>
      </c>
      <c r="G8" s="1384"/>
      <c r="H8" s="304"/>
      <c r="I8" s="3690"/>
      <c r="J8" s="306"/>
      <c r="K8" s="307"/>
      <c r="L8" s="302" t="s">
        <v>698</v>
      </c>
      <c r="M8" s="303">
        <f ca="1">INDIRECT("'数据-取费表'!ai"&amp;$G$1)</f>
        <v>365</v>
      </c>
    </row>
    <row r="9" spans="1:37" ht="18" customHeight="1">
      <c r="A9" s="304"/>
      <c r="B9" s="3691"/>
      <c r="C9" s="306"/>
      <c r="D9" s="307"/>
      <c r="E9" s="302" t="s">
        <v>699</v>
      </c>
      <c r="F9" s="312">
        <f ca="1">INDIRECT("'数据-取费表'!w"&amp;$G$1)</f>
        <v>0.15</v>
      </c>
      <c r="G9" s="1384"/>
      <c r="H9" s="304"/>
      <c r="I9" s="3691"/>
      <c r="J9" s="306"/>
      <c r="K9" s="307"/>
      <c r="L9" s="313" t="s">
        <v>699</v>
      </c>
      <c r="M9" s="314">
        <f ca="1">INDIRECT("'数据-取费表'!ab"&amp;$G$1)</f>
        <v>0</v>
      </c>
    </row>
    <row r="10" spans="1:37" ht="18" customHeight="1">
      <c r="A10" s="1069" t="s">
        <v>402</v>
      </c>
      <c r="B10" s="1365" t="s">
        <v>700</v>
      </c>
      <c r="C10" s="316">
        <f ca="1">ROUND(IF(F10="押一",C6/12*F11,IF(F10="押二",C6/12*2*F11,IF(F10="押三",C6/12*3*F11,C11*F11))),0)</f>
        <v>5</v>
      </c>
      <c r="D10" s="1366" t="s">
        <v>2116</v>
      </c>
      <c r="E10" s="313" t="s">
        <v>701</v>
      </c>
      <c r="F10" s="1116" t="s">
        <v>3446</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21602</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14494</v>
      </c>
      <c r="D14" s="1345" t="s">
        <v>708</v>
      </c>
      <c r="E14" s="1342"/>
      <c r="F14" s="319"/>
      <c r="G14" s="1384"/>
      <c r="H14" s="982" t="s">
        <v>398</v>
      </c>
      <c r="I14" s="302" t="s">
        <v>709</v>
      </c>
      <c r="J14" s="21">
        <f ca="1">C29</f>
        <v>21602</v>
      </c>
      <c r="K14" s="12"/>
      <c r="L14" s="807"/>
      <c r="M14" s="808"/>
    </row>
    <row r="15" spans="1:37" s="1397" customFormat="1" ht="18" customHeight="1" thickBot="1">
      <c r="A15" s="982" t="s">
        <v>399</v>
      </c>
      <c r="B15" s="302" t="s">
        <v>710</v>
      </c>
      <c r="C15" s="21">
        <f ca="1">ROUND(C14*F15,0)</f>
        <v>435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230</v>
      </c>
      <c r="K16" s="1087" t="s">
        <v>715</v>
      </c>
      <c r="L16" s="1088"/>
      <c r="M16" s="1072"/>
    </row>
    <row r="17" spans="1:37" s="1397" customFormat="1" ht="18" customHeight="1">
      <c r="A17" s="982" t="s">
        <v>681</v>
      </c>
      <c r="B17" s="302" t="s">
        <v>716</v>
      </c>
      <c r="C17" s="21">
        <f ca="1">ROUND(F17*(F43+INDIRECT("'数据-取费表'!S"&amp;$G$1))/10000,0)</f>
        <v>580</v>
      </c>
      <c r="D17" s="302" t="s">
        <v>717</v>
      </c>
      <c r="E17" s="302" t="s">
        <v>718</v>
      </c>
      <c r="F17" s="23">
        <f>'数据-取费表'!B35</f>
        <v>200</v>
      </c>
      <c r="G17" s="1396"/>
      <c r="H17" s="982" t="s">
        <v>398</v>
      </c>
      <c r="I17" s="302" t="s">
        <v>719</v>
      </c>
      <c r="J17" s="2316">
        <f ca="1">ROUND(IF(AND(项目基本情况!B11="自然人",项目基本情况!B10="北京市"),J6*M17/(1+'数据-取费表'!C42),J18+J19+J20),2)</f>
        <v>13.69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15726</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315</v>
      </c>
      <c r="D20" s="323" t="s">
        <v>729</v>
      </c>
      <c r="E20" s="302" t="s">
        <v>712</v>
      </c>
      <c r="F20" s="322">
        <f>'数据-取费表'!B37</f>
        <v>0.02</v>
      </c>
      <c r="G20" s="1396"/>
      <c r="H20" s="982" t="s">
        <v>680</v>
      </c>
      <c r="I20" s="155" t="s">
        <v>730</v>
      </c>
      <c r="J20" s="22">
        <f ca="1">ROUND(M20*M21/10000,2)</f>
        <v>13.69</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11411.009999999998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216.02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666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-230</v>
      </c>
      <c r="K25" s="1095" t="s">
        <v>753</v>
      </c>
      <c r="L25" s="1096"/>
      <c r="M25" s="1097"/>
    </row>
    <row r="26" spans="1:37">
      <c r="A26" s="982" t="s">
        <v>397</v>
      </c>
      <c r="B26" s="302" t="s">
        <v>754</v>
      </c>
      <c r="C26" s="21">
        <f ca="1">ROUND((C19+C20)*F26,0)</f>
        <v>3208</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21602</v>
      </c>
      <c r="D29" s="1092"/>
      <c r="E29" s="1090"/>
      <c r="F29" s="1093"/>
      <c r="G29" s="1396"/>
      <c r="H29" s="334" t="s">
        <v>396</v>
      </c>
      <c r="I29" s="335" t="s">
        <v>768</v>
      </c>
      <c r="J29" s="336">
        <f ca="1">ROUND(J26/(1+F40)^F41,0)</f>
        <v>0</v>
      </c>
      <c r="K29" s="337" t="s">
        <v>769</v>
      </c>
      <c r="L29" s="338"/>
      <c r="M29" s="339">
        <f ca="1">INDIRECT("'数据-取费表'!k"&amp;$G$1)</f>
        <v>22927.149999999998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946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669.42</v>
      </c>
      <c r="D31" s="1345" t="s">
        <v>720</v>
      </c>
      <c r="E31" s="1344" t="s">
        <v>770</v>
      </c>
      <c r="F31" s="2315" t="str">
        <f>IF(项目基本情况!B11="企业","——",IF(M47="住宅",IF(F6*F7*F8/12/(1+'数据-取费表'!F30)&gt;100000,4%,2.5%),IF(F6*F7*F8/12/(1+'数据-取费表'!F30)&gt;100000,12%,7%)))</f>
        <v>——</v>
      </c>
      <c r="G31" s="1384"/>
      <c r="H31" s="2807" t="s">
        <v>2309</v>
      </c>
      <c r="I31" s="1398"/>
      <c r="J31" s="1399"/>
      <c r="K31" s="2475"/>
      <c r="L31" s="2698"/>
      <c r="M31" s="2699"/>
    </row>
    <row r="32" spans="1:37" ht="18" customHeight="1">
      <c r="A32" s="982" t="s">
        <v>397</v>
      </c>
      <c r="B32" s="302" t="s">
        <v>723</v>
      </c>
      <c r="C32" s="21">
        <f ca="1">IF(项目基本情况!B11="自然人","——",ROUND(C6*F32/(1+'数据-取费表'!C42),2))</f>
        <v>208.64</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447.09</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13.69</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11411.009999999998</v>
      </c>
      <c r="G35" s="1384"/>
      <c r="H35" s="2697"/>
      <c r="I35" s="1398"/>
      <c r="J35" s="1399"/>
      <c r="K35" s="2701"/>
      <c r="L35" s="2700"/>
      <c r="M35" s="2700"/>
    </row>
    <row r="36" spans="1:18" ht="18" customHeight="1">
      <c r="A36" s="1102" t="s">
        <v>402</v>
      </c>
      <c r="B36" s="302" t="s">
        <v>738</v>
      </c>
      <c r="C36" s="21">
        <f ca="1">ROUND(C29*F36,2)</f>
        <v>216.02</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21.6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39.17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2971</v>
      </c>
      <c r="D39" s="1095" t="s">
        <v>773</v>
      </c>
      <c r="E39" s="1096"/>
      <c r="F39" s="1097"/>
      <c r="G39" s="1384"/>
      <c r="H39" s="2700"/>
      <c r="I39" s="1398"/>
      <c r="J39" s="1399"/>
      <c r="K39" s="2704"/>
      <c r="L39" s="2700"/>
      <c r="M39" s="2700"/>
    </row>
    <row r="40" spans="1:18" ht="18" customHeight="1">
      <c r="A40" s="299" t="s">
        <v>395</v>
      </c>
      <c r="B40" s="300" t="s">
        <v>774</v>
      </c>
      <c r="C40" s="301">
        <f ca="1">ROUND(C39*(1-((1+F42)/(1+F40))^F41)/(F40-F42),0)</f>
        <v>66559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34.24</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29031</v>
      </c>
      <c r="D43" s="337" t="s">
        <v>777</v>
      </c>
      <c r="E43" s="338" t="s">
        <v>778</v>
      </c>
      <c r="F43" s="339">
        <f ca="1">INDIRECT("'数据-取费表'!k"&amp;$G$1)</f>
        <v>22927.149999999998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-70408</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3447</v>
      </c>
      <c r="K47" s="1416" t="s">
        <v>816</v>
      </c>
      <c r="L47" s="1417">
        <f ca="1">INDIRECT("'数据-取费表'!d"&amp;$G$1)</f>
        <v>40</v>
      </c>
      <c r="M47" s="1380" t="str">
        <f>IF(ISNUMBER(FIND("住宅",C1)),"住宅","非住宅")</f>
        <v>非住宅</v>
      </c>
      <c r="O47" s="1418" t="s">
        <v>403</v>
      </c>
      <c r="P47" s="1419" t="s">
        <v>817</v>
      </c>
      <c r="Q47" s="1420">
        <f ca="1">C40+J29</f>
        <v>66559</v>
      </c>
      <c r="R47" s="1420" t="s">
        <v>818</v>
      </c>
    </row>
    <row r="48" spans="1:18" s="1384" customFormat="1" ht="28.5" thickBot="1">
      <c r="A48" s="1110" t="s">
        <v>438</v>
      </c>
      <c r="B48" s="300" t="s">
        <v>692</v>
      </c>
      <c r="C48" s="1359">
        <f ca="1">C49+C53+C55</f>
        <v>0</v>
      </c>
      <c r="D48" s="1112"/>
      <c r="E48" s="1113"/>
      <c r="F48" s="962"/>
      <c r="G48" s="722"/>
      <c r="H48" s="723"/>
      <c r="I48" s="1421" t="s">
        <v>819</v>
      </c>
      <c r="J48" s="1422" t="s">
        <v>3448</v>
      </c>
      <c r="K48" s="1423" t="s">
        <v>820</v>
      </c>
      <c r="L48" s="1424">
        <f ca="1">INDIRECT("'数据-取费表'!f"&amp;$G$1)</f>
        <v>34.24</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2023</v>
      </c>
      <c r="K49" s="1423" t="s">
        <v>824</v>
      </c>
      <c r="L49" s="1427"/>
      <c r="O49" s="1428" t="s">
        <v>405</v>
      </c>
      <c r="P49" s="1419" t="s">
        <v>825</v>
      </c>
      <c r="Q49" s="1420">
        <f ca="1">C29</f>
        <v>21602</v>
      </c>
      <c r="R49" s="1420" t="s">
        <v>818</v>
      </c>
    </row>
    <row r="50" spans="1:18" s="1384" customFormat="1" ht="13.5" thickBot="1">
      <c r="A50" s="976"/>
      <c r="B50" s="979"/>
      <c r="C50" s="1118"/>
      <c r="D50" s="953"/>
      <c r="E50" s="1056" t="s">
        <v>697</v>
      </c>
      <c r="F50" s="1057">
        <f ca="1">F7</f>
        <v>22927.149999999998</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27615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34.24</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34.24</v>
      </c>
      <c r="K53" s="3692" t="s">
        <v>837</v>
      </c>
      <c r="L53" s="3693"/>
      <c r="O53" s="1418" t="s">
        <v>409</v>
      </c>
      <c r="P53" s="1419" t="s">
        <v>838</v>
      </c>
      <c r="Q53" s="1420">
        <f ca="1">Q47+Q48</f>
        <v>66559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21602</v>
      </c>
      <c r="D56" s="1447"/>
      <c r="E56" s="1448"/>
      <c r="F56" s="1440"/>
      <c r="I56" s="1449" t="s">
        <v>842</v>
      </c>
      <c r="J56" s="1450" t="s">
        <v>3382</v>
      </c>
      <c r="K56" s="1421" t="s">
        <v>843</v>
      </c>
      <c r="L56" s="1424" t="str">
        <f ca="1">IF(L48&lt;J51,"——",L48-J53)</f>
        <v>——</v>
      </c>
      <c r="O56" s="1418" t="s">
        <v>403</v>
      </c>
      <c r="P56" s="1419" t="s">
        <v>817</v>
      </c>
      <c r="Q56" s="1420">
        <f ca="1">C40+J29</f>
        <v>66559</v>
      </c>
      <c r="R56" s="1420" t="s">
        <v>818</v>
      </c>
    </row>
    <row r="57" spans="1:18" s="1384" customFormat="1" ht="24.75" thickBot="1">
      <c r="A57" s="1451"/>
      <c r="B57" s="950" t="s">
        <v>767</v>
      </c>
      <c r="C57" s="238">
        <f ca="1">C29</f>
        <v>21602</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14</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13.69</v>
      </c>
      <c r="D62" s="965" t="s">
        <v>786</v>
      </c>
      <c r="E62" s="950" t="s">
        <v>787</v>
      </c>
      <c r="F62" s="325">
        <f t="shared" si="0"/>
        <v>12</v>
      </c>
      <c r="I62" s="1462" t="s">
        <v>858</v>
      </c>
      <c r="J62" s="1463" t="s">
        <v>859</v>
      </c>
      <c r="K62" s="1463" t="s">
        <v>860</v>
      </c>
      <c r="L62" s="1463" t="s">
        <v>861</v>
      </c>
      <c r="M62" s="1464" t="s">
        <v>862</v>
      </c>
      <c r="O62" s="1418" t="s">
        <v>409</v>
      </c>
      <c r="P62" s="1419" t="s">
        <v>863</v>
      </c>
      <c r="Q62" s="1420">
        <f ca="1">Q56+Q57</f>
        <v>66559</v>
      </c>
      <c r="R62" s="1420" t="s">
        <v>410</v>
      </c>
    </row>
    <row r="63" spans="1:18" s="1384" customFormat="1" ht="13.5" thickBot="1">
      <c r="A63" s="326"/>
      <c r="B63" s="956"/>
      <c r="C63" s="26"/>
      <c r="D63" s="966"/>
      <c r="E63" s="950" t="s">
        <v>788</v>
      </c>
      <c r="F63" s="303">
        <f t="shared" ca="1" si="0"/>
        <v>11411.009999999998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216.02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21.6</v>
      </c>
      <c r="D65" s="964" t="s">
        <v>743</v>
      </c>
      <c r="E65" s="950" t="s">
        <v>744</v>
      </c>
      <c r="F65" s="330">
        <f t="shared" ca="1" si="0"/>
        <v>1E-3</v>
      </c>
      <c r="I65" s="1462" t="s">
        <v>867</v>
      </c>
      <c r="J65" s="1463">
        <v>40</v>
      </c>
      <c r="K65" s="1463">
        <v>30</v>
      </c>
      <c r="L65" s="1463">
        <v>50</v>
      </c>
      <c r="M65" s="1465">
        <v>0.02</v>
      </c>
      <c r="O65" s="1418" t="s">
        <v>403</v>
      </c>
      <c r="P65" s="1419" t="s">
        <v>868</v>
      </c>
      <c r="Q65" s="1420">
        <f ca="1">C40+J29</f>
        <v>66559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-252</v>
      </c>
      <c r="D67" s="963" t="s">
        <v>753</v>
      </c>
      <c r="E67" s="968"/>
      <c r="F67" s="969"/>
      <c r="O67" s="1428" t="s">
        <v>405</v>
      </c>
      <c r="P67" s="1419" t="s">
        <v>850</v>
      </c>
      <c r="Q67" s="1466">
        <f ca="1">L51</f>
        <v>27615</v>
      </c>
      <c r="R67" s="1420" t="s">
        <v>870</v>
      </c>
    </row>
    <row r="68" spans="1:18" s="1384" customFormat="1" ht="16.5" thickBot="1">
      <c r="A68" s="947" t="s">
        <v>395</v>
      </c>
      <c r="B68" s="948" t="s">
        <v>774</v>
      </c>
      <c r="C68" s="301">
        <f ca="1">ROUND(C67*(1-((1+F70)/(1+F68))^F69)/(F68-F70),0)</f>
        <v>-3849</v>
      </c>
      <c r="D68" s="965" t="s">
        <v>758</v>
      </c>
      <c r="E68" s="950" t="s">
        <v>759</v>
      </c>
      <c r="F68" s="312">
        <f ca="1">F40</f>
        <v>5.5E-2</v>
      </c>
      <c r="O68" s="1428" t="s">
        <v>406</v>
      </c>
      <c r="P68" s="1467" t="s">
        <v>871</v>
      </c>
      <c r="Q68" s="1420">
        <f ca="1">ROUND(Q69-Q70*Q71,0)</f>
        <v>1459</v>
      </c>
      <c r="R68" s="1420" t="s">
        <v>414</v>
      </c>
    </row>
    <row r="69" spans="1:18" s="1384" customFormat="1" ht="13.5" thickBot="1">
      <c r="A69" s="951"/>
      <c r="B69" s="952"/>
      <c r="C69" s="306"/>
      <c r="D69" s="970" t="s">
        <v>762</v>
      </c>
      <c r="E69" s="950" t="s">
        <v>763</v>
      </c>
      <c r="F69" s="333">
        <f ca="1">F41</f>
        <v>34.24</v>
      </c>
      <c r="O69" s="1428" t="s">
        <v>411</v>
      </c>
      <c r="P69" s="1467" t="s">
        <v>872</v>
      </c>
      <c r="Q69" s="1420">
        <f ca="1">C39</f>
        <v>2971</v>
      </c>
      <c r="R69" s="1420" t="s">
        <v>818</v>
      </c>
    </row>
    <row r="70" spans="1:18" s="1384" customFormat="1" ht="13.5" thickBot="1">
      <c r="A70" s="954"/>
      <c r="B70" s="955"/>
      <c r="C70" s="310"/>
      <c r="D70" s="966"/>
      <c r="E70" s="950" t="s">
        <v>766</v>
      </c>
      <c r="F70" s="1054"/>
      <c r="O70" s="1428" t="s">
        <v>412</v>
      </c>
      <c r="P70" s="1467" t="s">
        <v>873</v>
      </c>
      <c r="Q70" s="1420">
        <f ca="1">C13</f>
        <v>21602</v>
      </c>
      <c r="R70" s="1420" t="s">
        <v>818</v>
      </c>
    </row>
    <row r="71" spans="1:18" s="1384" customFormat="1" ht="13.5" thickBot="1">
      <c r="A71" s="971" t="s">
        <v>396</v>
      </c>
      <c r="B71" s="972" t="s">
        <v>776</v>
      </c>
      <c r="C71" s="336">
        <f ca="1">ROUND(C68*10000/F71,0)</f>
        <v>-1679</v>
      </c>
      <c r="D71" s="973" t="s">
        <v>777</v>
      </c>
      <c r="E71" s="974" t="s">
        <v>778</v>
      </c>
      <c r="F71" s="339">
        <f ca="1">F43</f>
        <v>22927.149999999998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1512</v>
      </c>
      <c r="D75" s="1384"/>
      <c r="E75" s="1384"/>
      <c r="F75" s="1384"/>
      <c r="K75" s="1402"/>
      <c r="L75" s="1384"/>
      <c r="O75" s="1418" t="s">
        <v>409</v>
      </c>
      <c r="P75" s="1419" t="s">
        <v>838</v>
      </c>
      <c r="Q75" s="1420">
        <f ca="1">Q65+Q66</f>
        <v>66559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0.49099999999999999</v>
      </c>
    </row>
    <row r="80" spans="1:18">
      <c r="B80" s="340" t="s">
        <v>800</v>
      </c>
      <c r="C80" s="274">
        <f ca="1">ROUND(C75/C39,3)</f>
        <v>0.50900000000000001</v>
      </c>
    </row>
    <row r="81" spans="2:3">
      <c r="B81" s="270" t="s">
        <v>801</v>
      </c>
      <c r="C81" s="238"/>
    </row>
    <row r="82" spans="2:3">
      <c r="B82" s="273" t="s">
        <v>802</v>
      </c>
      <c r="C82" s="275">
        <f ca="1">1-C83</f>
        <v>0.67500000000000004</v>
      </c>
    </row>
    <row r="83" spans="2:3">
      <c r="B83" s="273" t="s">
        <v>803</v>
      </c>
      <c r="C83" s="274">
        <f ca="1">ROUND(C13/C40,3)</f>
        <v>0.32500000000000001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9" t="s">
        <v>694</v>
      </c>
      <c r="C6" s="1074">
        <f ca="1">ROUND(F6*F8*F7*(1-F9),0)</f>
        <v>0</v>
      </c>
      <c r="D6" s="155" t="s">
        <v>2105</v>
      </c>
      <c r="E6" s="302" t="s">
        <v>696</v>
      </c>
      <c r="F6" s="303">
        <f ca="1">INDIRECT("'数据-取费表'!u"&amp;$G$1)</f>
        <v>0</v>
      </c>
      <c r="G6" s="1384"/>
      <c r="H6" s="1069" t="s">
        <v>398</v>
      </c>
      <c r="I6" s="3689" t="s">
        <v>694</v>
      </c>
      <c r="J6" s="301">
        <f ca="1">ROUND(M6*M8*M7*(1-M9),0)</f>
        <v>0</v>
      </c>
      <c r="K6" s="1376" t="s">
        <v>2106</v>
      </c>
      <c r="L6" s="302" t="s">
        <v>696</v>
      </c>
      <c r="M6" s="303">
        <f ca="1">INDIRECT("'数据-取费表'!z"&amp;$G$1)</f>
        <v>0</v>
      </c>
    </row>
    <row r="7" spans="1:37" ht="18" customHeight="1">
      <c r="A7" s="1073"/>
      <c r="B7" s="3690"/>
      <c r="C7" s="1075"/>
      <c r="D7" s="307"/>
      <c r="E7" s="1076" t="s">
        <v>697</v>
      </c>
      <c r="F7" s="303">
        <f ca="1">IF(INDIRECT("'数据-取费表'!ah"&amp;$G$1)="",INDIRECT("'数据-取费表'!k"&amp;$G$1),INDIRECT("'数据-取费表'!ah"&amp;$G$1))</f>
        <v>0</v>
      </c>
      <c r="G7" s="1384"/>
      <c r="H7" s="304"/>
      <c r="I7" s="3690"/>
      <c r="J7" s="306"/>
      <c r="K7" s="307"/>
      <c r="L7" s="302" t="s">
        <v>697</v>
      </c>
      <c r="M7" s="303">
        <f ca="1">F7</f>
        <v>0</v>
      </c>
    </row>
    <row r="8" spans="1:37" ht="18" customHeight="1">
      <c r="A8" s="304"/>
      <c r="B8" s="3690"/>
      <c r="C8" s="306"/>
      <c r="D8" s="307"/>
      <c r="E8" s="302" t="s">
        <v>698</v>
      </c>
      <c r="F8" s="303">
        <f ca="1">INDIRECT("'数据-取费表'!ai"&amp;$G$1)</f>
        <v>0</v>
      </c>
      <c r="G8" s="1384"/>
      <c r="H8" s="304"/>
      <c r="I8" s="3690"/>
      <c r="J8" s="306"/>
      <c r="K8" s="307"/>
      <c r="L8" s="302" t="s">
        <v>698</v>
      </c>
      <c r="M8" s="303">
        <f ca="1">INDIRECT("'数据-取费表'!ai"&amp;$G$1)</f>
        <v>0</v>
      </c>
    </row>
    <row r="9" spans="1:37" ht="18" customHeight="1">
      <c r="A9" s="304"/>
      <c r="B9" s="3691"/>
      <c r="C9" s="306"/>
      <c r="D9" s="307"/>
      <c r="E9" s="302" t="s">
        <v>699</v>
      </c>
      <c r="F9" s="312">
        <f ca="1">INDIRECT("'数据-取费表'!w"&amp;$G$1)</f>
        <v>0</v>
      </c>
      <c r="G9" s="1384"/>
      <c r="H9" s="304"/>
      <c r="I9" s="369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2309</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t="e">
        <f ca="1">ROUND((C68-C40)/10000,4)</f>
        <v>#DIV/0!</v>
      </c>
      <c r="D45" s="3431"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92" t="s">
        <v>837</v>
      </c>
      <c r="L53" s="369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5" t="s">
        <v>2317</v>
      </c>
      <c r="B2" s="2842" t="e">
        <f>IF(D2="——",C40,C40+E2)</f>
        <v>#DIV/0!</v>
      </c>
      <c r="C2" s="2843" t="s">
        <v>2318</v>
      </c>
      <c r="D2" s="3442" t="s">
        <v>3364</v>
      </c>
      <c r="E2" s="3443"/>
      <c r="F2" s="2845"/>
      <c r="G2" s="2846"/>
      <c r="H2" s="2847"/>
      <c r="I2" s="2848"/>
      <c r="J2" s="3700" t="s">
        <v>2319</v>
      </c>
      <c r="K2" s="3701"/>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702" t="s">
        <v>2329</v>
      </c>
      <c r="K3" s="3703"/>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702" t="s">
        <v>2331</v>
      </c>
      <c r="K4" s="3703"/>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708" t="s">
        <v>2335</v>
      </c>
      <c r="B6" s="3709"/>
      <c r="C6" s="3710"/>
      <c r="D6" s="2869"/>
      <c r="E6" s="2870"/>
      <c r="F6" s="2871"/>
      <c r="G6" s="2872"/>
      <c r="H6" s="2847"/>
      <c r="I6" s="2848"/>
      <c r="J6" s="3694">
        <v>1</v>
      </c>
      <c r="K6" s="3695"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94"/>
      <c r="K7" s="3696"/>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711" t="s">
        <v>2349</v>
      </c>
      <c r="C8" s="3712"/>
      <c r="D8" s="2888" t="s">
        <v>2350</v>
      </c>
      <c r="E8" s="2889" t="s">
        <v>2351</v>
      </c>
      <c r="F8" s="2890" t="s">
        <v>2352</v>
      </c>
      <c r="G8" s="2891"/>
      <c r="H8" s="2847"/>
      <c r="I8" s="2848"/>
      <c r="J8" s="3694"/>
      <c r="K8" s="3696"/>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711" t="s">
        <v>2355</v>
      </c>
      <c r="C9" s="3712"/>
      <c r="D9" s="2888">
        <f>ROUND(D6*E9,0)</f>
        <v>0</v>
      </c>
      <c r="E9" s="2892"/>
      <c r="F9" s="2893" t="s">
        <v>2356</v>
      </c>
      <c r="G9" s="2872"/>
      <c r="H9" s="2847"/>
      <c r="I9" s="2848"/>
      <c r="J9" s="3694"/>
      <c r="K9" s="3696"/>
      <c r="L9" s="2882" t="s">
        <v>2357</v>
      </c>
      <c r="M9" s="2883"/>
      <c r="N9" s="2859"/>
      <c r="O9" s="2884"/>
      <c r="P9" s="2884"/>
      <c r="Q9" s="2885">
        <v>365</v>
      </c>
      <c r="R9" s="2886">
        <f t="shared" si="0"/>
        <v>0</v>
      </c>
      <c r="S9" s="2840"/>
      <c r="T9" s="2840"/>
      <c r="U9" s="2840"/>
      <c r="V9" s="2848"/>
    </row>
    <row r="10" spans="1:22" s="2852" customFormat="1" ht="13.15" customHeight="1">
      <c r="A10" s="2887">
        <v>2</v>
      </c>
      <c r="B10" s="3711" t="s">
        <v>2358</v>
      </c>
      <c r="C10" s="3712"/>
      <c r="D10" s="2888">
        <f>ROUND(D6*E10,0)</f>
        <v>0</v>
      </c>
      <c r="E10" s="2892"/>
      <c r="F10" s="2893" t="s">
        <v>2359</v>
      </c>
      <c r="G10" s="2872"/>
      <c r="H10" s="2847"/>
      <c r="I10" s="2848"/>
      <c r="J10" s="3694"/>
      <c r="K10" s="3696"/>
      <c r="L10" s="2882" t="s">
        <v>2360</v>
      </c>
      <c r="M10" s="2883"/>
      <c r="N10" s="2859"/>
      <c r="O10" s="2884"/>
      <c r="P10" s="2884"/>
      <c r="Q10" s="2885">
        <v>365</v>
      </c>
      <c r="R10" s="2886">
        <f t="shared" si="0"/>
        <v>0</v>
      </c>
      <c r="S10" s="2840"/>
      <c r="T10" s="2840"/>
      <c r="U10" s="2840"/>
      <c r="V10" s="2848"/>
    </row>
    <row r="11" spans="1:22" s="2852" customFormat="1" ht="13.15" customHeight="1">
      <c r="A11" s="2887">
        <v>3</v>
      </c>
      <c r="B11" s="3711" t="s">
        <v>2361</v>
      </c>
      <c r="C11" s="3712"/>
      <c r="D11" s="2888">
        <f>D12+D14+D15+D16</f>
        <v>0</v>
      </c>
      <c r="E11" s="2894" t="e">
        <f>D11/D6</f>
        <v>#DIV/0!</v>
      </c>
      <c r="F11" s="2890"/>
      <c r="G11" s="2891"/>
      <c r="H11" s="2847"/>
      <c r="I11" s="2848"/>
      <c r="J11" s="3694"/>
      <c r="K11" s="3696"/>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704" t="s">
        <v>2364</v>
      </c>
      <c r="C12" s="3705"/>
      <c r="D12" s="2896">
        <f>ROUND(D13*1.2%*(1-30%),0)</f>
        <v>0</v>
      </c>
      <c r="E12" s="2897">
        <v>1.2E-2</v>
      </c>
      <c r="F12" s="2890" t="s">
        <v>2365</v>
      </c>
      <c r="G12" s="2891"/>
      <c r="H12" s="2847"/>
      <c r="I12" s="2848"/>
      <c r="J12" s="3694"/>
      <c r="K12" s="3696"/>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94"/>
      <c r="K13" s="3696"/>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704" t="s">
        <v>2370</v>
      </c>
      <c r="C14" s="3705"/>
      <c r="D14" s="2896">
        <f>ROUND(E14*B5/10000,0)</f>
        <v>0</v>
      </c>
      <c r="E14" s="2885"/>
      <c r="F14" s="2890" t="s">
        <v>2371</v>
      </c>
      <c r="G14" s="2891"/>
      <c r="H14" s="2847"/>
      <c r="I14" s="2848"/>
      <c r="J14" s="3694"/>
      <c r="K14" s="3697"/>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704" t="s">
        <v>2374</v>
      </c>
      <c r="C15" s="3705"/>
      <c r="D15" s="2896">
        <f>ROUND(D6*E15,0)</f>
        <v>0</v>
      </c>
      <c r="E15" s="2897">
        <v>5.5E-2</v>
      </c>
      <c r="F15" s="2890" t="s">
        <v>2375</v>
      </c>
      <c r="G15" s="2872"/>
      <c r="H15" s="2847"/>
      <c r="I15" s="2848"/>
      <c r="J15" s="3694">
        <v>2</v>
      </c>
      <c r="K15" s="3695"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704" t="s">
        <v>2383</v>
      </c>
      <c r="C16" s="3705"/>
      <c r="D16" s="2907">
        <f>D6*E16</f>
        <v>0</v>
      </c>
      <c r="E16" s="2908"/>
      <c r="F16" s="2893" t="s">
        <v>2384</v>
      </c>
      <c r="G16" s="2872"/>
      <c r="H16" s="2847"/>
      <c r="I16" s="2848"/>
      <c r="J16" s="3694"/>
      <c r="K16" s="3696"/>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706" t="s">
        <v>2386</v>
      </c>
      <c r="C17" s="3707"/>
      <c r="D17" s="2910">
        <f>ROUND(D6*E17,0)</f>
        <v>0</v>
      </c>
      <c r="E17" s="2911"/>
      <c r="F17" s="2912" t="s">
        <v>2387</v>
      </c>
      <c r="G17" s="2872"/>
      <c r="H17" s="2847"/>
      <c r="I17" s="2848"/>
      <c r="J17" s="3694"/>
      <c r="K17" s="3696"/>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94"/>
      <c r="K18" s="3696"/>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94"/>
      <c r="K19" s="3697"/>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94">
        <v>3</v>
      </c>
      <c r="K20" s="3695"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94"/>
      <c r="K21" s="3696"/>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94"/>
      <c r="K22" s="3696"/>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94"/>
      <c r="K23" s="3696"/>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94"/>
      <c r="K24" s="3697"/>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98">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9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700" t="s">
        <v>2319</v>
      </c>
      <c r="K32" s="3701"/>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702" t="s">
        <v>2329</v>
      </c>
      <c r="K33" s="3703"/>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702" t="s">
        <v>2331</v>
      </c>
      <c r="K34" s="370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94">
        <v>1</v>
      </c>
      <c r="K36" s="3695"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94"/>
      <c r="K37" s="3696"/>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94"/>
      <c r="K38" s="3696"/>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94"/>
      <c r="K39" s="3696"/>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94"/>
      <c r="K40" s="3697"/>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8">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9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7"/>
      <c r="G1" s="1489"/>
      <c r="H1" s="1489"/>
      <c r="I1" s="1489"/>
      <c r="J1" s="1489"/>
      <c r="K1" s="1489"/>
      <c r="L1" s="1489"/>
      <c r="M1" s="1489"/>
      <c r="N1" s="1489"/>
      <c r="O1" s="1489"/>
      <c r="P1" s="1489"/>
      <c r="Q1" s="1489"/>
      <c r="R1" s="1489"/>
      <c r="S1" s="1489"/>
    </row>
    <row r="2" spans="1:22" ht="15.75">
      <c r="A2" s="1870" t="s">
        <v>1461</v>
      </c>
      <c r="B2" s="1871">
        <f ca="1">SUMIF(B6:B13,"&lt;&gt;#ref!",B6:B13)</f>
        <v>72798</v>
      </c>
      <c r="C2" s="1872" t="s">
        <v>1650</v>
      </c>
      <c r="D2" s="1873" t="s">
        <v>1651</v>
      </c>
      <c r="E2" s="2607">
        <f>SUM(E6:E13)</f>
        <v>51957.05</v>
      </c>
      <c r="F2" s="2707"/>
      <c r="G2" s="1489"/>
      <c r="H2" s="1489"/>
      <c r="I2" s="1489"/>
      <c r="J2" s="1489"/>
      <c r="K2" s="1489"/>
      <c r="L2" s="1489"/>
      <c r="M2" s="1489"/>
      <c r="N2" s="1489"/>
      <c r="O2" s="1489"/>
      <c r="P2" s="1489"/>
      <c r="Q2" s="1489"/>
      <c r="R2" s="1489"/>
      <c r="S2" s="1489"/>
    </row>
    <row r="3" spans="1:22" ht="15.75">
      <c r="A3" s="1870" t="s">
        <v>686</v>
      </c>
      <c r="B3" s="2601">
        <f ca="1">ROUND(B2*10000/E2,0)</f>
        <v>14011</v>
      </c>
      <c r="C3" s="1872" t="s">
        <v>1658</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1652</v>
      </c>
      <c r="B5" s="3713" t="s">
        <v>1653</v>
      </c>
      <c r="C5" s="3714"/>
      <c r="D5" s="2708"/>
      <c r="E5" s="1874" t="s">
        <v>1654</v>
      </c>
      <c r="F5" s="1875" t="s">
        <v>1655</v>
      </c>
      <c r="G5" s="1489"/>
      <c r="H5" s="1489"/>
      <c r="I5" s="1489"/>
      <c r="J5" s="1489"/>
      <c r="K5" s="1489"/>
      <c r="L5" s="1489"/>
      <c r="M5" s="1489"/>
      <c r="N5" s="1489"/>
      <c r="O5" s="1489"/>
      <c r="P5" s="1489"/>
      <c r="Q5" s="1489"/>
      <c r="R5" s="1489"/>
      <c r="S5" s="1489"/>
    </row>
    <row r="6" spans="1:22">
      <c r="A6" s="2604" t="str">
        <f>'数据-取费表'!AN6</f>
        <v>收益法</v>
      </c>
      <c r="B6" s="2602">
        <f ca="1">IF(F6="是",'数据-取费表'!AO6,0)</f>
        <v>66559</v>
      </c>
      <c r="C6" s="1872" t="s">
        <v>1650</v>
      </c>
      <c r="D6" s="2709"/>
      <c r="E6" s="2606">
        <f>IF(OR(A6=0,F6="否"),0,'数据-取费表'!K6+'数据-取费表'!S6)</f>
        <v>28986.26</v>
      </c>
      <c r="F6" s="1876" t="s">
        <v>1656</v>
      </c>
      <c r="G6" s="1489"/>
      <c r="H6" s="1489"/>
      <c r="I6" s="1489"/>
      <c r="J6" s="1489"/>
      <c r="K6" s="1489"/>
      <c r="L6" s="1489"/>
      <c r="M6" s="1489"/>
      <c r="N6" s="1489"/>
      <c r="O6" s="1489"/>
      <c r="P6" s="1489"/>
      <c r="Q6" s="1489"/>
      <c r="R6" s="1489"/>
      <c r="S6" s="1489"/>
    </row>
    <row r="7" spans="1:22">
      <c r="A7" s="2604" t="str">
        <f>'数据-取费表'!AN7</f>
        <v>收益法-车库</v>
      </c>
      <c r="B7" s="2602">
        <f ca="1">IF(F7="是",'数据-取费表'!AO7,0)</f>
        <v>6239</v>
      </c>
      <c r="C7" s="1872" t="s">
        <v>1650</v>
      </c>
      <c r="D7" s="2709"/>
      <c r="E7" s="2606">
        <f>IF(OR(A7=0,F7="否"),0,'数据-取费表'!K7+'数据-取费表'!S7)</f>
        <v>22970.79</v>
      </c>
      <c r="F7" s="1876" t="s">
        <v>1656</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1650</v>
      </c>
      <c r="D8" s="2709"/>
      <c r="E8" s="2606">
        <f>IF(OR(A8=0,F8="否"),0,'数据-取费表'!K8+'数据-取费表'!S8)</f>
        <v>0</v>
      </c>
      <c r="F8" s="1876" t="s">
        <v>1656</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1650</v>
      </c>
      <c r="D9" s="2709"/>
      <c r="E9" s="2606">
        <f>IF(OR(A9=0,F9="否"),0,'数据-取费表'!K9+'数据-取费表'!S9)</f>
        <v>0</v>
      </c>
      <c r="F9" s="1876" t="s">
        <v>1656</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1650</v>
      </c>
      <c r="D10" s="2709"/>
      <c r="E10" s="2606">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1650</v>
      </c>
      <c r="D11" s="2709"/>
      <c r="E11" s="2606">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1650</v>
      </c>
      <c r="D12" s="2709"/>
      <c r="E12" s="2606">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1650</v>
      </c>
      <c r="D13" s="2710"/>
      <c r="E13" s="2606">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5"/>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51957.049999999996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1665</v>
      </c>
      <c r="B4" s="356"/>
      <c r="C4" s="3733" t="s">
        <v>1666</v>
      </c>
      <c r="D4" s="3734"/>
      <c r="E4" s="3735" t="s">
        <v>1667</v>
      </c>
      <c r="F4" s="3736"/>
      <c r="G4" s="3733" t="s">
        <v>1668</v>
      </c>
      <c r="H4" s="3734"/>
      <c r="I4" s="3733" t="s">
        <v>1669</v>
      </c>
      <c r="J4" s="3734"/>
      <c r="K4" s="1889" t="s">
        <v>1670</v>
      </c>
      <c r="L4" s="2715"/>
      <c r="M4" s="2716"/>
      <c r="N4" s="2716"/>
      <c r="O4" s="2716"/>
      <c r="P4" s="3737" t="s">
        <v>1671</v>
      </c>
      <c r="Q4" s="3738"/>
      <c r="R4" s="3743" t="s">
        <v>1667</v>
      </c>
      <c r="S4" s="3744"/>
      <c r="T4" s="3743" t="s">
        <v>1668</v>
      </c>
      <c r="U4" s="3744"/>
      <c r="V4" s="3749" t="s">
        <v>1669</v>
      </c>
      <c r="W4" s="3749"/>
      <c r="X4" s="1355"/>
      <c r="Y4" s="3743" t="s">
        <v>1671</v>
      </c>
      <c r="Z4" s="3744"/>
      <c r="AA4" s="3730" t="s">
        <v>1667</v>
      </c>
      <c r="AB4" s="3730" t="s">
        <v>1668</v>
      </c>
      <c r="AC4" s="3730" t="s">
        <v>1669</v>
      </c>
    </row>
    <row r="5" spans="1:29" ht="15">
      <c r="A5" s="358"/>
      <c r="B5" s="359"/>
      <c r="C5" s="3752" t="s">
        <v>1672</v>
      </c>
      <c r="D5" s="3753"/>
      <c r="E5" s="3759" t="s">
        <v>1673</v>
      </c>
      <c r="F5" s="3760"/>
      <c r="G5" s="3752" t="s">
        <v>1674</v>
      </c>
      <c r="H5" s="3753"/>
      <c r="I5" s="3752" t="s">
        <v>1675</v>
      </c>
      <c r="J5" s="3753"/>
      <c r="K5" s="1890"/>
      <c r="L5" s="2715"/>
      <c r="M5" s="2716"/>
      <c r="N5" s="2716"/>
      <c r="O5" s="2716"/>
      <c r="P5" s="3739"/>
      <c r="Q5" s="3740"/>
      <c r="R5" s="3745"/>
      <c r="S5" s="3746"/>
      <c r="T5" s="3745"/>
      <c r="U5" s="3746"/>
      <c r="V5" s="3749"/>
      <c r="W5" s="3749"/>
      <c r="X5" s="1355"/>
      <c r="Y5" s="3745"/>
      <c r="Z5" s="3746"/>
      <c r="AA5" s="3731"/>
      <c r="AB5" s="3731"/>
      <c r="AC5" s="3731"/>
    </row>
    <row r="6" spans="1:29" ht="15.75" thickBot="1">
      <c r="A6" s="360"/>
      <c r="B6" s="361"/>
      <c r="C6" s="3750" t="s">
        <v>1676</v>
      </c>
      <c r="D6" s="3751"/>
      <c r="E6" s="3757" t="s">
        <v>1676</v>
      </c>
      <c r="F6" s="3758"/>
      <c r="G6" s="3750" t="s">
        <v>1676</v>
      </c>
      <c r="H6" s="3751"/>
      <c r="I6" s="3750" t="s">
        <v>1676</v>
      </c>
      <c r="J6" s="3751"/>
      <c r="K6" s="1890" t="s">
        <v>1677</v>
      </c>
      <c r="L6" s="2715"/>
      <c r="M6" s="2716"/>
      <c r="N6" s="2716"/>
      <c r="O6" s="2716"/>
      <c r="P6" s="3741"/>
      <c r="Q6" s="3742"/>
      <c r="R6" s="3745"/>
      <c r="S6" s="3746"/>
      <c r="T6" s="3747"/>
      <c r="U6" s="3748"/>
      <c r="V6" s="3749"/>
      <c r="W6" s="3749"/>
      <c r="X6" s="1355"/>
      <c r="Y6" s="3747"/>
      <c r="Z6" s="3748"/>
      <c r="AA6" s="3732"/>
      <c r="AB6" s="3732"/>
      <c r="AC6" s="3732"/>
    </row>
    <row r="7" spans="1:29" s="108" customFormat="1" ht="15.75" thickBot="1">
      <c r="A7" s="362" t="s">
        <v>1678</v>
      </c>
      <c r="B7" s="363"/>
      <c r="C7" s="364">
        <f>'数据-取费表'!B2</f>
        <v>44985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54" t="s">
        <v>1679</v>
      </c>
      <c r="Q7" s="3756"/>
      <c r="R7" s="701" t="s">
        <v>20</v>
      </c>
      <c r="S7" s="702">
        <f t="shared" ref="S7:S15" si="0">F7</f>
        <v>0</v>
      </c>
      <c r="T7" s="701" t="s">
        <v>20</v>
      </c>
      <c r="U7" s="702">
        <f t="shared" ref="U7:U15" si="1">H7</f>
        <v>0</v>
      </c>
      <c r="V7" s="701" t="s">
        <v>20</v>
      </c>
      <c r="W7" s="702">
        <f t="shared" ref="W7:W15" si="2">J7</f>
        <v>0</v>
      </c>
      <c r="X7" s="703"/>
      <c r="Y7" s="3754" t="s">
        <v>1679</v>
      </c>
      <c r="Z7" s="3755"/>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54" t="s">
        <v>1682</v>
      </c>
      <c r="Q8" s="3755"/>
      <c r="R8" s="701" t="s">
        <v>20</v>
      </c>
      <c r="S8" s="702">
        <f t="shared" si="0"/>
        <v>100</v>
      </c>
      <c r="T8" s="701" t="s">
        <v>20</v>
      </c>
      <c r="U8" s="702">
        <f t="shared" si="1"/>
        <v>100</v>
      </c>
      <c r="V8" s="701" t="s">
        <v>20</v>
      </c>
      <c r="W8" s="702">
        <f t="shared" si="2"/>
        <v>100</v>
      </c>
      <c r="X8" s="703"/>
      <c r="Y8" s="3754" t="s">
        <v>1682</v>
      </c>
      <c r="Z8" s="3755"/>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29" t="s">
        <v>1685</v>
      </c>
      <c r="Q9" s="1343" t="str">
        <f t="shared" ref="Q9:Q15" si="6">B9</f>
        <v>用途</v>
      </c>
      <c r="R9" s="701" t="s">
        <v>14</v>
      </c>
      <c r="S9" s="702">
        <f t="shared" si="0"/>
        <v>100</v>
      </c>
      <c r="T9" s="701" t="s">
        <v>14</v>
      </c>
      <c r="U9" s="702">
        <f t="shared" si="1"/>
        <v>100</v>
      </c>
      <c r="V9" s="701" t="s">
        <v>14</v>
      </c>
      <c r="W9" s="702">
        <f t="shared" si="2"/>
        <v>100</v>
      </c>
      <c r="X9" s="703"/>
      <c r="Y9" s="3593"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9"/>
      <c r="M10" s="2720"/>
      <c r="N10" s="2720"/>
      <c r="O10" s="2720"/>
      <c r="P10" s="3729"/>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29"/>
      <c r="Q11" s="1343" t="str">
        <f t="shared" si="6"/>
        <v>容积率</v>
      </c>
      <c r="R11" s="701" t="s">
        <v>18</v>
      </c>
      <c r="S11" s="702" t="e">
        <f t="shared" si="0"/>
        <v>#N/A</v>
      </c>
      <c r="T11" s="701" t="s">
        <v>18</v>
      </c>
      <c r="U11" s="702" t="e">
        <f t="shared" si="1"/>
        <v>#N/A</v>
      </c>
      <c r="V11" s="701" t="s">
        <v>18</v>
      </c>
      <c r="W11" s="702" t="e">
        <f t="shared" si="2"/>
        <v>#N/A</v>
      </c>
      <c r="X11" s="703"/>
      <c r="Y11" s="359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29"/>
      <c r="Q12" s="1343">
        <f t="shared" si="6"/>
        <v>111</v>
      </c>
      <c r="R12" s="701" t="s">
        <v>18</v>
      </c>
      <c r="S12" s="702">
        <f t="shared" si="0"/>
        <v>100</v>
      </c>
      <c r="T12" s="701" t="s">
        <v>18</v>
      </c>
      <c r="U12" s="702">
        <f t="shared" si="1"/>
        <v>100</v>
      </c>
      <c r="V12" s="701" t="s">
        <v>18</v>
      </c>
      <c r="W12" s="702">
        <f t="shared" si="2"/>
        <v>100</v>
      </c>
      <c r="X12" s="703"/>
      <c r="Y12" s="359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9"/>
      <c r="Q13" s="1343">
        <f t="shared" si="6"/>
        <v>111</v>
      </c>
      <c r="R13" s="701" t="s">
        <v>18</v>
      </c>
      <c r="S13" s="702">
        <f t="shared" si="0"/>
        <v>100</v>
      </c>
      <c r="T13" s="701" t="s">
        <v>18</v>
      </c>
      <c r="U13" s="702">
        <f t="shared" si="1"/>
        <v>100</v>
      </c>
      <c r="V13" s="701" t="s">
        <v>18</v>
      </c>
      <c r="W13" s="702">
        <f t="shared" si="2"/>
        <v>100</v>
      </c>
      <c r="X13" s="703"/>
      <c r="Y13" s="359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9"/>
      <c r="Q14" s="1343">
        <f t="shared" si="6"/>
        <v>111</v>
      </c>
      <c r="R14" s="701" t="s">
        <v>18</v>
      </c>
      <c r="S14" s="702">
        <f t="shared" si="0"/>
        <v>100</v>
      </c>
      <c r="T14" s="701" t="s">
        <v>18</v>
      </c>
      <c r="U14" s="702">
        <f t="shared" si="1"/>
        <v>100</v>
      </c>
      <c r="V14" s="701" t="s">
        <v>18</v>
      </c>
      <c r="W14" s="702">
        <f t="shared" si="2"/>
        <v>100</v>
      </c>
      <c r="X14" s="703"/>
      <c r="Y14" s="3593"/>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7" t="s">
        <v>1690</v>
      </c>
      <c r="Q15" s="1352" t="str">
        <f t="shared" si="6"/>
        <v>居住社区成熟度</v>
      </c>
      <c r="R15" s="705" t="s">
        <v>18</v>
      </c>
      <c r="S15" s="706">
        <f t="shared" si="0"/>
        <v>100</v>
      </c>
      <c r="T15" s="705" t="s">
        <v>18</v>
      </c>
      <c r="U15" s="706">
        <f t="shared" si="1"/>
        <v>100</v>
      </c>
      <c r="V15" s="705" t="s">
        <v>18</v>
      </c>
      <c r="W15" s="706">
        <f t="shared" si="2"/>
        <v>100</v>
      </c>
      <c r="X15" s="1355"/>
      <c r="Y15" s="3720"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8"/>
      <c r="Q16" s="1352"/>
      <c r="R16" s="705"/>
      <c r="S16" s="706"/>
      <c r="T16" s="705"/>
      <c r="U16" s="706"/>
      <c r="V16" s="705"/>
      <c r="W16" s="706"/>
      <c r="X16" s="1355"/>
      <c r="Y16" s="3721"/>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8"/>
      <c r="Q17" s="1352" t="str">
        <f>B17</f>
        <v>交通便捷度</v>
      </c>
      <c r="R17" s="705" t="s">
        <v>18</v>
      </c>
      <c r="S17" s="706">
        <f>F17</f>
        <v>100</v>
      </c>
      <c r="T17" s="705" t="s">
        <v>18</v>
      </c>
      <c r="U17" s="706">
        <f>H17</f>
        <v>100</v>
      </c>
      <c r="V17" s="705" t="s">
        <v>18</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8"/>
      <c r="Q18" s="1352"/>
      <c r="R18" s="705"/>
      <c r="S18" s="706"/>
      <c r="T18" s="705"/>
      <c r="U18" s="706"/>
      <c r="V18" s="705"/>
      <c r="W18" s="706"/>
      <c r="X18" s="1355"/>
      <c r="Y18" s="3721"/>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8"/>
      <c r="Q19" s="1352" t="str">
        <f>B19</f>
        <v>公共配套设施</v>
      </c>
      <c r="R19" s="705" t="s">
        <v>18</v>
      </c>
      <c r="S19" s="706">
        <f>F19</f>
        <v>100</v>
      </c>
      <c r="T19" s="705" t="s">
        <v>18</v>
      </c>
      <c r="U19" s="706">
        <f>H19</f>
        <v>100</v>
      </c>
      <c r="V19" s="705" t="s">
        <v>18</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8"/>
      <c r="Q20" s="1352"/>
      <c r="R20" s="705"/>
      <c r="S20" s="706"/>
      <c r="T20" s="705"/>
      <c r="U20" s="706"/>
      <c r="V20" s="705"/>
      <c r="W20" s="706"/>
      <c r="X20" s="1355"/>
      <c r="Y20" s="3721"/>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8"/>
      <c r="Q22" s="1352"/>
      <c r="R22" s="705"/>
      <c r="S22" s="706"/>
      <c r="T22" s="705"/>
      <c r="U22" s="706"/>
      <c r="V22" s="705"/>
      <c r="W22" s="706"/>
      <c r="X22" s="1355"/>
      <c r="Y22" s="3721"/>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8"/>
      <c r="Q23" s="1352" t="str">
        <f>B23</f>
        <v>自然及人文环境</v>
      </c>
      <c r="R23" s="705" t="s">
        <v>18</v>
      </c>
      <c r="S23" s="706">
        <f>F23</f>
        <v>100</v>
      </c>
      <c r="T23" s="705" t="s">
        <v>18</v>
      </c>
      <c r="U23" s="706">
        <f>H23</f>
        <v>100</v>
      </c>
      <c r="V23" s="705" t="s">
        <v>18</v>
      </c>
      <c r="W23" s="706">
        <f>J23</f>
        <v>100</v>
      </c>
      <c r="X23" s="1355"/>
      <c r="Y23" s="372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8"/>
      <c r="Q24" s="1352"/>
      <c r="R24" s="705"/>
      <c r="S24" s="706"/>
      <c r="T24" s="705"/>
      <c r="U24" s="706"/>
      <c r="V24" s="705"/>
      <c r="W24" s="706"/>
      <c r="X24" s="1355"/>
      <c r="Y24" s="3721"/>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1"/>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8"/>
      <c r="Q26" s="1352" t="str">
        <f t="shared" si="11"/>
        <v>朝向</v>
      </c>
      <c r="R26" s="705" t="s">
        <v>18</v>
      </c>
      <c r="S26" s="706">
        <f t="shared" si="12"/>
        <v>100</v>
      </c>
      <c r="T26" s="705" t="s">
        <v>18</v>
      </c>
      <c r="U26" s="706">
        <f t="shared" si="13"/>
        <v>100</v>
      </c>
      <c r="V26" s="705" t="s">
        <v>18</v>
      </c>
      <c r="W26" s="706">
        <f t="shared" si="14"/>
        <v>100</v>
      </c>
      <c r="X26" s="1355"/>
      <c r="Y26" s="372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8"/>
      <c r="Q27" s="1343">
        <f t="shared" si="11"/>
        <v>111</v>
      </c>
      <c r="R27" s="701" t="s">
        <v>18</v>
      </c>
      <c r="S27" s="702">
        <f t="shared" si="12"/>
        <v>100</v>
      </c>
      <c r="T27" s="701" t="s">
        <v>18</v>
      </c>
      <c r="U27" s="702">
        <f t="shared" si="13"/>
        <v>100</v>
      </c>
      <c r="V27" s="701" t="s">
        <v>18</v>
      </c>
      <c r="W27" s="702">
        <f t="shared" si="14"/>
        <v>100</v>
      </c>
      <c r="X27" s="703"/>
      <c r="Y27" s="372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8"/>
      <c r="Q28" s="1352">
        <f t="shared" si="11"/>
        <v>111</v>
      </c>
      <c r="R28" s="705" t="s">
        <v>18</v>
      </c>
      <c r="S28" s="706">
        <f t="shared" si="12"/>
        <v>100</v>
      </c>
      <c r="T28" s="705" t="s">
        <v>18</v>
      </c>
      <c r="U28" s="706">
        <f t="shared" si="13"/>
        <v>100</v>
      </c>
      <c r="V28" s="705" t="s">
        <v>18</v>
      </c>
      <c r="W28" s="706">
        <f t="shared" si="14"/>
        <v>100</v>
      </c>
      <c r="X28" s="1355"/>
      <c r="Y28" s="372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8"/>
      <c r="Q29" s="1352">
        <f t="shared" si="11"/>
        <v>111</v>
      </c>
      <c r="R29" s="705" t="s">
        <v>18</v>
      </c>
      <c r="S29" s="706">
        <f t="shared" si="12"/>
        <v>100</v>
      </c>
      <c r="T29" s="705" t="s">
        <v>18</v>
      </c>
      <c r="U29" s="706">
        <f t="shared" si="13"/>
        <v>100</v>
      </c>
      <c r="V29" s="705" t="s">
        <v>18</v>
      </c>
      <c r="W29" s="706">
        <f t="shared" si="14"/>
        <v>100</v>
      </c>
      <c r="X29" s="1355"/>
      <c r="Y29" s="372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8"/>
      <c r="Q30" s="1352">
        <f t="shared" si="11"/>
        <v>111</v>
      </c>
      <c r="R30" s="705" t="s">
        <v>18</v>
      </c>
      <c r="S30" s="706">
        <f t="shared" si="12"/>
        <v>100</v>
      </c>
      <c r="T30" s="705" t="s">
        <v>18</v>
      </c>
      <c r="U30" s="706">
        <f t="shared" si="13"/>
        <v>100</v>
      </c>
      <c r="V30" s="705" t="s">
        <v>18</v>
      </c>
      <c r="W30" s="706">
        <f t="shared" si="14"/>
        <v>100</v>
      </c>
      <c r="X30" s="1355"/>
      <c r="Y30" s="372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8"/>
      <c r="Q31" s="1352">
        <f t="shared" si="11"/>
        <v>111</v>
      </c>
      <c r="R31" s="705" t="s">
        <v>18</v>
      </c>
      <c r="S31" s="706">
        <f t="shared" si="12"/>
        <v>100</v>
      </c>
      <c r="T31" s="705" t="s">
        <v>18</v>
      </c>
      <c r="U31" s="706">
        <f t="shared" si="13"/>
        <v>100</v>
      </c>
      <c r="V31" s="705" t="s">
        <v>18</v>
      </c>
      <c r="W31" s="706">
        <f t="shared" si="14"/>
        <v>100</v>
      </c>
      <c r="X31" s="1355"/>
      <c r="Y31" s="3721"/>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2" t="s">
        <v>1695</v>
      </c>
      <c r="Q32" s="1352" t="str">
        <f t="shared" si="11"/>
        <v>建筑类型</v>
      </c>
      <c r="R32" s="705" t="s">
        <v>18</v>
      </c>
      <c r="S32" s="706">
        <f t="shared" si="12"/>
        <v>100</v>
      </c>
      <c r="T32" s="705" t="s">
        <v>18</v>
      </c>
      <c r="U32" s="706">
        <f t="shared" si="13"/>
        <v>100</v>
      </c>
      <c r="V32" s="705" t="s">
        <v>18</v>
      </c>
      <c r="W32" s="706">
        <f t="shared" si="14"/>
        <v>100</v>
      </c>
      <c r="X32" s="1355"/>
      <c r="Y32" s="3725"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3"/>
      <c r="Q33" s="707" t="str">
        <f t="shared" si="11"/>
        <v>项目建筑规模</v>
      </c>
      <c r="R33" s="708" t="s">
        <v>18</v>
      </c>
      <c r="S33" s="709" t="e">
        <f t="shared" si="12"/>
        <v>#N/A</v>
      </c>
      <c r="T33" s="708" t="s">
        <v>18</v>
      </c>
      <c r="U33" s="709" t="e">
        <f t="shared" si="13"/>
        <v>#N/A</v>
      </c>
      <c r="V33" s="708" t="s">
        <v>18</v>
      </c>
      <c r="W33" s="709" t="e">
        <f t="shared" si="14"/>
        <v>#N/A</v>
      </c>
      <c r="X33" s="710"/>
      <c r="Y33" s="3725"/>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3"/>
      <c r="Q34" s="1352" t="str">
        <f t="shared" si="11"/>
        <v>建筑结构</v>
      </c>
      <c r="R34" s="705" t="s">
        <v>18</v>
      </c>
      <c r="S34" s="706">
        <f t="shared" si="12"/>
        <v>100</v>
      </c>
      <c r="T34" s="705" t="s">
        <v>18</v>
      </c>
      <c r="U34" s="706">
        <f t="shared" si="13"/>
        <v>100</v>
      </c>
      <c r="V34" s="705" t="s">
        <v>18</v>
      </c>
      <c r="W34" s="706">
        <f t="shared" si="14"/>
        <v>100</v>
      </c>
      <c r="X34" s="1355"/>
      <c r="Y34" s="3725"/>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3"/>
      <c r="Q35" s="1352" t="str">
        <f t="shared" si="11"/>
        <v>建筑品质</v>
      </c>
      <c r="R35" s="705" t="s">
        <v>18</v>
      </c>
      <c r="S35" s="706">
        <f t="shared" si="12"/>
        <v>100</v>
      </c>
      <c r="T35" s="705" t="s">
        <v>18</v>
      </c>
      <c r="U35" s="706">
        <f t="shared" si="13"/>
        <v>100</v>
      </c>
      <c r="V35" s="705" t="s">
        <v>18</v>
      </c>
      <c r="W35" s="706">
        <f t="shared" si="14"/>
        <v>100</v>
      </c>
      <c r="X35" s="1355"/>
      <c r="Y35" s="3725"/>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3"/>
      <c r="Q36" s="1352" t="str">
        <f t="shared" si="11"/>
        <v>公共部分装修</v>
      </c>
      <c r="R36" s="705" t="s">
        <v>18</v>
      </c>
      <c r="S36" s="706">
        <f t="shared" si="12"/>
        <v>100</v>
      </c>
      <c r="T36" s="705" t="s">
        <v>18</v>
      </c>
      <c r="U36" s="706">
        <f t="shared" si="13"/>
        <v>100</v>
      </c>
      <c r="V36" s="705" t="s">
        <v>18</v>
      </c>
      <c r="W36" s="706">
        <f t="shared" si="14"/>
        <v>100</v>
      </c>
      <c r="X36" s="1355"/>
      <c r="Y36" s="3725"/>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3"/>
      <c r="Q37" s="1343" t="str">
        <f t="shared" si="11"/>
        <v>成新度</v>
      </c>
      <c r="R37" s="701" t="s">
        <v>18</v>
      </c>
      <c r="S37" s="702" t="e">
        <f t="shared" si="12"/>
        <v>#N/A</v>
      </c>
      <c r="T37" s="701" t="s">
        <v>18</v>
      </c>
      <c r="U37" s="702" t="e">
        <f t="shared" si="13"/>
        <v>#N/A</v>
      </c>
      <c r="V37" s="701" t="s">
        <v>18</v>
      </c>
      <c r="W37" s="702" t="e">
        <f t="shared" si="14"/>
        <v>#N/A</v>
      </c>
      <c r="X37" s="703"/>
      <c r="Y37" s="3725"/>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3" t="s">
        <v>1695</v>
      </c>
      <c r="Q38" s="1352" t="str">
        <f t="shared" si="11"/>
        <v>物业管理</v>
      </c>
      <c r="R38" s="705" t="s">
        <v>18</v>
      </c>
      <c r="S38" s="706">
        <f t="shared" si="12"/>
        <v>100</v>
      </c>
      <c r="T38" s="705" t="s">
        <v>18</v>
      </c>
      <c r="U38" s="706">
        <f t="shared" si="13"/>
        <v>100</v>
      </c>
      <c r="V38" s="705" t="s">
        <v>18</v>
      </c>
      <c r="W38" s="706">
        <f t="shared" si="14"/>
        <v>100</v>
      </c>
      <c r="X38" s="1355"/>
      <c r="Y38" s="3725"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3"/>
      <c r="Q39" s="1352" t="str">
        <f t="shared" si="11"/>
        <v>市政基础设施</v>
      </c>
      <c r="R39" s="705" t="s">
        <v>18</v>
      </c>
      <c r="S39" s="706">
        <f t="shared" si="12"/>
        <v>100</v>
      </c>
      <c r="T39" s="705" t="s">
        <v>18</v>
      </c>
      <c r="U39" s="706">
        <f t="shared" si="13"/>
        <v>100</v>
      </c>
      <c r="V39" s="705" t="s">
        <v>18</v>
      </c>
      <c r="W39" s="706">
        <f t="shared" si="14"/>
        <v>100</v>
      </c>
      <c r="X39" s="1355"/>
      <c r="Y39" s="3725"/>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3"/>
      <c r="Q40" s="1352" t="str">
        <f t="shared" si="11"/>
        <v>房型</v>
      </c>
      <c r="R40" s="705" t="s">
        <v>18</v>
      </c>
      <c r="S40" s="706">
        <f t="shared" si="12"/>
        <v>100</v>
      </c>
      <c r="T40" s="705" t="s">
        <v>18</v>
      </c>
      <c r="U40" s="706">
        <f t="shared" si="13"/>
        <v>100</v>
      </c>
      <c r="V40" s="705" t="s">
        <v>18</v>
      </c>
      <c r="W40" s="706">
        <f t="shared" si="14"/>
        <v>100</v>
      </c>
      <c r="X40" s="1355"/>
      <c r="Y40" s="3725"/>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3"/>
      <c r="Q41" s="707" t="str">
        <f t="shared" si="11"/>
        <v>单套/主力户型建筑面积</v>
      </c>
      <c r="R41" s="708" t="s">
        <v>18</v>
      </c>
      <c r="S41" s="709">
        <f t="shared" si="12"/>
        <v>100</v>
      </c>
      <c r="T41" s="708" t="s">
        <v>18</v>
      </c>
      <c r="U41" s="709">
        <f t="shared" si="13"/>
        <v>100</v>
      </c>
      <c r="V41" s="708" t="s">
        <v>18</v>
      </c>
      <c r="W41" s="709">
        <f t="shared" si="14"/>
        <v>100</v>
      </c>
      <c r="X41" s="710"/>
      <c r="Y41" s="3725"/>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3"/>
      <c r="Q42" s="1352" t="str">
        <f t="shared" si="11"/>
        <v>内部装修</v>
      </c>
      <c r="R42" s="705" t="s">
        <v>18</v>
      </c>
      <c r="S42" s="706">
        <f t="shared" si="12"/>
        <v>100</v>
      </c>
      <c r="T42" s="705" t="s">
        <v>18</v>
      </c>
      <c r="U42" s="706">
        <f t="shared" si="13"/>
        <v>100</v>
      </c>
      <c r="V42" s="705" t="s">
        <v>18</v>
      </c>
      <c r="W42" s="706">
        <f t="shared" si="14"/>
        <v>100</v>
      </c>
      <c r="X42" s="1355"/>
      <c r="Y42" s="3725"/>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3"/>
      <c r="Q43" s="1352" t="str">
        <f t="shared" si="11"/>
        <v>内部装修维护情况</v>
      </c>
      <c r="R43" s="705" t="s">
        <v>18</v>
      </c>
      <c r="S43" s="706">
        <f t="shared" si="12"/>
        <v>100</v>
      </c>
      <c r="T43" s="705" t="s">
        <v>18</v>
      </c>
      <c r="U43" s="706">
        <f t="shared" si="13"/>
        <v>100</v>
      </c>
      <c r="V43" s="705" t="s">
        <v>18</v>
      </c>
      <c r="W43" s="706">
        <f t="shared" si="14"/>
        <v>100</v>
      </c>
      <c r="X43" s="1355"/>
      <c r="Y43" s="372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3"/>
      <c r="Q44" s="1343">
        <f t="shared" si="11"/>
        <v>111</v>
      </c>
      <c r="R44" s="701" t="s">
        <v>18</v>
      </c>
      <c r="S44" s="702">
        <f t="shared" si="12"/>
        <v>100</v>
      </c>
      <c r="T44" s="701" t="s">
        <v>18</v>
      </c>
      <c r="U44" s="702">
        <f t="shared" si="13"/>
        <v>100</v>
      </c>
      <c r="V44" s="701" t="s">
        <v>18</v>
      </c>
      <c r="W44" s="702">
        <f t="shared" si="14"/>
        <v>100</v>
      </c>
      <c r="X44" s="703"/>
      <c r="Y44" s="372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3"/>
      <c r="Q45" s="1352">
        <f t="shared" si="11"/>
        <v>111</v>
      </c>
      <c r="R45" s="705" t="s">
        <v>18</v>
      </c>
      <c r="S45" s="706">
        <f t="shared" si="12"/>
        <v>100</v>
      </c>
      <c r="T45" s="705" t="s">
        <v>18</v>
      </c>
      <c r="U45" s="706">
        <f t="shared" si="13"/>
        <v>100</v>
      </c>
      <c r="V45" s="705" t="s">
        <v>18</v>
      </c>
      <c r="W45" s="706">
        <f t="shared" si="14"/>
        <v>100</v>
      </c>
      <c r="X45" s="1355"/>
      <c r="Y45" s="372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4"/>
      <c r="Q46" s="1352">
        <f t="shared" si="11"/>
        <v>111</v>
      </c>
      <c r="R46" s="705" t="s">
        <v>17</v>
      </c>
      <c r="S46" s="706">
        <f t="shared" si="12"/>
        <v>100</v>
      </c>
      <c r="T46" s="705" t="s">
        <v>17</v>
      </c>
      <c r="U46" s="706">
        <f t="shared" si="13"/>
        <v>100</v>
      </c>
      <c r="V46" s="705" t="s">
        <v>17</v>
      </c>
      <c r="W46" s="706">
        <f t="shared" si="14"/>
        <v>100</v>
      </c>
      <c r="X46" s="1355"/>
      <c r="Y46" s="3726"/>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4"/>
      <c r="M47" s="2725"/>
      <c r="N47" s="2716"/>
      <c r="O47" s="2725"/>
      <c r="P47" s="3718" t="str">
        <f>A47</f>
        <v>成交单价（元/平方米）</v>
      </c>
      <c r="Q47" s="3718"/>
      <c r="R47" s="3719">
        <f>E47</f>
        <v>0</v>
      </c>
      <c r="S47" s="3719"/>
      <c r="T47" s="3719">
        <f>G47</f>
        <v>0</v>
      </c>
      <c r="U47" s="3719"/>
      <c r="V47" s="3719">
        <f>I47</f>
        <v>0</v>
      </c>
      <c r="W47" s="3719"/>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4"/>
      <c r="M49" s="2725"/>
      <c r="N49" s="2725"/>
      <c r="O49" s="2725"/>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D131"/>
  <sheetViews>
    <sheetView view="pageBreakPreview" zoomScale="60" zoomScaleNormal="70" workbookViewId="0">
      <selection activeCell="C2" sqref="C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673</v>
      </c>
      <c r="E1" s="3425" t="s">
        <v>3599</v>
      </c>
      <c r="F1" s="1879" t="s">
        <v>3600</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78537</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34255</v>
      </c>
      <c r="C3" s="354" t="s">
        <v>1767</v>
      </c>
      <c r="D3" s="353">
        <f>IF(D1="",'数据-汇总表'!E3,SUMIF('数据-汇总表'!$C19:$C33,D1,'数据-汇总表'!$E19:$E33))</f>
        <v>22927.149999999998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1768</v>
      </c>
      <c r="B4" s="356"/>
      <c r="C4" s="3733" t="s">
        <v>1769</v>
      </c>
      <c r="D4" s="3734"/>
      <c r="E4" s="3735" t="s">
        <v>1770</v>
      </c>
      <c r="F4" s="3736"/>
      <c r="G4" s="3733" t="s">
        <v>1771</v>
      </c>
      <c r="H4" s="3734"/>
      <c r="I4" s="3733" t="s">
        <v>1772</v>
      </c>
      <c r="J4" s="3734"/>
      <c r="K4" s="559" t="s">
        <v>1773</v>
      </c>
      <c r="L4" s="2715"/>
      <c r="M4" s="2716"/>
      <c r="N4" s="2716"/>
      <c r="O4" s="2716"/>
      <c r="P4" s="3737" t="s">
        <v>1774</v>
      </c>
      <c r="Q4" s="3738"/>
      <c r="R4" s="3743" t="s">
        <v>1770</v>
      </c>
      <c r="S4" s="3744"/>
      <c r="T4" s="3743" t="s">
        <v>1771</v>
      </c>
      <c r="U4" s="3744"/>
      <c r="V4" s="3749" t="s">
        <v>1772</v>
      </c>
      <c r="W4" s="3749"/>
      <c r="X4" s="1355"/>
      <c r="Y4" s="3743" t="s">
        <v>1774</v>
      </c>
      <c r="Z4" s="3744"/>
      <c r="AA4" s="3730" t="s">
        <v>1770</v>
      </c>
      <c r="AB4" s="3749" t="s">
        <v>1771</v>
      </c>
      <c r="AC4" s="3730" t="s">
        <v>1772</v>
      </c>
    </row>
    <row r="5" spans="1:29" ht="15">
      <c r="A5" s="358"/>
      <c r="B5" s="359"/>
      <c r="C5" s="3752" t="s">
        <v>1672</v>
      </c>
      <c r="D5" s="3753"/>
      <c r="E5" s="3759" t="str">
        <f>大宗案例!E2</f>
        <v>丰科中心</v>
      </c>
      <c r="F5" s="3760"/>
      <c r="G5" s="3752" t="str">
        <f>大宗案例!E26</f>
        <v>京投万科西华府</v>
      </c>
      <c r="H5" s="3753"/>
      <c r="I5" s="3752" t="str">
        <f>大宗案例!E32</f>
        <v>远洋锐中心</v>
      </c>
      <c r="J5" s="3753"/>
      <c r="K5" s="559"/>
      <c r="L5" s="2715"/>
      <c r="M5" s="2716"/>
      <c r="N5" s="2716"/>
      <c r="O5" s="2716"/>
      <c r="P5" s="3739"/>
      <c r="Q5" s="3740"/>
      <c r="R5" s="3745"/>
      <c r="S5" s="3746"/>
      <c r="T5" s="3745"/>
      <c r="U5" s="3746"/>
      <c r="V5" s="3749"/>
      <c r="W5" s="3749"/>
      <c r="X5" s="1355"/>
      <c r="Y5" s="3745"/>
      <c r="Z5" s="3746"/>
      <c r="AA5" s="3731"/>
      <c r="AB5" s="3749"/>
      <c r="AC5" s="3731"/>
    </row>
    <row r="6" spans="1:29" ht="15.75" thickBot="1">
      <c r="A6" s="360"/>
      <c r="B6" s="361"/>
      <c r="C6" s="3750" t="s">
        <v>1676</v>
      </c>
      <c r="D6" s="3751"/>
      <c r="E6" s="3757" t="s">
        <v>1676</v>
      </c>
      <c r="F6" s="3758"/>
      <c r="G6" s="3750" t="s">
        <v>1676</v>
      </c>
      <c r="H6" s="3751"/>
      <c r="I6" s="3750" t="s">
        <v>1676</v>
      </c>
      <c r="J6" s="3751"/>
      <c r="K6" s="559" t="s">
        <v>1677</v>
      </c>
      <c r="L6" s="2715"/>
      <c r="M6" s="2716"/>
      <c r="N6" s="2716"/>
      <c r="O6" s="2716"/>
      <c r="P6" s="3741"/>
      <c r="Q6" s="3742"/>
      <c r="R6" s="3745"/>
      <c r="S6" s="3746"/>
      <c r="T6" s="3747"/>
      <c r="U6" s="3748"/>
      <c r="V6" s="3749"/>
      <c r="W6" s="3749"/>
      <c r="X6" s="1355"/>
      <c r="Y6" s="3747"/>
      <c r="Z6" s="3748"/>
      <c r="AA6" s="3732"/>
      <c r="AB6" s="3749"/>
      <c r="AC6" s="3732"/>
    </row>
    <row r="7" spans="1:29" s="108" customFormat="1" ht="15.75" thickBot="1">
      <c r="A7" s="362" t="s">
        <v>1678</v>
      </c>
      <c r="B7" s="363"/>
      <c r="C7" s="364">
        <f>'数据-取费表'!B2</f>
        <v>44985</v>
      </c>
      <c r="D7" s="365">
        <v>100</v>
      </c>
      <c r="E7" s="366" t="str">
        <f>大宗案例!C2</f>
        <v>2021年1月</v>
      </c>
      <c r="F7" s="367">
        <f>SUMIF(58:58,YEAR(E7)&amp;"-"&amp;MONTH(E7),59:59)</f>
        <v>96</v>
      </c>
      <c r="G7" s="366" t="str">
        <f>大宗案例!C26</f>
        <v>2021年8月</v>
      </c>
      <c r="H7" s="365">
        <f>SUMIF(58:58,YEAR(G7)&amp;"-"&amp;MONTH(G7),59:59)</f>
        <v>97</v>
      </c>
      <c r="I7" s="366">
        <f>大宗案例!C32</f>
        <v>44713</v>
      </c>
      <c r="J7" s="365">
        <f>SUMIF(58:58,YEAR(I7)&amp;"-"&amp;MONTH(I7),59:59)</f>
        <v>99</v>
      </c>
      <c r="K7" s="560"/>
      <c r="L7" s="2717"/>
      <c r="M7" s="2718"/>
      <c r="N7" s="2718"/>
      <c r="O7" s="2718"/>
      <c r="P7" s="3754" t="s">
        <v>1679</v>
      </c>
      <c r="Q7" s="3756"/>
      <c r="R7" s="701" t="s">
        <v>14</v>
      </c>
      <c r="S7" s="702">
        <f t="shared" ref="S7:S15" si="0">F7</f>
        <v>96</v>
      </c>
      <c r="T7" s="701" t="s">
        <v>14</v>
      </c>
      <c r="U7" s="702">
        <f t="shared" ref="U7:U15" si="1">H7</f>
        <v>97</v>
      </c>
      <c r="V7" s="701" t="s">
        <v>14</v>
      </c>
      <c r="W7" s="702">
        <f t="shared" ref="W7:W15" si="2">J7</f>
        <v>99</v>
      </c>
      <c r="X7" s="703"/>
      <c r="Y7" s="3754" t="s">
        <v>1679</v>
      </c>
      <c r="Z7" s="3755"/>
      <c r="AA7" s="704">
        <f>D7/F7</f>
        <v>1.0416666666666667</v>
      </c>
      <c r="AB7" s="704">
        <f>D7/H7</f>
        <v>1.0309278350515463</v>
      </c>
      <c r="AC7" s="704">
        <f>D7/J7</f>
        <v>1.0101010101010102</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54" t="s">
        <v>1682</v>
      </c>
      <c r="Q8" s="3755"/>
      <c r="R8" s="701" t="s">
        <v>14</v>
      </c>
      <c r="S8" s="702">
        <f t="shared" si="0"/>
        <v>100</v>
      </c>
      <c r="T8" s="701" t="s">
        <v>14</v>
      </c>
      <c r="U8" s="702">
        <f t="shared" si="1"/>
        <v>100</v>
      </c>
      <c r="V8" s="701" t="s">
        <v>14</v>
      </c>
      <c r="W8" s="702">
        <f t="shared" si="2"/>
        <v>100</v>
      </c>
      <c r="X8" s="703"/>
      <c r="Y8" s="3754" t="s">
        <v>1682</v>
      </c>
      <c r="Z8" s="3755"/>
      <c r="AA8" s="704">
        <f t="shared" ref="AA8:AA46" si="3">D8/F8</f>
        <v>1</v>
      </c>
      <c r="AB8" s="704">
        <f t="shared" ref="AB8:AB46" si="4">D8/H8</f>
        <v>1</v>
      </c>
      <c r="AC8" s="704">
        <f t="shared" ref="AC8:AC46" si="5">D8/J8</f>
        <v>1</v>
      </c>
    </row>
    <row r="9" spans="1:29" s="108" customFormat="1" ht="15">
      <c r="A9" s="369" t="s">
        <v>1683</v>
      </c>
      <c r="B9" s="63" t="s">
        <v>1684</v>
      </c>
      <c r="C9" s="3499" t="s">
        <v>3595</v>
      </c>
      <c r="D9" s="126">
        <v>100</v>
      </c>
      <c r="E9" s="371" t="s">
        <v>21</v>
      </c>
      <c r="F9" s="372">
        <f>SUMIF(63:63,E9,64:64)-SUMIF(63:63,C9,64:64)+100</f>
        <v>98</v>
      </c>
      <c r="G9" s="371" t="s">
        <v>21</v>
      </c>
      <c r="H9" s="126">
        <f>SUMIF(63:63,G9,64:64)-SUMIF(63:63,C9,64:64)+100</f>
        <v>98</v>
      </c>
      <c r="I9" s="371" t="s">
        <v>21</v>
      </c>
      <c r="J9" s="126">
        <f>SUMIF(63:63,I9,64:64)-SUMIF(63:63,C9,64:64)+100</f>
        <v>98</v>
      </c>
      <c r="K9" s="560"/>
      <c r="L9" s="2717"/>
      <c r="M9" s="2718"/>
      <c r="N9" s="2718"/>
      <c r="O9" s="2718"/>
      <c r="P9" s="3729" t="s">
        <v>1685</v>
      </c>
      <c r="Q9" s="1343" t="str">
        <f t="shared" ref="Q9:Q15" si="6">B9</f>
        <v>用途</v>
      </c>
      <c r="R9" s="701" t="s">
        <v>14</v>
      </c>
      <c r="S9" s="702">
        <f t="shared" si="0"/>
        <v>98</v>
      </c>
      <c r="T9" s="701" t="s">
        <v>14</v>
      </c>
      <c r="U9" s="702">
        <f t="shared" si="1"/>
        <v>98</v>
      </c>
      <c r="V9" s="701" t="s">
        <v>14</v>
      </c>
      <c r="W9" s="702">
        <f t="shared" si="2"/>
        <v>98</v>
      </c>
      <c r="X9" s="703"/>
      <c r="Y9" s="3593" t="s">
        <v>1686</v>
      </c>
      <c r="Z9" s="52" t="str">
        <f t="shared" ref="Z9:Z15" si="7">Q9</f>
        <v>用途</v>
      </c>
      <c r="AA9" s="704">
        <f t="shared" si="3"/>
        <v>1.0204081632653061</v>
      </c>
      <c r="AB9" s="704">
        <f t="shared" si="4"/>
        <v>1.0204081632653061</v>
      </c>
      <c r="AC9" s="704">
        <f t="shared" si="5"/>
        <v>1.0204081632653061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560"/>
      <c r="L10" s="2719"/>
      <c r="M10" s="2720"/>
      <c r="N10" s="2720"/>
      <c r="O10" s="2720"/>
      <c r="P10" s="3729"/>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729"/>
      <c r="Q11" s="1343" t="str">
        <f t="shared" si="6"/>
        <v>容积率</v>
      </c>
      <c r="R11" s="701" t="s">
        <v>14</v>
      </c>
      <c r="S11" s="702">
        <f t="shared" si="0"/>
        <v>100</v>
      </c>
      <c r="T11" s="701" t="s">
        <v>14</v>
      </c>
      <c r="U11" s="702">
        <f t="shared" si="1"/>
        <v>100</v>
      </c>
      <c r="V11" s="701" t="s">
        <v>14</v>
      </c>
      <c r="W11" s="702">
        <f t="shared" si="2"/>
        <v>100</v>
      </c>
      <c r="X11" s="703"/>
      <c r="Y11" s="3593"/>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9"/>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9"/>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9"/>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7" t="s">
        <v>1690</v>
      </c>
      <c r="Q15" s="1352" t="str">
        <f t="shared" si="6"/>
        <v>商业繁华度</v>
      </c>
      <c r="R15" s="705" t="s">
        <v>14</v>
      </c>
      <c r="S15" s="706">
        <f t="shared" si="0"/>
        <v>100</v>
      </c>
      <c r="T15" s="705" t="s">
        <v>14</v>
      </c>
      <c r="U15" s="706">
        <f t="shared" si="1"/>
        <v>100</v>
      </c>
      <c r="V15" s="705" t="s">
        <v>14</v>
      </c>
      <c r="W15" s="706">
        <f t="shared" si="2"/>
        <v>100</v>
      </c>
      <c r="X15" s="1355"/>
      <c r="Y15" s="3720"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8"/>
      <c r="Q16" s="1352"/>
      <c r="R16" s="705"/>
      <c r="S16" s="706"/>
      <c r="T16" s="705"/>
      <c r="U16" s="706"/>
      <c r="V16" s="705"/>
      <c r="W16" s="706"/>
      <c r="X16" s="1355"/>
      <c r="Y16" s="3721"/>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8"/>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8"/>
      <c r="Q18" s="1352"/>
      <c r="R18" s="705"/>
      <c r="S18" s="706"/>
      <c r="T18" s="705"/>
      <c r="U18" s="706"/>
      <c r="V18" s="705"/>
      <c r="W18" s="706"/>
      <c r="X18" s="1355"/>
      <c r="Y18" s="3721"/>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8"/>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8"/>
      <c r="Q20" s="1352"/>
      <c r="R20" s="705"/>
      <c r="S20" s="706"/>
      <c r="T20" s="705"/>
      <c r="U20" s="706"/>
      <c r="V20" s="705"/>
      <c r="W20" s="706"/>
      <c r="X20" s="1355"/>
      <c r="Y20" s="3721"/>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8"/>
      <c r="Q22" s="1352"/>
      <c r="R22" s="705"/>
      <c r="S22" s="706"/>
      <c r="T22" s="705"/>
      <c r="U22" s="706"/>
      <c r="V22" s="705"/>
      <c r="W22" s="706"/>
      <c r="X22" s="1355"/>
      <c r="Y22" s="3721"/>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8"/>
      <c r="Q23" s="1352" t="str">
        <f>B23</f>
        <v>自然及人文环境</v>
      </c>
      <c r="R23" s="705" t="s">
        <v>14</v>
      </c>
      <c r="S23" s="706">
        <f>F23</f>
        <v>100</v>
      </c>
      <c r="T23" s="705" t="s">
        <v>14</v>
      </c>
      <c r="U23" s="706">
        <f>H23</f>
        <v>100</v>
      </c>
      <c r="V23" s="705" t="s">
        <v>14</v>
      </c>
      <c r="W23" s="706">
        <f>J23</f>
        <v>100</v>
      </c>
      <c r="X23" s="1355"/>
      <c r="Y23" s="372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8"/>
      <c r="Q24" s="1352"/>
      <c r="R24" s="705"/>
      <c r="S24" s="706"/>
      <c r="T24" s="705"/>
      <c r="U24" s="706"/>
      <c r="V24" s="705"/>
      <c r="W24" s="706"/>
      <c r="X24" s="1355"/>
      <c r="Y24" s="3721"/>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8"/>
      <c r="Q25" s="1352" t="str">
        <f t="shared" ref="Q25:Q46" si="11">B25</f>
        <v>临街状况</v>
      </c>
      <c r="R25" s="705" t="s">
        <v>14</v>
      </c>
      <c r="S25" s="706">
        <f>F25</f>
        <v>100</v>
      </c>
      <c r="T25" s="705" t="s">
        <v>14</v>
      </c>
      <c r="U25" s="706">
        <f>H25</f>
        <v>100</v>
      </c>
      <c r="V25" s="705" t="s">
        <v>14</v>
      </c>
      <c r="W25" s="706">
        <f>J25</f>
        <v>100</v>
      </c>
      <c r="X25" s="1355"/>
      <c r="Y25" s="3721"/>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8"/>
      <c r="Q26" s="1352" t="str">
        <f t="shared" si="11"/>
        <v>平面位置/可视性</v>
      </c>
      <c r="R26" s="705" t="s">
        <v>14</v>
      </c>
      <c r="S26" s="706">
        <f>F26</f>
        <v>100</v>
      </c>
      <c r="T26" s="705" t="s">
        <v>14</v>
      </c>
      <c r="U26" s="706">
        <f>H26</f>
        <v>100</v>
      </c>
      <c r="V26" s="705" t="s">
        <v>14</v>
      </c>
      <c r="W26" s="706">
        <f>J26</f>
        <v>100</v>
      </c>
      <c r="X26" s="1355"/>
      <c r="Y26" s="3721"/>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8"/>
      <c r="Q27" s="1343" t="str">
        <f t="shared" si="11"/>
        <v>人流量</v>
      </c>
      <c r="R27" s="701" t="s">
        <v>14</v>
      </c>
      <c r="S27" s="702">
        <f>F27</f>
        <v>100</v>
      </c>
      <c r="T27" s="701" t="s">
        <v>14</v>
      </c>
      <c r="U27" s="702">
        <f>H27</f>
        <v>100</v>
      </c>
      <c r="V27" s="701" t="s">
        <v>14</v>
      </c>
      <c r="W27" s="702">
        <f>J27</f>
        <v>100</v>
      </c>
      <c r="X27" s="703"/>
      <c r="Y27" s="3721"/>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8"/>
      <c r="Q29" s="1352">
        <f t="shared" si="11"/>
        <v>111</v>
      </c>
      <c r="R29" s="705" t="s">
        <v>14</v>
      </c>
      <c r="S29" s="706">
        <f t="shared" si="12"/>
        <v>100</v>
      </c>
      <c r="T29" s="705" t="s">
        <v>14</v>
      </c>
      <c r="U29" s="706">
        <f t="shared" si="13"/>
        <v>100</v>
      </c>
      <c r="V29" s="705" t="s">
        <v>14</v>
      </c>
      <c r="W29" s="706">
        <f t="shared" si="14"/>
        <v>100</v>
      </c>
      <c r="X29" s="1355"/>
      <c r="Y29" s="372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8"/>
      <c r="Q30" s="1352">
        <f t="shared" si="11"/>
        <v>111</v>
      </c>
      <c r="R30" s="705" t="s">
        <v>14</v>
      </c>
      <c r="S30" s="706">
        <f t="shared" si="12"/>
        <v>100</v>
      </c>
      <c r="T30" s="705" t="s">
        <v>14</v>
      </c>
      <c r="U30" s="706">
        <f t="shared" si="13"/>
        <v>100</v>
      </c>
      <c r="V30" s="705" t="s">
        <v>14</v>
      </c>
      <c r="W30" s="706">
        <f t="shared" si="14"/>
        <v>100</v>
      </c>
      <c r="X30" s="1355"/>
      <c r="Y30" s="372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8"/>
      <c r="Q31" s="1352">
        <f t="shared" si="11"/>
        <v>111</v>
      </c>
      <c r="R31" s="705" t="s">
        <v>14</v>
      </c>
      <c r="S31" s="706">
        <f t="shared" si="12"/>
        <v>100</v>
      </c>
      <c r="T31" s="705" t="s">
        <v>14</v>
      </c>
      <c r="U31" s="706">
        <f t="shared" si="13"/>
        <v>100</v>
      </c>
      <c r="V31" s="705" t="s">
        <v>14</v>
      </c>
      <c r="W31" s="706">
        <f t="shared" si="14"/>
        <v>100</v>
      </c>
      <c r="X31" s="1355"/>
      <c r="Y31" s="3721"/>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2" t="s">
        <v>1695</v>
      </c>
      <c r="Q32" s="1352" t="str">
        <f t="shared" si="11"/>
        <v>商业类型</v>
      </c>
      <c r="R32" s="705" t="s">
        <v>14</v>
      </c>
      <c r="S32" s="706">
        <f t="shared" si="12"/>
        <v>100</v>
      </c>
      <c r="T32" s="705" t="s">
        <v>14</v>
      </c>
      <c r="U32" s="706">
        <f t="shared" si="13"/>
        <v>100</v>
      </c>
      <c r="V32" s="705" t="s">
        <v>14</v>
      </c>
      <c r="W32" s="706">
        <f t="shared" si="14"/>
        <v>100</v>
      </c>
      <c r="X32" s="1355"/>
      <c r="Y32" s="3725" t="s">
        <v>1695</v>
      </c>
      <c r="Z32" s="1356" t="str">
        <f t="shared" si="15"/>
        <v>商业类型</v>
      </c>
      <c r="AA32" s="1353">
        <f t="shared" si="3"/>
        <v>1</v>
      </c>
      <c r="AB32" s="1353">
        <f t="shared" si="4"/>
        <v>1</v>
      </c>
      <c r="AC32" s="1353">
        <f t="shared" si="5"/>
        <v>1</v>
      </c>
    </row>
    <row r="33" spans="1:29" s="422" customFormat="1" ht="15">
      <c r="A33" s="419"/>
      <c r="B33" s="375" t="s">
        <v>1696</v>
      </c>
      <c r="C33" s="420">
        <f>'数据-汇总表'!E3</f>
        <v>51957.049999999996</v>
      </c>
      <c r="D33" s="127">
        <v>100</v>
      </c>
      <c r="E33" s="3501">
        <f>大宗案例!H2</f>
        <v>109000</v>
      </c>
      <c r="F33" s="376">
        <f>LOOKUP(E33,103:103,104:104)-LOOKUP(C33,103:103,104:104)+100</f>
        <v>101</v>
      </c>
      <c r="G33" s="3502">
        <f>大宗案例!H26</f>
        <v>66158</v>
      </c>
      <c r="H33" s="127">
        <f>LOOKUP(G33,103:103,104:104)-LOOKUP(C33,103:103,104:104)+100</f>
        <v>100</v>
      </c>
      <c r="I33" s="3502">
        <f>大宗案例!H32</f>
        <v>131719</v>
      </c>
      <c r="J33" s="127">
        <f>LOOKUP(I33,103:103,104:104)-LOOKUP(C33,103:103,104:104)+100</f>
        <v>101</v>
      </c>
      <c r="K33" s="562"/>
      <c r="L33" s="2721"/>
      <c r="M33" s="2723"/>
      <c r="N33" s="2723"/>
      <c r="O33" s="2723"/>
      <c r="P33" s="3723"/>
      <c r="Q33" s="707" t="str">
        <f t="shared" si="11"/>
        <v>项目建筑规模</v>
      </c>
      <c r="R33" s="708" t="s">
        <v>14</v>
      </c>
      <c r="S33" s="709">
        <f t="shared" si="12"/>
        <v>101</v>
      </c>
      <c r="T33" s="708" t="s">
        <v>14</v>
      </c>
      <c r="U33" s="709">
        <f t="shared" si="13"/>
        <v>100</v>
      </c>
      <c r="V33" s="708" t="s">
        <v>14</v>
      </c>
      <c r="W33" s="709">
        <f t="shared" si="14"/>
        <v>101</v>
      </c>
      <c r="X33" s="710"/>
      <c r="Y33" s="3725"/>
      <c r="Z33" s="711" t="str">
        <f t="shared" si="15"/>
        <v>项目建筑规模</v>
      </c>
      <c r="AA33" s="1353">
        <f t="shared" si="3"/>
        <v>0.99009900990099009</v>
      </c>
      <c r="AB33" s="1353">
        <f t="shared" si="4"/>
        <v>1</v>
      </c>
      <c r="AC33" s="1353">
        <f t="shared" si="5"/>
        <v>0.99009900990099009</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3"/>
      <c r="Q34" s="1352" t="str">
        <f t="shared" si="11"/>
        <v>建筑结构</v>
      </c>
      <c r="R34" s="705" t="s">
        <v>14</v>
      </c>
      <c r="S34" s="706">
        <f t="shared" si="12"/>
        <v>100</v>
      </c>
      <c r="T34" s="705" t="s">
        <v>14</v>
      </c>
      <c r="U34" s="706">
        <f t="shared" si="13"/>
        <v>100</v>
      </c>
      <c r="V34" s="705" t="s">
        <v>14</v>
      </c>
      <c r="W34" s="706">
        <f t="shared" si="14"/>
        <v>100</v>
      </c>
      <c r="X34" s="1355"/>
      <c r="Y34" s="3725"/>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3"/>
      <c r="Q35" s="1352" t="str">
        <f t="shared" si="11"/>
        <v>公共部分装修</v>
      </c>
      <c r="R35" s="705" t="s">
        <v>14</v>
      </c>
      <c r="S35" s="706">
        <f t="shared" si="12"/>
        <v>100</v>
      </c>
      <c r="T35" s="705" t="s">
        <v>14</v>
      </c>
      <c r="U35" s="706">
        <f t="shared" si="13"/>
        <v>100</v>
      </c>
      <c r="V35" s="705" t="s">
        <v>14</v>
      </c>
      <c r="W35" s="706">
        <f t="shared" si="14"/>
        <v>100</v>
      </c>
      <c r="X35" s="1355"/>
      <c r="Y35" s="3725"/>
      <c r="Z35" s="1356" t="str">
        <f t="shared" si="15"/>
        <v>公共部分装修</v>
      </c>
      <c r="AA35" s="1353">
        <f t="shared" si="3"/>
        <v>1</v>
      </c>
      <c r="AB35" s="1353">
        <f t="shared" si="4"/>
        <v>1</v>
      </c>
      <c r="AC35" s="1353">
        <f t="shared" si="5"/>
        <v>1</v>
      </c>
    </row>
    <row r="36" spans="1:29" ht="15">
      <c r="A36" s="423"/>
      <c r="B36" s="375" t="s">
        <v>1785</v>
      </c>
      <c r="C36" s="425">
        <v>1</v>
      </c>
      <c r="D36" s="386">
        <v>100</v>
      </c>
      <c r="E36" s="425">
        <v>0.8</v>
      </c>
      <c r="F36" s="412">
        <f>LOOKUP(E36,110:110,111:111)-LOOKUP(C36,110:110,111:111)+100</f>
        <v>98</v>
      </c>
      <c r="G36" s="425">
        <v>0.8</v>
      </c>
      <c r="H36" s="412">
        <f>LOOKUP(G36,110:110,111:111)-LOOKUP(C36,110:110,111:111)+100</f>
        <v>98</v>
      </c>
      <c r="I36" s="425">
        <v>0.8</v>
      </c>
      <c r="J36" s="386">
        <f>LOOKUP(I36,110:110,111:111)-LOOKUP(C36,110:110,111:111)+100</f>
        <v>98</v>
      </c>
      <c r="K36" s="561">
        <v>2</v>
      </c>
      <c r="L36" s="2722"/>
      <c r="M36" s="2716"/>
      <c r="N36" s="2716"/>
      <c r="O36" s="2716"/>
      <c r="P36" s="3723"/>
      <c r="Q36" s="1352" t="str">
        <f t="shared" si="11"/>
        <v>成新度</v>
      </c>
      <c r="R36" s="705" t="s">
        <v>14</v>
      </c>
      <c r="S36" s="706">
        <f t="shared" si="12"/>
        <v>98</v>
      </c>
      <c r="T36" s="705" t="s">
        <v>14</v>
      </c>
      <c r="U36" s="706">
        <f t="shared" si="13"/>
        <v>98</v>
      </c>
      <c r="V36" s="705" t="s">
        <v>14</v>
      </c>
      <c r="W36" s="706">
        <f t="shared" si="14"/>
        <v>98</v>
      </c>
      <c r="X36" s="1355"/>
      <c r="Y36" s="3725"/>
      <c r="Z36" s="1356" t="str">
        <f t="shared" si="15"/>
        <v>成新度</v>
      </c>
      <c r="AA36" s="1353">
        <f t="shared" si="3"/>
        <v>1.0204081632653061</v>
      </c>
      <c r="AB36" s="1353">
        <f t="shared" si="4"/>
        <v>1.0204081632653061</v>
      </c>
      <c r="AC36" s="1353">
        <f t="shared" si="5"/>
        <v>1.0204081632653061</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3"/>
      <c r="Q37" s="1343" t="str">
        <f t="shared" si="11"/>
        <v>市政基础设施</v>
      </c>
      <c r="R37" s="701" t="s">
        <v>14</v>
      </c>
      <c r="S37" s="702">
        <f t="shared" si="12"/>
        <v>100</v>
      </c>
      <c r="T37" s="701" t="s">
        <v>14</v>
      </c>
      <c r="U37" s="702">
        <f t="shared" si="13"/>
        <v>100</v>
      </c>
      <c r="V37" s="701" t="s">
        <v>14</v>
      </c>
      <c r="W37" s="702">
        <f t="shared" si="14"/>
        <v>100</v>
      </c>
      <c r="X37" s="703"/>
      <c r="Y37" s="3725"/>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3" t="s">
        <v>1695</v>
      </c>
      <c r="Q38" s="1352" t="str">
        <f t="shared" si="11"/>
        <v>业态</v>
      </c>
      <c r="R38" s="705" t="s">
        <v>14</v>
      </c>
      <c r="S38" s="706">
        <f t="shared" si="12"/>
        <v>100</v>
      </c>
      <c r="T38" s="705" t="s">
        <v>14</v>
      </c>
      <c r="U38" s="706">
        <f t="shared" si="13"/>
        <v>100</v>
      </c>
      <c r="V38" s="705" t="s">
        <v>14</v>
      </c>
      <c r="W38" s="706">
        <f t="shared" si="14"/>
        <v>100</v>
      </c>
      <c r="X38" s="1355"/>
      <c r="Y38" s="3725"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3"/>
      <c r="Q39" s="1352" t="str">
        <f t="shared" si="11"/>
        <v>层高</v>
      </c>
      <c r="R39" s="705" t="s">
        <v>14</v>
      </c>
      <c r="S39" s="706">
        <f t="shared" si="12"/>
        <v>100</v>
      </c>
      <c r="T39" s="705" t="s">
        <v>14</v>
      </c>
      <c r="U39" s="706">
        <f t="shared" si="13"/>
        <v>100</v>
      </c>
      <c r="V39" s="705" t="s">
        <v>14</v>
      </c>
      <c r="W39" s="706">
        <f t="shared" si="14"/>
        <v>100</v>
      </c>
      <c r="X39" s="1355"/>
      <c r="Y39" s="3725"/>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3"/>
      <c r="Q40" s="1352" t="str">
        <f t="shared" si="11"/>
        <v>单套建筑面积</v>
      </c>
      <c r="R40" s="705" t="s">
        <v>14</v>
      </c>
      <c r="S40" s="706">
        <f t="shared" si="12"/>
        <v>100</v>
      </c>
      <c r="T40" s="705" t="s">
        <v>14</v>
      </c>
      <c r="U40" s="706">
        <f t="shared" si="13"/>
        <v>100</v>
      </c>
      <c r="V40" s="705" t="s">
        <v>14</v>
      </c>
      <c r="W40" s="706">
        <f t="shared" si="14"/>
        <v>100</v>
      </c>
      <c r="X40" s="1355"/>
      <c r="Y40" s="3725"/>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3"/>
      <c r="Q41" s="707" t="str">
        <f t="shared" si="11"/>
        <v>进深比</v>
      </c>
      <c r="R41" s="708" t="s">
        <v>14</v>
      </c>
      <c r="S41" s="709">
        <f t="shared" si="12"/>
        <v>100</v>
      </c>
      <c r="T41" s="708" t="s">
        <v>14</v>
      </c>
      <c r="U41" s="709">
        <f t="shared" si="13"/>
        <v>100</v>
      </c>
      <c r="V41" s="708" t="s">
        <v>14</v>
      </c>
      <c r="W41" s="709">
        <f t="shared" si="14"/>
        <v>100</v>
      </c>
      <c r="X41" s="710"/>
      <c r="Y41" s="3725"/>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3"/>
      <c r="Q42" s="1352" t="str">
        <f t="shared" si="11"/>
        <v>内部装修</v>
      </c>
      <c r="R42" s="705" t="s">
        <v>14</v>
      </c>
      <c r="S42" s="706">
        <f t="shared" si="12"/>
        <v>100</v>
      </c>
      <c r="T42" s="705" t="s">
        <v>14</v>
      </c>
      <c r="U42" s="706">
        <f t="shared" si="13"/>
        <v>100</v>
      </c>
      <c r="V42" s="705" t="s">
        <v>14</v>
      </c>
      <c r="W42" s="706">
        <f t="shared" si="14"/>
        <v>100</v>
      </c>
      <c r="X42" s="1355"/>
      <c r="Y42" s="3725"/>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3"/>
      <c r="Q43" s="1352" t="str">
        <f t="shared" si="11"/>
        <v>内部装修维护情况</v>
      </c>
      <c r="R43" s="705" t="s">
        <v>14</v>
      </c>
      <c r="S43" s="706">
        <f t="shared" si="12"/>
        <v>100</v>
      </c>
      <c r="T43" s="705" t="s">
        <v>14</v>
      </c>
      <c r="U43" s="706">
        <f t="shared" si="13"/>
        <v>100</v>
      </c>
      <c r="V43" s="705" t="s">
        <v>14</v>
      </c>
      <c r="W43" s="706">
        <f t="shared" si="14"/>
        <v>100</v>
      </c>
      <c r="X43" s="1355"/>
      <c r="Y43" s="372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3"/>
      <c r="Q44" s="1343">
        <f t="shared" si="11"/>
        <v>111</v>
      </c>
      <c r="R44" s="701" t="s">
        <v>14</v>
      </c>
      <c r="S44" s="702">
        <f t="shared" si="12"/>
        <v>100</v>
      </c>
      <c r="T44" s="701" t="s">
        <v>14</v>
      </c>
      <c r="U44" s="702">
        <f t="shared" si="13"/>
        <v>100</v>
      </c>
      <c r="V44" s="701" t="s">
        <v>14</v>
      </c>
      <c r="W44" s="702">
        <f t="shared" si="14"/>
        <v>100</v>
      </c>
      <c r="X44" s="703"/>
      <c r="Y44" s="372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3"/>
      <c r="Q45" s="1352">
        <f t="shared" si="11"/>
        <v>111</v>
      </c>
      <c r="R45" s="705" t="s">
        <v>14</v>
      </c>
      <c r="S45" s="706">
        <f t="shared" si="12"/>
        <v>100</v>
      </c>
      <c r="T45" s="705" t="s">
        <v>14</v>
      </c>
      <c r="U45" s="706">
        <f t="shared" si="13"/>
        <v>100</v>
      </c>
      <c r="V45" s="705" t="s">
        <v>14</v>
      </c>
      <c r="W45" s="706">
        <f t="shared" si="14"/>
        <v>100</v>
      </c>
      <c r="X45" s="1355"/>
      <c r="Y45" s="372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4"/>
      <c r="Q46" s="1352">
        <f t="shared" si="11"/>
        <v>111</v>
      </c>
      <c r="R46" s="705" t="s">
        <v>14</v>
      </c>
      <c r="S46" s="706">
        <f t="shared" si="12"/>
        <v>100</v>
      </c>
      <c r="T46" s="705" t="s">
        <v>14</v>
      </c>
      <c r="U46" s="706">
        <f t="shared" si="13"/>
        <v>100</v>
      </c>
      <c r="V46" s="705" t="s">
        <v>14</v>
      </c>
      <c r="W46" s="706">
        <f t="shared" si="14"/>
        <v>100</v>
      </c>
      <c r="X46" s="1355"/>
      <c r="Y46" s="3726"/>
      <c r="Z46" s="1356">
        <f t="shared" si="15"/>
        <v>111</v>
      </c>
      <c r="AA46" s="1353">
        <f t="shared" si="3"/>
        <v>1</v>
      </c>
      <c r="AB46" s="1353">
        <f t="shared" si="4"/>
        <v>1</v>
      </c>
      <c r="AC46" s="1353">
        <f t="shared" si="5"/>
        <v>1</v>
      </c>
    </row>
    <row r="47" spans="1:29" ht="15">
      <c r="A47" s="430" t="s">
        <v>1707</v>
      </c>
      <c r="B47" s="431"/>
      <c r="C47" s="1154" t="s">
        <v>0</v>
      </c>
      <c r="D47" s="1155"/>
      <c r="E47" s="3496">
        <f>大宗案例!I2</f>
        <v>33940</v>
      </c>
      <c r="F47" s="1157"/>
      <c r="G47" s="3497">
        <f>大宗案例!I26</f>
        <v>24847</v>
      </c>
      <c r="H47" s="1159"/>
      <c r="I47" s="3496">
        <f>大宗案例!I32</f>
        <v>38073</v>
      </c>
      <c r="J47" s="1159"/>
      <c r="K47" s="714"/>
      <c r="L47" s="2724"/>
      <c r="M47" s="2725"/>
      <c r="N47" s="2716"/>
      <c r="O47" s="2725"/>
      <c r="P47" s="3718" t="str">
        <f>A47</f>
        <v>成交单价（元/平方米）</v>
      </c>
      <c r="Q47" s="3718"/>
      <c r="R47" s="3749">
        <f>E47</f>
        <v>33940</v>
      </c>
      <c r="S47" s="3749"/>
      <c r="T47" s="3749">
        <f>G47</f>
        <v>24847</v>
      </c>
      <c r="U47" s="3749"/>
      <c r="V47" s="3749">
        <f>I47</f>
        <v>38073</v>
      </c>
      <c r="W47" s="3749"/>
      <c r="X47" s="690"/>
      <c r="Y47" s="712"/>
      <c r="Z47" s="690"/>
      <c r="AA47" s="690"/>
      <c r="AB47" s="690"/>
      <c r="AC47" s="690"/>
    </row>
    <row r="48" spans="1:29" ht="15.75" thickBot="1">
      <c r="A48" s="437" t="s">
        <v>1792</v>
      </c>
      <c r="B48" s="438"/>
      <c r="C48" s="1160">
        <f>R49</f>
        <v>34255</v>
      </c>
      <c r="D48" s="2317" t="s">
        <v>2137</v>
      </c>
      <c r="E48" s="1161">
        <f>R48</f>
        <v>36447</v>
      </c>
      <c r="F48" s="2318"/>
      <c r="G48" s="1160">
        <f>T48</f>
        <v>26672</v>
      </c>
      <c r="H48" s="2318"/>
      <c r="I48" s="1161">
        <f>V48</f>
        <v>39647</v>
      </c>
      <c r="J48" s="2318"/>
      <c r="K48" s="2320">
        <f>F48+H48+J48</f>
        <v>0</v>
      </c>
      <c r="L48" s="2724"/>
      <c r="M48" s="2725"/>
      <c r="N48" s="2716"/>
      <c r="O48" s="2725"/>
      <c r="P48" s="3718" t="str">
        <f>A48</f>
        <v>比较价值（元/平方米）</v>
      </c>
      <c r="Q48" s="3718"/>
      <c r="R48" s="3719">
        <f>IF(F1="售价",ROUND(PRODUCT(R47,AA7:AA46),0),ROUND(PRODUCT(R47,AA7:AA46),1))</f>
        <v>36447</v>
      </c>
      <c r="S48" s="3719"/>
      <c r="T48" s="3719">
        <f>IF(F1="售价",ROUND(PRODUCT(T47,AB7:AB46),0),ROUND(PRODUCT(T47,AB7:AB46),1))</f>
        <v>26672</v>
      </c>
      <c r="U48" s="3719"/>
      <c r="V48" s="3719">
        <f>IF(F1="售价",ROUND(PRODUCT(V47,AC7:AC46),0),ROUND(PRODUCT(V47,AC7:AC46),1))</f>
        <v>39647</v>
      </c>
      <c r="W48" s="3719"/>
      <c r="X48" s="690"/>
      <c r="Y48" s="690"/>
      <c r="Z48" s="690"/>
      <c r="AA48" s="690"/>
      <c r="AB48" s="690"/>
      <c r="AC48" s="690"/>
    </row>
    <row r="49" spans="1:30" ht="15.75" thickBot="1">
      <c r="A49" s="441" t="s">
        <v>1793</v>
      </c>
      <c r="B49" s="442"/>
      <c r="C49" s="1163">
        <f>R49</f>
        <v>34255</v>
      </c>
      <c r="D49" s="1163"/>
      <c r="E49" s="1163"/>
      <c r="F49" s="1163"/>
      <c r="G49" s="1163"/>
      <c r="H49" s="1163"/>
      <c r="I49" s="1163"/>
      <c r="J49" s="1163"/>
      <c r="K49" s="715"/>
      <c r="L49" s="2724"/>
      <c r="M49" s="2725"/>
      <c r="N49" s="2716"/>
      <c r="O49" s="2725"/>
      <c r="P49" s="3715" t="str">
        <f>A49</f>
        <v>估价对象XX用房的比较价值（楼面单价，元/平方米）</v>
      </c>
      <c r="Q49" s="3716"/>
      <c r="R49" s="3717">
        <f>IF(F1="售价",ROUND(IF(D48="简单平均",AVERAGE(R48:V48),R48*F48+T48*H48+V48*J48),0),ROUND(IF(D48="简单平均",AVERAGE(R48:V48),R48*F48+T48*H48+V48*J48),1))</f>
        <v>34255</v>
      </c>
      <c r="S49" s="3717"/>
      <c r="T49" s="3717"/>
      <c r="U49" s="3717"/>
      <c r="V49" s="3717"/>
      <c r="W49" s="3717"/>
      <c r="X49" s="690"/>
      <c r="Y49" s="690"/>
      <c r="Z49" s="690"/>
      <c r="AA49" s="690"/>
      <c r="AB49" s="690"/>
      <c r="AC49" s="690"/>
    </row>
    <row r="50" spans="1:30">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30">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30" ht="13.5" customHeight="1">
      <c r="A52" s="2725"/>
      <c r="B52" s="2725"/>
      <c r="C52" s="446" t="s">
        <v>1794</v>
      </c>
      <c r="D52" s="447"/>
      <c r="E52" s="448">
        <f>IF(E47&lt;E48,E48/E47-1,E47/E48-1)</f>
        <v>7.3865645256334655E-2</v>
      </c>
      <c r="F52" s="449" t="str">
        <f>IF(OR(E52&gt;=0.3,E52&lt;=-0.3),"超过30%","")</f>
        <v/>
      </c>
      <c r="G52" s="448">
        <f>IF(G47&lt;G48,G48/G47-1,G47/G48-1)</f>
        <v>7.3449511007364965E-2</v>
      </c>
      <c r="H52" s="449" t="str">
        <f>IF(OR(G52&gt;=0.3,G52&lt;=-0.3),"超过30%","")</f>
        <v/>
      </c>
      <c r="I52" s="448">
        <f>IF(I47&lt;I48,I48/I47-1,I47/I48-1)</f>
        <v>4.1341633178367809E-2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30" ht="13.5" customHeight="1">
      <c r="A53" s="2725"/>
      <c r="B53" s="2725"/>
      <c r="C53" s="446" t="s">
        <v>1795</v>
      </c>
      <c r="D53" s="450"/>
      <c r="E53" s="448">
        <f>IF(E48&lt;G48,G48/E48-1,E48/G48-1)</f>
        <v>0.36648920215956804</v>
      </c>
      <c r="F53" s="449" t="str">
        <f>IF(OR(E53&gt;=0.2,E53&lt;=-0.2),"超过20%","")</f>
        <v>超过20%</v>
      </c>
      <c r="G53" s="448">
        <f>IF(G48&lt;I48,I48/G48-1,G48/I48-1)</f>
        <v>0.48646520695860818</v>
      </c>
      <c r="H53" s="449" t="str">
        <f>IF(OR(G53&gt;=0.2,G53&lt;=-0.2),"超过20%","")</f>
        <v>超过20%</v>
      </c>
      <c r="I53" s="448">
        <f>IF(I48&lt;E48,E48/I48-1,I48/E48-1)</f>
        <v>8.7798721431119109E-2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30" s="451" customFormat="1" ht="13.5" customHeight="1">
      <c r="A54" s="2728"/>
      <c r="B54" s="2728"/>
      <c r="C54" s="446" t="s">
        <v>1796</v>
      </c>
      <c r="D54" s="450"/>
      <c r="E54" s="448">
        <f>IF(E47&lt;G47,G47/E47-1,E47/G47-1)</f>
        <v>0.3659596731999839</v>
      </c>
      <c r="F54" s="449" t="str">
        <f>IF(OR(E54&gt;=0.3,E54&lt;=-0.3),"超过30%","")</f>
        <v>超过30%</v>
      </c>
      <c r="G54" s="448">
        <f>IF(G47&lt;I47,I47/G47-1,G47/I47-1)</f>
        <v>0.53229766168954007</v>
      </c>
      <c r="H54" s="449" t="str">
        <f>IF(OR(G54&gt;=0.3,G54&lt;=-0.3),"超过30%","")</f>
        <v>超过30%</v>
      </c>
      <c r="I54" s="448">
        <f>IF(I47&lt;E47,E47/I47-1,I47/E47-1)</f>
        <v>0.12177371832645845</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30"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30">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30" ht="21.75"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30" s="457" customFormat="1" ht="15">
      <c r="A58" s="454" t="s">
        <v>1678</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3500">
        <f t="shared" ref="P58:AD58" si="17">EDATE(O58,-1)</f>
        <v>44562</v>
      </c>
      <c r="Q58" s="3500">
        <f t="shared" si="17"/>
        <v>44531</v>
      </c>
      <c r="R58" s="3500">
        <f t="shared" si="17"/>
        <v>44501</v>
      </c>
      <c r="S58" s="3500">
        <f t="shared" si="17"/>
        <v>44470</v>
      </c>
      <c r="T58" s="3500">
        <f t="shared" si="17"/>
        <v>44440</v>
      </c>
      <c r="U58" s="3500">
        <f t="shared" si="17"/>
        <v>44409</v>
      </c>
      <c r="V58" s="3500">
        <f t="shared" si="17"/>
        <v>44378</v>
      </c>
      <c r="W58" s="3500">
        <f t="shared" si="17"/>
        <v>44348</v>
      </c>
      <c r="X58" s="3500">
        <f t="shared" si="17"/>
        <v>44317</v>
      </c>
      <c r="Y58" s="3500">
        <f t="shared" si="17"/>
        <v>44287</v>
      </c>
      <c r="Z58" s="3500">
        <f t="shared" si="17"/>
        <v>44256</v>
      </c>
      <c r="AA58" s="3500">
        <f t="shared" si="17"/>
        <v>44228</v>
      </c>
      <c r="AB58" s="3500">
        <f t="shared" si="17"/>
        <v>44197</v>
      </c>
      <c r="AC58" s="3500">
        <f t="shared" si="17"/>
        <v>44166</v>
      </c>
      <c r="AD58" s="3500">
        <f t="shared" si="17"/>
        <v>44136</v>
      </c>
    </row>
    <row r="59" spans="1:30" s="108" customFormat="1" ht="15">
      <c r="A59" s="458"/>
      <c r="B59" s="459"/>
      <c r="C59" s="1183">
        <v>100</v>
      </c>
      <c r="D59" s="461">
        <v>100</v>
      </c>
      <c r="E59" s="461">
        <v>100</v>
      </c>
      <c r="F59" s="461">
        <v>99.5</v>
      </c>
      <c r="G59" s="461">
        <v>99.5</v>
      </c>
      <c r="H59" s="461">
        <v>99.5</v>
      </c>
      <c r="I59" s="461">
        <v>99</v>
      </c>
      <c r="J59" s="461">
        <v>99</v>
      </c>
      <c r="K59" s="461">
        <v>99</v>
      </c>
      <c r="L59" s="461">
        <v>98.5</v>
      </c>
      <c r="M59" s="462">
        <v>98.5</v>
      </c>
      <c r="N59" s="461">
        <v>98.5</v>
      </c>
      <c r="O59" s="462">
        <v>98</v>
      </c>
      <c r="P59" s="2741">
        <v>0.98</v>
      </c>
      <c r="Q59" s="2661">
        <v>98</v>
      </c>
      <c r="R59" s="2661">
        <v>97.5</v>
      </c>
      <c r="S59" s="2661">
        <v>97.5</v>
      </c>
      <c r="T59" s="2661">
        <v>97.5</v>
      </c>
      <c r="U59" s="2661">
        <v>97</v>
      </c>
      <c r="V59" s="2661">
        <v>97</v>
      </c>
      <c r="W59" s="2661">
        <v>97</v>
      </c>
      <c r="X59" s="2661">
        <v>96.5</v>
      </c>
      <c r="Y59" s="2661">
        <v>96.5</v>
      </c>
      <c r="Z59" s="2661">
        <v>96.5</v>
      </c>
      <c r="AA59" s="2661">
        <v>96</v>
      </c>
      <c r="AB59" s="2661">
        <v>96</v>
      </c>
      <c r="AC59" s="2661">
        <v>96</v>
      </c>
      <c r="AD59" s="108">
        <v>95.5</v>
      </c>
    </row>
    <row r="60" spans="1:30" s="108" customFormat="1" ht="15.75" thickBot="1">
      <c r="A60" s="464" t="s">
        <v>1715</v>
      </c>
      <c r="B60" s="465"/>
      <c r="C60" s="466"/>
      <c r="D60" s="467"/>
      <c r="E60" s="467"/>
      <c r="F60" s="467"/>
      <c r="G60" s="467"/>
      <c r="H60" s="467"/>
      <c r="I60" s="467"/>
      <c r="J60" s="467"/>
      <c r="K60" s="467"/>
      <c r="L60" s="467"/>
      <c r="M60" s="468"/>
      <c r="N60" s="467"/>
      <c r="O60" s="468"/>
      <c r="P60" s="2741"/>
      <c r="Q60" s="2739"/>
      <c r="R60" s="2661"/>
      <c r="S60" s="2661"/>
      <c r="T60" s="2661"/>
      <c r="U60" s="2661"/>
      <c r="V60" s="2661"/>
      <c r="W60" s="2661"/>
      <c r="X60" s="2661"/>
      <c r="Y60" s="2661"/>
      <c r="Z60" s="2661"/>
      <c r="AA60" s="2661"/>
      <c r="AB60" s="2661"/>
      <c r="AC60" s="2661"/>
    </row>
    <row r="61" spans="1:30" s="108" customFormat="1" ht="15">
      <c r="A61" s="470" t="s">
        <v>1680</v>
      </c>
      <c r="B61" s="459"/>
      <c r="C61" s="471" t="s">
        <v>1775</v>
      </c>
      <c r="D61" s="472"/>
      <c r="E61" s="472"/>
      <c r="F61" s="472"/>
      <c r="G61" s="472"/>
      <c r="H61" s="472"/>
      <c r="I61" s="472"/>
      <c r="J61" s="472"/>
      <c r="K61" s="472"/>
      <c r="L61" s="473"/>
      <c r="M61" s="474"/>
      <c r="N61" s="2751"/>
      <c r="O61" s="2751"/>
      <c r="P61" s="2742"/>
      <c r="Q61" s="2739"/>
      <c r="R61" s="2661"/>
      <c r="S61" s="2661"/>
      <c r="T61" s="2661"/>
      <c r="U61" s="2661"/>
      <c r="V61" s="2661"/>
      <c r="W61" s="2661"/>
      <c r="X61" s="2661"/>
      <c r="Y61" s="2661"/>
      <c r="Z61" s="2661"/>
      <c r="AA61" s="2661"/>
      <c r="AB61" s="2661"/>
      <c r="AC61" s="2661"/>
    </row>
    <row r="62" spans="1:30" s="108" customFormat="1" ht="15.75" thickBot="1">
      <c r="A62" s="470"/>
      <c r="B62" s="459"/>
      <c r="C62" s="460">
        <v>100</v>
      </c>
      <c r="D62" s="461"/>
      <c r="E62" s="461"/>
      <c r="F62" s="461"/>
      <c r="G62" s="461"/>
      <c r="H62" s="461"/>
      <c r="I62" s="461"/>
      <c r="J62" s="461"/>
      <c r="K62" s="461"/>
      <c r="L62" s="461"/>
      <c r="M62" s="463"/>
      <c r="N62" s="2751"/>
      <c r="O62" s="2751"/>
      <c r="P62" s="2741"/>
      <c r="Q62" s="2739"/>
      <c r="R62" s="2661"/>
      <c r="S62" s="2661"/>
      <c r="T62" s="2661"/>
      <c r="U62" s="2661"/>
      <c r="V62" s="2661"/>
      <c r="W62" s="2661"/>
      <c r="X62" s="2661"/>
      <c r="Y62" s="2661"/>
      <c r="Z62" s="2661"/>
      <c r="AA62" s="2661"/>
      <c r="AB62" s="2661"/>
      <c r="AC62" s="2661"/>
    </row>
    <row r="63" spans="1:30">
      <c r="A63" s="476" t="s">
        <v>1718</v>
      </c>
      <c r="B63" s="477" t="s">
        <v>1684</v>
      </c>
      <c r="C63" s="478" t="str">
        <f>C9</f>
        <v>商业</v>
      </c>
      <c r="D63" s="3498" t="s">
        <v>3594</v>
      </c>
      <c r="E63" s="479"/>
      <c r="F63" s="479"/>
      <c r="G63" s="479"/>
      <c r="H63" s="479"/>
      <c r="I63" s="479"/>
      <c r="J63" s="479"/>
      <c r="K63" s="480"/>
      <c r="L63" s="481"/>
      <c r="M63" s="482"/>
      <c r="N63" s="2752"/>
      <c r="O63" s="2752"/>
      <c r="P63" s="2743"/>
      <c r="Q63" s="2739"/>
      <c r="R63" s="2725"/>
      <c r="S63" s="2725"/>
      <c r="T63" s="2725"/>
      <c r="U63" s="2725"/>
      <c r="V63" s="2725"/>
      <c r="W63" s="2725"/>
      <c r="X63" s="2725"/>
      <c r="Y63" s="2725"/>
      <c r="Z63" s="2725"/>
      <c r="AA63" s="2725"/>
      <c r="AB63" s="2725"/>
      <c r="AC63" s="2725"/>
    </row>
    <row r="64" spans="1:30" ht="15.75" thickBot="1">
      <c r="A64" s="483"/>
      <c r="B64" s="484"/>
      <c r="C64" s="485">
        <v>100</v>
      </c>
      <c r="D64" s="485">
        <v>98</v>
      </c>
      <c r="E64" s="485"/>
      <c r="F64" s="485"/>
      <c r="G64" s="485"/>
      <c r="H64" s="485"/>
      <c r="I64" s="485"/>
      <c r="J64" s="485"/>
      <c r="K64" s="485"/>
      <c r="L64" s="485"/>
      <c r="M64" s="486"/>
      <c r="N64" s="2753"/>
      <c r="O64" s="2753"/>
      <c r="P64" s="2743"/>
      <c r="Q64" s="2739"/>
      <c r="R64" s="2725"/>
      <c r="S64" s="2725"/>
      <c r="T64" s="2725"/>
      <c r="U64" s="2725"/>
      <c r="V64" s="2725"/>
      <c r="W64" s="2725"/>
      <c r="X64" s="2725"/>
      <c r="Y64" s="2725"/>
      <c r="Z64" s="2725"/>
      <c r="AA64" s="2725"/>
      <c r="AB64" s="2725"/>
      <c r="AC64" s="2725"/>
    </row>
    <row r="65" spans="1:29" ht="27.75" thickTop="1">
      <c r="A65" s="483"/>
      <c r="B65" s="487" t="s">
        <v>1687</v>
      </c>
      <c r="C65" s="532"/>
      <c r="D65" s="532"/>
      <c r="E65" s="532"/>
      <c r="F65" s="532"/>
      <c r="G65" s="532"/>
      <c r="H65" s="532"/>
      <c r="I65" s="532"/>
      <c r="J65" s="532"/>
      <c r="K65" s="533"/>
      <c r="L65" s="534"/>
      <c r="M65" s="535"/>
      <c r="N65" s="2752"/>
      <c r="O65" s="2752"/>
      <c r="P65" s="2743"/>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3"/>
      <c r="O66" s="2753"/>
      <c r="P66" s="2743"/>
      <c r="Q66" s="2739"/>
      <c r="R66" s="2725"/>
      <c r="S66" s="2725"/>
      <c r="T66" s="2725"/>
      <c r="U66" s="2725"/>
      <c r="V66" s="2725"/>
      <c r="W66" s="2725"/>
      <c r="X66" s="2725"/>
      <c r="Y66" s="2725"/>
      <c r="Z66" s="2725"/>
      <c r="AA66" s="2725"/>
      <c r="AB66" s="2725"/>
      <c r="AC66" s="2725"/>
    </row>
    <row r="67" spans="1:29" ht="15.75" thickTop="1">
      <c r="A67" s="483"/>
      <c r="B67" s="495" t="s">
        <v>1688</v>
      </c>
      <c r="C67" s="496" t="str">
        <f>C68&amp;"（含）"&amp;"-"&amp;D68</f>
        <v>0（含）-</v>
      </c>
      <c r="D67" s="496" t="str">
        <f t="shared" ref="D67:L67" si="18">D68&amp;"（含）"&amp;"-"&amp;E68</f>
        <v>（含）-</v>
      </c>
      <c r="E67" s="496" t="str">
        <f t="shared" si="18"/>
        <v>（含）-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3"/>
      <c r="O67" s="2753"/>
      <c r="P67" s="2743"/>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2"/>
      <c r="O68" s="2752"/>
      <c r="P68" s="2743"/>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3"/>
      <c r="O69" s="2753"/>
      <c r="P69" s="2743"/>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9"/>
      <c r="R77" s="2725"/>
      <c r="S77" s="2725"/>
      <c r="T77" s="2725"/>
      <c r="U77" s="2725"/>
      <c r="V77" s="2725"/>
      <c r="W77" s="2725"/>
      <c r="X77" s="2725"/>
      <c r="Y77" s="2725"/>
      <c r="Z77" s="2725"/>
      <c r="AA77" s="2725"/>
      <c r="AB77" s="2725"/>
      <c r="AC77" s="2725"/>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9"/>
      <c r="R79" s="2725"/>
      <c r="S79" s="2725"/>
      <c r="T79" s="2725"/>
      <c r="U79" s="2725"/>
      <c r="V79" s="2725"/>
      <c r="W79" s="2725"/>
      <c r="X79" s="2725"/>
      <c r="Y79" s="2725"/>
      <c r="Z79" s="2725"/>
      <c r="AA79" s="2725"/>
      <c r="AB79" s="2725"/>
      <c r="AC79" s="2725"/>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9"/>
      <c r="R81" s="2725"/>
      <c r="S81" s="2725"/>
      <c r="T81" s="2725"/>
      <c r="U81" s="2725"/>
      <c r="V81" s="2725"/>
      <c r="W81" s="2725"/>
      <c r="X81" s="2725"/>
      <c r="Y81" s="2725"/>
      <c r="Z81" s="2725"/>
      <c r="AA81" s="2725"/>
      <c r="AB81" s="2725"/>
      <c r="AC81" s="2725"/>
    </row>
    <row r="82" spans="1:29" ht="15.7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20">D83-$K21</f>
        <v>100</v>
      </c>
      <c r="F83" s="493">
        <f t="shared" si="20"/>
        <v>100</v>
      </c>
      <c r="G83" s="493">
        <f t="shared" si="20"/>
        <v>100</v>
      </c>
      <c r="H83" s="608"/>
      <c r="I83" s="608"/>
      <c r="J83" s="608"/>
      <c r="K83" s="608"/>
      <c r="L83" s="608"/>
      <c r="M83" s="401"/>
      <c r="N83" s="2753"/>
      <c r="O83" s="2753"/>
      <c r="P83" s="2743"/>
      <c r="Q83" s="2739"/>
      <c r="R83" s="2725"/>
      <c r="S83" s="2725"/>
      <c r="T83" s="2725"/>
      <c r="U83" s="2725"/>
      <c r="V83" s="2725"/>
      <c r="W83" s="2725"/>
      <c r="X83" s="2725"/>
      <c r="Y83" s="2725"/>
      <c r="Z83" s="2725"/>
      <c r="AA83" s="2725"/>
      <c r="AB83" s="2725"/>
      <c r="AC83" s="2725"/>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9"/>
      <c r="R85" s="2725"/>
      <c r="S85" s="2725"/>
      <c r="T85" s="2725"/>
      <c r="U85" s="2725"/>
      <c r="V85" s="2725"/>
      <c r="W85" s="2725"/>
      <c r="X85" s="2725"/>
      <c r="Y85" s="2725"/>
      <c r="Z85" s="2725"/>
      <c r="AA85" s="2725"/>
      <c r="AB85" s="2725"/>
      <c r="AC85" s="2725"/>
    </row>
    <row r="86" spans="1:29" s="108" customFormat="1" ht="15.75" thickTop="1">
      <c r="A86" s="528"/>
      <c r="B86" s="487" t="s">
        <v>1803</v>
      </c>
      <c r="C86" s="503"/>
      <c r="D86" s="503"/>
      <c r="E86" s="503"/>
      <c r="F86" s="503"/>
      <c r="G86" s="503"/>
      <c r="H86" s="503"/>
      <c r="I86" s="503"/>
      <c r="J86" s="503"/>
      <c r="K86" s="503"/>
      <c r="L86" s="529"/>
      <c r="M86" s="530"/>
      <c r="N86" s="2751"/>
      <c r="O86" s="2751"/>
      <c r="P86" s="2743"/>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1">C87-$K25</f>
        <v>100</v>
      </c>
      <c r="E87" s="493">
        <f t="shared" si="21"/>
        <v>100</v>
      </c>
      <c r="F87" s="493">
        <f t="shared" si="21"/>
        <v>100</v>
      </c>
      <c r="G87" s="493">
        <f t="shared" si="21"/>
        <v>100</v>
      </c>
      <c r="H87" s="493">
        <f t="shared" si="21"/>
        <v>100</v>
      </c>
      <c r="I87" s="493">
        <f t="shared" si="21"/>
        <v>100</v>
      </c>
      <c r="J87" s="493">
        <f t="shared" si="21"/>
        <v>100</v>
      </c>
      <c r="K87" s="493">
        <f t="shared" si="21"/>
        <v>100</v>
      </c>
      <c r="L87" s="493">
        <f t="shared" si="21"/>
        <v>100</v>
      </c>
      <c r="M87" s="493">
        <f t="shared" si="21"/>
        <v>100</v>
      </c>
      <c r="N87" s="2753"/>
      <c r="O87" s="2753"/>
      <c r="P87" s="2743"/>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3"/>
      <c r="O93" s="2753"/>
      <c r="P93" s="2743"/>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2"/>
      <c r="O94" s="2752"/>
      <c r="P94" s="2743"/>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3"/>
      <c r="O95" s="2753"/>
      <c r="P95" s="2743"/>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2"/>
      <c r="O96" s="2752"/>
      <c r="P96" s="2743"/>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3"/>
      <c r="O97" s="2753"/>
      <c r="P97" s="2743"/>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2"/>
      <c r="O98" s="2752"/>
      <c r="P98" s="2743"/>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3"/>
      <c r="O99" s="2753"/>
      <c r="P99" s="2743"/>
      <c r="Q99" s="2739"/>
      <c r="R99" s="2725"/>
      <c r="S99" s="2725"/>
      <c r="T99" s="2725"/>
      <c r="U99" s="2725"/>
      <c r="V99" s="2725"/>
      <c r="W99" s="2725"/>
      <c r="X99" s="2725"/>
      <c r="Y99" s="2725"/>
      <c r="Z99" s="2725"/>
      <c r="AA99" s="2725"/>
      <c r="AB99" s="2725"/>
      <c r="AC99" s="2725"/>
    </row>
    <row r="100" spans="1:29">
      <c r="A100" s="476" t="s">
        <v>1693</v>
      </c>
      <c r="B100" s="477" t="s">
        <v>1804</v>
      </c>
      <c r="C100" s="479"/>
      <c r="D100" s="479"/>
      <c r="E100" s="479"/>
      <c r="F100" s="479"/>
      <c r="G100" s="479"/>
      <c r="H100" s="479"/>
      <c r="I100" s="479"/>
      <c r="J100" s="479"/>
      <c r="K100" s="480"/>
      <c r="L100" s="481"/>
      <c r="M100" s="482"/>
      <c r="N100" s="2752"/>
      <c r="O100" s="2752"/>
      <c r="P100" s="2743"/>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9"/>
      <c r="R101" s="2725"/>
      <c r="S101" s="2725"/>
      <c r="T101" s="2725"/>
      <c r="U101" s="2725"/>
      <c r="V101" s="2725"/>
      <c r="W101" s="2725"/>
      <c r="X101" s="2725"/>
      <c r="Y101" s="2725"/>
      <c r="Z101" s="2725"/>
      <c r="AA101" s="2725"/>
      <c r="AB101" s="2725"/>
      <c r="AC101" s="2725"/>
    </row>
    <row r="102" spans="1:29" ht="29.25" thickTop="1">
      <c r="A102" s="483"/>
      <c r="B102" s="487" t="s">
        <v>1736</v>
      </c>
      <c r="C102" s="527" t="str">
        <f>C103&amp;"(含)"&amp;"-"&amp;D103</f>
        <v>0(含)-50000</v>
      </c>
      <c r="D102" s="527" t="str">
        <f t="shared" ref="D102:L102" si="24">D103&amp;"(含)"&amp;"-"&amp;E103</f>
        <v>50000(含)-100000</v>
      </c>
      <c r="E102" s="527" t="str">
        <f t="shared" si="24"/>
        <v>100000(含)-150000</v>
      </c>
      <c r="F102" s="527" t="str">
        <f t="shared" si="24"/>
        <v>150000(含)-200000</v>
      </c>
      <c r="G102" s="527" t="str">
        <f t="shared" si="24"/>
        <v>200000(含)-</v>
      </c>
      <c r="H102" s="527" t="str">
        <f t="shared" si="24"/>
        <v>(含)-</v>
      </c>
      <c r="I102" s="527" t="str">
        <f t="shared" si="24"/>
        <v>(含)-</v>
      </c>
      <c r="J102" s="527" t="str">
        <f t="shared" si="24"/>
        <v>(含)-</v>
      </c>
      <c r="K102" s="527" t="str">
        <f t="shared" si="24"/>
        <v>(含)-</v>
      </c>
      <c r="L102" s="527" t="str">
        <f t="shared" si="24"/>
        <v>(含)-</v>
      </c>
      <c r="M102" s="570" t="str">
        <f>M103&amp;"(含)"&amp;"-"&amp;P103</f>
        <v>(含)-</v>
      </c>
      <c r="N102" s="2751"/>
      <c r="O102" s="2751"/>
      <c r="P102" s="2743"/>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50000</v>
      </c>
      <c r="E103" s="544">
        <v>100000</v>
      </c>
      <c r="F103" s="544">
        <v>150000</v>
      </c>
      <c r="G103" s="544">
        <v>200000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101</v>
      </c>
      <c r="E104" s="485">
        <v>102</v>
      </c>
      <c r="F104" s="485">
        <v>103</v>
      </c>
      <c r="G104" s="485">
        <v>104</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3"/>
      <c r="O106" s="2753"/>
      <c r="P106" s="2743"/>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2"/>
      <c r="O107" s="2752"/>
      <c r="P107" s="2743"/>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3"/>
      <c r="O108" s="2753"/>
      <c r="P108" s="2743"/>
      <c r="Q108" s="2739"/>
      <c r="R108" s="2725"/>
      <c r="S108" s="2725"/>
      <c r="T108" s="2725"/>
      <c r="U108" s="2725"/>
      <c r="V108" s="2725"/>
      <c r="W108" s="2725"/>
      <c r="X108" s="2725"/>
      <c r="Y108" s="2725"/>
      <c r="Z108" s="2725"/>
      <c r="AA108" s="2725"/>
      <c r="AB108" s="2725"/>
      <c r="AC108" s="2725"/>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3"/>
      <c r="O111" s="2753"/>
      <c r="P111" s="2743"/>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3"/>
      <c r="O115" s="2753"/>
      <c r="P115" s="2743"/>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2"/>
      <c r="O116" s="2752"/>
      <c r="P116" s="2743"/>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2"/>
      <c r="O118" s="2752"/>
      <c r="P118" s="2743"/>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3"/>
      <c r="O119" s="2753"/>
      <c r="P119" s="2743"/>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3"/>
      <c r="O123" s="2753"/>
      <c r="P123" s="2743"/>
      <c r="Q123" s="2739"/>
      <c r="R123" s="2725"/>
      <c r="S123" s="2725"/>
      <c r="T123" s="2725"/>
      <c r="U123" s="2725"/>
      <c r="V123" s="2725"/>
      <c r="W123" s="2725"/>
      <c r="X123" s="2725"/>
      <c r="Y123" s="2725"/>
      <c r="Z123" s="2725"/>
      <c r="AA123" s="2725"/>
      <c r="AB123" s="2725"/>
      <c r="AC123" s="2725"/>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3"/>
      <c r="O129" s="2753"/>
      <c r="P129" s="2743"/>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2"/>
      <c r="O130" s="2752"/>
      <c r="P130" s="2743"/>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3"/>
      <c r="O131" s="2753"/>
      <c r="P131" s="2743"/>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受贵公司委托，我公司对北京市丰台区西三环南路16号房地产抵押价值进行了预评估。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估价对象为北京市丰台区西三环南路16号房地产，为所有。根据《国有土地使用证》[]，估价对象（分摊）出让国有建设用地使用权面积为20453.91平方米，建筑面积为51957.05平方米。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西三环南路16号房地产,属开发建设的，该项目尚在开发建设中。根据《国有土地使用证》[]，估价对象（分摊）出让国有建设用地使用权面积为20453.91平方米，规划建筑面积为51957.05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丰台区西三环南路16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51957.049999999996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1768</v>
      </c>
      <c r="B4" s="356"/>
      <c r="C4" s="3733" t="s">
        <v>1769</v>
      </c>
      <c r="D4" s="3734"/>
      <c r="E4" s="3735" t="s">
        <v>1770</v>
      </c>
      <c r="F4" s="3736"/>
      <c r="G4" s="3733" t="s">
        <v>1771</v>
      </c>
      <c r="H4" s="3734"/>
      <c r="I4" s="3733" t="s">
        <v>1772</v>
      </c>
      <c r="J4" s="3734"/>
      <c r="K4" s="559" t="s">
        <v>1773</v>
      </c>
      <c r="L4" s="2715"/>
      <c r="M4" s="2716"/>
      <c r="N4" s="2716"/>
      <c r="O4" s="2716"/>
      <c r="P4" s="3767" t="s">
        <v>1774</v>
      </c>
      <c r="Q4" s="3768"/>
      <c r="R4" s="3771" t="s">
        <v>1770</v>
      </c>
      <c r="S4" s="3772"/>
      <c r="T4" s="3771" t="s">
        <v>1771</v>
      </c>
      <c r="U4" s="3772"/>
      <c r="V4" s="3773" t="s">
        <v>1772</v>
      </c>
      <c r="W4" s="3773"/>
      <c r="X4" s="1958"/>
      <c r="Y4" s="3771" t="s">
        <v>1774</v>
      </c>
      <c r="Z4" s="3772"/>
      <c r="AA4" s="3775" t="s">
        <v>1770</v>
      </c>
      <c r="AB4" s="3775" t="s">
        <v>1771</v>
      </c>
      <c r="AC4" s="3764" t="s">
        <v>1772</v>
      </c>
    </row>
    <row r="5" spans="1:29" ht="15">
      <c r="A5" s="358"/>
      <c r="B5" s="359"/>
      <c r="C5" s="3752" t="s">
        <v>1672</v>
      </c>
      <c r="D5" s="3753"/>
      <c r="E5" s="3759" t="s">
        <v>1673</v>
      </c>
      <c r="F5" s="3760"/>
      <c r="G5" s="3752" t="s">
        <v>1674</v>
      </c>
      <c r="H5" s="3753"/>
      <c r="I5" s="3752" t="s">
        <v>1675</v>
      </c>
      <c r="J5" s="3753"/>
      <c r="K5" s="559"/>
      <c r="L5" s="2715"/>
      <c r="M5" s="2716"/>
      <c r="N5" s="2716"/>
      <c r="O5" s="2716"/>
      <c r="P5" s="3769"/>
      <c r="Q5" s="3740"/>
      <c r="R5" s="3745"/>
      <c r="S5" s="3746"/>
      <c r="T5" s="3745"/>
      <c r="U5" s="3746"/>
      <c r="V5" s="3749"/>
      <c r="W5" s="3749"/>
      <c r="X5" s="1355"/>
      <c r="Y5" s="3745"/>
      <c r="Z5" s="3746"/>
      <c r="AA5" s="3731"/>
      <c r="AB5" s="3731"/>
      <c r="AC5" s="3765"/>
    </row>
    <row r="6" spans="1:29" ht="15.75" thickBot="1">
      <c r="A6" s="360"/>
      <c r="B6" s="361"/>
      <c r="C6" s="3750" t="s">
        <v>1676</v>
      </c>
      <c r="D6" s="3751"/>
      <c r="E6" s="3757" t="s">
        <v>1676</v>
      </c>
      <c r="F6" s="3758"/>
      <c r="G6" s="3750" t="s">
        <v>1676</v>
      </c>
      <c r="H6" s="3751"/>
      <c r="I6" s="3750" t="s">
        <v>1676</v>
      </c>
      <c r="J6" s="3751"/>
      <c r="K6" s="559" t="s">
        <v>1677</v>
      </c>
      <c r="L6" s="2715"/>
      <c r="M6" s="2716"/>
      <c r="N6" s="2716"/>
      <c r="O6" s="2716"/>
      <c r="P6" s="3770"/>
      <c r="Q6" s="3742"/>
      <c r="R6" s="3745"/>
      <c r="S6" s="3746"/>
      <c r="T6" s="3747"/>
      <c r="U6" s="3748"/>
      <c r="V6" s="3749"/>
      <c r="W6" s="3749"/>
      <c r="X6" s="1355"/>
      <c r="Y6" s="3747"/>
      <c r="Z6" s="3748"/>
      <c r="AA6" s="3732"/>
      <c r="AB6" s="3732"/>
      <c r="AC6" s="3766"/>
    </row>
    <row r="7" spans="1:29" s="108" customFormat="1" ht="15.75" thickBot="1">
      <c r="A7" s="362" t="s">
        <v>1678</v>
      </c>
      <c r="B7" s="363"/>
      <c r="C7" s="364">
        <f>'数据-取费表'!B2</f>
        <v>44985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74" t="s">
        <v>1679</v>
      </c>
      <c r="Q7" s="3756"/>
      <c r="R7" s="701" t="s">
        <v>14</v>
      </c>
      <c r="S7" s="702">
        <f t="shared" ref="S7:S15" si="0">F7</f>
        <v>0</v>
      </c>
      <c r="T7" s="701" t="s">
        <v>14</v>
      </c>
      <c r="U7" s="702">
        <f t="shared" ref="U7:U15" si="1">H7</f>
        <v>0</v>
      </c>
      <c r="V7" s="701" t="s">
        <v>14</v>
      </c>
      <c r="W7" s="702">
        <f t="shared" ref="W7:W15" si="2">J7</f>
        <v>0</v>
      </c>
      <c r="X7" s="703"/>
      <c r="Y7" s="3754" t="s">
        <v>1679</v>
      </c>
      <c r="Z7" s="3755"/>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74" t="s">
        <v>1682</v>
      </c>
      <c r="Q8" s="3755"/>
      <c r="R8" s="701" t="s">
        <v>14</v>
      </c>
      <c r="S8" s="702">
        <f t="shared" si="0"/>
        <v>100</v>
      </c>
      <c r="T8" s="701" t="s">
        <v>14</v>
      </c>
      <c r="U8" s="702">
        <f t="shared" si="1"/>
        <v>100</v>
      </c>
      <c r="V8" s="701" t="s">
        <v>14</v>
      </c>
      <c r="W8" s="702">
        <f t="shared" si="2"/>
        <v>100</v>
      </c>
      <c r="X8" s="703"/>
      <c r="Y8" s="3754" t="s">
        <v>1682</v>
      </c>
      <c r="Z8" s="3755"/>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9" t="s">
        <v>1685</v>
      </c>
      <c r="Q9" s="1343" t="str">
        <f t="shared" ref="Q9:Q15" si="6">B9</f>
        <v>用途</v>
      </c>
      <c r="R9" s="701" t="s">
        <v>14</v>
      </c>
      <c r="S9" s="702">
        <f t="shared" si="0"/>
        <v>100</v>
      </c>
      <c r="T9" s="701" t="s">
        <v>14</v>
      </c>
      <c r="U9" s="702">
        <f t="shared" si="1"/>
        <v>100</v>
      </c>
      <c r="V9" s="701" t="s">
        <v>14</v>
      </c>
      <c r="W9" s="702">
        <f t="shared" si="2"/>
        <v>100</v>
      </c>
      <c r="X9" s="703"/>
      <c r="Y9" s="3593" t="s">
        <v>1686</v>
      </c>
      <c r="Z9" s="52" t="str">
        <f t="shared" ref="Z9:Z15" si="7">Q9</f>
        <v>用途</v>
      </c>
      <c r="AA9" s="704">
        <f t="shared" si="3"/>
        <v>1</v>
      </c>
      <c r="AB9" s="704">
        <f t="shared" si="4"/>
        <v>1</v>
      </c>
      <c r="AC9" s="1959">
        <f t="shared" si="5"/>
        <v>1</v>
      </c>
    </row>
    <row r="10" spans="1:29" s="378" customFormat="1" ht="27">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9"/>
      <c r="M10" s="2720"/>
      <c r="N10" s="2720"/>
      <c r="O10" s="2720"/>
      <c r="P10" s="3729"/>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9"/>
      <c r="Q11" s="1343" t="str">
        <f t="shared" si="6"/>
        <v>容积率</v>
      </c>
      <c r="R11" s="701" t="s">
        <v>14</v>
      </c>
      <c r="S11" s="702">
        <f t="shared" si="0"/>
        <v>100</v>
      </c>
      <c r="T11" s="701" t="s">
        <v>14</v>
      </c>
      <c r="U11" s="702">
        <f t="shared" si="1"/>
        <v>100</v>
      </c>
      <c r="V11" s="701" t="s">
        <v>14</v>
      </c>
      <c r="W11" s="702">
        <f t="shared" si="2"/>
        <v>100</v>
      </c>
      <c r="X11" s="703"/>
      <c r="Y11" s="359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9"/>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9"/>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9"/>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7" t="s">
        <v>1690</v>
      </c>
      <c r="Q15" s="1352" t="str">
        <f t="shared" si="6"/>
        <v>办公集聚程度</v>
      </c>
      <c r="R15" s="705" t="s">
        <v>14</v>
      </c>
      <c r="S15" s="706">
        <f t="shared" si="0"/>
        <v>100</v>
      </c>
      <c r="T15" s="705" t="s">
        <v>14</v>
      </c>
      <c r="U15" s="706">
        <f t="shared" si="1"/>
        <v>100</v>
      </c>
      <c r="V15" s="705" t="s">
        <v>14</v>
      </c>
      <c r="W15" s="706">
        <f t="shared" si="2"/>
        <v>100</v>
      </c>
      <c r="X15" s="1355"/>
      <c r="Y15" s="3720"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8"/>
      <c r="Q16" s="1352"/>
      <c r="R16" s="705"/>
      <c r="S16" s="706"/>
      <c r="T16" s="705"/>
      <c r="U16" s="706"/>
      <c r="V16" s="705"/>
      <c r="W16" s="706"/>
      <c r="X16" s="1355"/>
      <c r="Y16" s="3721"/>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8"/>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8"/>
      <c r="Q18" s="1352"/>
      <c r="R18" s="705"/>
      <c r="S18" s="706"/>
      <c r="T18" s="705"/>
      <c r="U18" s="706"/>
      <c r="V18" s="705"/>
      <c r="W18" s="706"/>
      <c r="X18" s="1355"/>
      <c r="Y18" s="3721"/>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8"/>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8"/>
      <c r="Q20" s="1352"/>
      <c r="R20" s="705"/>
      <c r="S20" s="706"/>
      <c r="T20" s="705"/>
      <c r="U20" s="706"/>
      <c r="V20" s="705"/>
      <c r="W20" s="706"/>
      <c r="X20" s="1355"/>
      <c r="Y20" s="3721"/>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8"/>
      <c r="Q22" s="1352"/>
      <c r="R22" s="705"/>
      <c r="S22" s="706"/>
      <c r="T22" s="705"/>
      <c r="U22" s="706"/>
      <c r="V22" s="705"/>
      <c r="W22" s="706"/>
      <c r="X22" s="1355"/>
      <c r="Y22" s="3721"/>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8"/>
      <c r="Q23" s="1352" t="str">
        <f>B23</f>
        <v>环境质量</v>
      </c>
      <c r="R23" s="705" t="s">
        <v>14</v>
      </c>
      <c r="S23" s="706">
        <f>F23</f>
        <v>100</v>
      </c>
      <c r="T23" s="705" t="s">
        <v>14</v>
      </c>
      <c r="U23" s="706">
        <f>H23</f>
        <v>100</v>
      </c>
      <c r="V23" s="705" t="s">
        <v>14</v>
      </c>
      <c r="W23" s="706">
        <f>J23</f>
        <v>100</v>
      </c>
      <c r="X23" s="1355"/>
      <c r="Y23" s="372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8"/>
      <c r="Q24" s="1352"/>
      <c r="R24" s="705"/>
      <c r="S24" s="706"/>
      <c r="T24" s="705"/>
      <c r="U24" s="706"/>
      <c r="V24" s="705"/>
      <c r="W24" s="706"/>
      <c r="X24" s="1355"/>
      <c r="Y24" s="3721"/>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8"/>
      <c r="Q25" s="1352" t="str">
        <f>B25</f>
        <v>毗邻道路的类型与等级</v>
      </c>
      <c r="R25" s="705" t="s">
        <v>14</v>
      </c>
      <c r="S25" s="706">
        <f>F25</f>
        <v>100</v>
      </c>
      <c r="T25" s="705" t="s">
        <v>14</v>
      </c>
      <c r="U25" s="706">
        <f>H25</f>
        <v>100</v>
      </c>
      <c r="V25" s="705" t="s">
        <v>14</v>
      </c>
      <c r="W25" s="706">
        <f>J25</f>
        <v>100</v>
      </c>
      <c r="X25" s="1355"/>
      <c r="Y25" s="372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8"/>
      <c r="Q26" s="1352"/>
      <c r="R26" s="705"/>
      <c r="S26" s="706"/>
      <c r="T26" s="705"/>
      <c r="U26" s="706"/>
      <c r="V26" s="705"/>
      <c r="W26" s="706"/>
      <c r="X26" s="1355"/>
      <c r="Y26" s="3721"/>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8"/>
      <c r="Q27" s="1352" t="str">
        <f t="shared" ref="Q27:Q47" si="11">B27</f>
        <v>楼层</v>
      </c>
      <c r="R27" s="705" t="s">
        <v>14</v>
      </c>
      <c r="S27" s="706">
        <f>F27</f>
        <v>100</v>
      </c>
      <c r="T27" s="705" t="s">
        <v>14</v>
      </c>
      <c r="U27" s="706">
        <f>H27</f>
        <v>100</v>
      </c>
      <c r="V27" s="705" t="s">
        <v>14</v>
      </c>
      <c r="W27" s="706">
        <f>J27</f>
        <v>100</v>
      </c>
      <c r="X27" s="1355"/>
      <c r="Y27" s="3721"/>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8"/>
      <c r="Q28" s="1343" t="str">
        <f t="shared" si="11"/>
        <v>朝向</v>
      </c>
      <c r="R28" s="701" t="s">
        <v>14</v>
      </c>
      <c r="S28" s="702">
        <f>F28</f>
        <v>100</v>
      </c>
      <c r="T28" s="701" t="s">
        <v>14</v>
      </c>
      <c r="U28" s="702">
        <f>H28</f>
        <v>100</v>
      </c>
      <c r="V28" s="701" t="s">
        <v>14</v>
      </c>
      <c r="W28" s="702">
        <f>J28</f>
        <v>100</v>
      </c>
      <c r="X28" s="703"/>
      <c r="Y28" s="372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8"/>
      <c r="Q29" s="1352">
        <f t="shared" si="11"/>
        <v>111</v>
      </c>
      <c r="R29" s="705" t="s">
        <v>14</v>
      </c>
      <c r="S29" s="706">
        <f t="shared" ref="S29:S47" si="12">F29</f>
        <v>100</v>
      </c>
      <c r="T29" s="705" t="s">
        <v>14</v>
      </c>
      <c r="U29" s="706">
        <f t="shared" ref="U29:U47" si="13">H29</f>
        <v>100</v>
      </c>
      <c r="V29" s="705" t="s">
        <v>14</v>
      </c>
      <c r="W29" s="706">
        <f t="shared" ref="W29:W47" si="14">J29</f>
        <v>100</v>
      </c>
      <c r="X29" s="1355"/>
      <c r="Y29" s="372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8"/>
      <c r="Q30" s="1352">
        <f t="shared" si="11"/>
        <v>111</v>
      </c>
      <c r="R30" s="705" t="s">
        <v>14</v>
      </c>
      <c r="S30" s="706">
        <f t="shared" si="12"/>
        <v>100</v>
      </c>
      <c r="T30" s="705" t="s">
        <v>14</v>
      </c>
      <c r="U30" s="706">
        <f t="shared" si="13"/>
        <v>100</v>
      </c>
      <c r="V30" s="705" t="s">
        <v>14</v>
      </c>
      <c r="W30" s="706">
        <f t="shared" si="14"/>
        <v>100</v>
      </c>
      <c r="X30" s="1355"/>
      <c r="Y30" s="372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8"/>
      <c r="Q31" s="1352">
        <f t="shared" si="11"/>
        <v>111</v>
      </c>
      <c r="R31" s="705" t="s">
        <v>14</v>
      </c>
      <c r="S31" s="706">
        <f t="shared" si="12"/>
        <v>100</v>
      </c>
      <c r="T31" s="705" t="s">
        <v>14</v>
      </c>
      <c r="U31" s="706">
        <f t="shared" si="13"/>
        <v>100</v>
      </c>
      <c r="V31" s="705" t="s">
        <v>14</v>
      </c>
      <c r="W31" s="706">
        <f t="shared" si="14"/>
        <v>100</v>
      </c>
      <c r="X31" s="1355"/>
      <c r="Y31" s="372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8"/>
      <c r="Q32" s="1352">
        <f t="shared" si="11"/>
        <v>111</v>
      </c>
      <c r="R32" s="705" t="s">
        <v>14</v>
      </c>
      <c r="S32" s="706">
        <f t="shared" si="12"/>
        <v>100</v>
      </c>
      <c r="T32" s="705" t="s">
        <v>14</v>
      </c>
      <c r="U32" s="706">
        <f t="shared" si="13"/>
        <v>100</v>
      </c>
      <c r="V32" s="705" t="s">
        <v>14</v>
      </c>
      <c r="W32" s="706">
        <f t="shared" si="14"/>
        <v>100</v>
      </c>
      <c r="X32" s="1355"/>
      <c r="Y32" s="3721"/>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2" t="s">
        <v>1695</v>
      </c>
      <c r="Q33" s="1352" t="str">
        <f t="shared" si="11"/>
        <v>建筑类型</v>
      </c>
      <c r="R33" s="705" t="s">
        <v>14</v>
      </c>
      <c r="S33" s="706">
        <f t="shared" si="12"/>
        <v>100</v>
      </c>
      <c r="T33" s="705" t="s">
        <v>14</v>
      </c>
      <c r="U33" s="706">
        <f t="shared" si="13"/>
        <v>100</v>
      </c>
      <c r="V33" s="705" t="s">
        <v>14</v>
      </c>
      <c r="W33" s="706">
        <f t="shared" si="14"/>
        <v>100</v>
      </c>
      <c r="X33" s="1355"/>
      <c r="Y33" s="3725"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3"/>
      <c r="Q34" s="707" t="str">
        <f t="shared" si="11"/>
        <v>项目建筑规模</v>
      </c>
      <c r="R34" s="708" t="s">
        <v>14</v>
      </c>
      <c r="S34" s="709" t="e">
        <f t="shared" si="12"/>
        <v>#N/A</v>
      </c>
      <c r="T34" s="708" t="s">
        <v>14</v>
      </c>
      <c r="U34" s="709" t="e">
        <f t="shared" si="13"/>
        <v>#N/A</v>
      </c>
      <c r="V34" s="708" t="s">
        <v>14</v>
      </c>
      <c r="W34" s="709" t="e">
        <f t="shared" si="14"/>
        <v>#N/A</v>
      </c>
      <c r="X34" s="710"/>
      <c r="Y34" s="3725"/>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3"/>
      <c r="Q35" s="1352" t="str">
        <f t="shared" si="11"/>
        <v>建筑结构</v>
      </c>
      <c r="R35" s="705" t="s">
        <v>14</v>
      </c>
      <c r="S35" s="706">
        <f t="shared" si="12"/>
        <v>100</v>
      </c>
      <c r="T35" s="705" t="s">
        <v>14</v>
      </c>
      <c r="U35" s="706">
        <f t="shared" si="13"/>
        <v>100</v>
      </c>
      <c r="V35" s="705" t="s">
        <v>14</v>
      </c>
      <c r="W35" s="706">
        <f t="shared" si="14"/>
        <v>100</v>
      </c>
      <c r="X35" s="1355"/>
      <c r="Y35" s="3725"/>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3"/>
      <c r="Q36" s="1352" t="str">
        <f t="shared" si="11"/>
        <v>公共部分装修</v>
      </c>
      <c r="R36" s="705" t="s">
        <v>14</v>
      </c>
      <c r="S36" s="706">
        <f t="shared" si="12"/>
        <v>100</v>
      </c>
      <c r="T36" s="705" t="s">
        <v>14</v>
      </c>
      <c r="U36" s="706">
        <f t="shared" si="13"/>
        <v>100</v>
      </c>
      <c r="V36" s="705" t="s">
        <v>14</v>
      </c>
      <c r="W36" s="706">
        <f t="shared" si="14"/>
        <v>100</v>
      </c>
      <c r="X36" s="1355"/>
      <c r="Y36" s="3725"/>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3"/>
      <c r="Q37" s="1352" t="str">
        <f t="shared" si="11"/>
        <v>成新度</v>
      </c>
      <c r="R37" s="705" t="s">
        <v>14</v>
      </c>
      <c r="S37" s="706" t="e">
        <f t="shared" si="12"/>
        <v>#N/A</v>
      </c>
      <c r="T37" s="705" t="s">
        <v>14</v>
      </c>
      <c r="U37" s="706" t="e">
        <f t="shared" si="13"/>
        <v>#N/A</v>
      </c>
      <c r="V37" s="705" t="s">
        <v>14</v>
      </c>
      <c r="W37" s="706" t="e">
        <f t="shared" si="14"/>
        <v>#N/A</v>
      </c>
      <c r="X37" s="1355"/>
      <c r="Y37" s="3725"/>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3"/>
      <c r="Q38" s="1343" t="str">
        <f t="shared" si="11"/>
        <v>写字楼等级</v>
      </c>
      <c r="R38" s="701" t="s">
        <v>14</v>
      </c>
      <c r="S38" s="702">
        <f t="shared" si="12"/>
        <v>100</v>
      </c>
      <c r="T38" s="701" t="s">
        <v>14</v>
      </c>
      <c r="U38" s="702">
        <f t="shared" si="13"/>
        <v>100</v>
      </c>
      <c r="V38" s="701" t="s">
        <v>14</v>
      </c>
      <c r="W38" s="702">
        <f t="shared" si="14"/>
        <v>100</v>
      </c>
      <c r="X38" s="703"/>
      <c r="Y38" s="3725"/>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3" t="s">
        <v>1695</v>
      </c>
      <c r="Q39" s="1352" t="str">
        <f t="shared" si="11"/>
        <v>物业管理</v>
      </c>
      <c r="R39" s="705" t="s">
        <v>14</v>
      </c>
      <c r="S39" s="706">
        <f t="shared" si="12"/>
        <v>100</v>
      </c>
      <c r="T39" s="705" t="s">
        <v>14</v>
      </c>
      <c r="U39" s="706">
        <f t="shared" si="13"/>
        <v>100</v>
      </c>
      <c r="V39" s="705" t="s">
        <v>14</v>
      </c>
      <c r="W39" s="706">
        <f t="shared" si="14"/>
        <v>100</v>
      </c>
      <c r="X39" s="1355"/>
      <c r="Y39" s="3725"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3"/>
      <c r="Q40" s="1352" t="str">
        <f t="shared" si="11"/>
        <v>市政基础设施</v>
      </c>
      <c r="R40" s="705" t="s">
        <v>14</v>
      </c>
      <c r="S40" s="706">
        <f t="shared" si="12"/>
        <v>100</v>
      </c>
      <c r="T40" s="705" t="s">
        <v>14</v>
      </c>
      <c r="U40" s="706">
        <f t="shared" si="13"/>
        <v>100</v>
      </c>
      <c r="V40" s="705" t="s">
        <v>14</v>
      </c>
      <c r="W40" s="706">
        <f t="shared" si="14"/>
        <v>100</v>
      </c>
      <c r="X40" s="1355"/>
      <c r="Y40" s="3725"/>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3"/>
      <c r="Q41" s="1352" t="str">
        <f t="shared" si="11"/>
        <v>层高</v>
      </c>
      <c r="R41" s="705" t="s">
        <v>14</v>
      </c>
      <c r="S41" s="706">
        <f t="shared" si="12"/>
        <v>100</v>
      </c>
      <c r="T41" s="705" t="s">
        <v>14</v>
      </c>
      <c r="U41" s="706">
        <f t="shared" si="13"/>
        <v>100</v>
      </c>
      <c r="V41" s="705" t="s">
        <v>14</v>
      </c>
      <c r="W41" s="706">
        <f t="shared" si="14"/>
        <v>100</v>
      </c>
      <c r="X41" s="1355"/>
      <c r="Y41" s="3725"/>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3"/>
      <c r="Q42" s="707" t="str">
        <f t="shared" si="11"/>
        <v>单套建筑面积</v>
      </c>
      <c r="R42" s="708" t="s">
        <v>14</v>
      </c>
      <c r="S42" s="709">
        <f t="shared" si="12"/>
        <v>100</v>
      </c>
      <c r="T42" s="708" t="s">
        <v>14</v>
      </c>
      <c r="U42" s="709">
        <f t="shared" si="13"/>
        <v>100</v>
      </c>
      <c r="V42" s="708" t="s">
        <v>14</v>
      </c>
      <c r="W42" s="709">
        <f t="shared" si="14"/>
        <v>100</v>
      </c>
      <c r="X42" s="710"/>
      <c r="Y42" s="3725"/>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3"/>
      <c r="Q43" s="1352" t="str">
        <f t="shared" si="11"/>
        <v>内部装修</v>
      </c>
      <c r="R43" s="705" t="s">
        <v>14</v>
      </c>
      <c r="S43" s="706">
        <f t="shared" si="12"/>
        <v>100</v>
      </c>
      <c r="T43" s="705" t="s">
        <v>14</v>
      </c>
      <c r="U43" s="706">
        <f t="shared" si="13"/>
        <v>100</v>
      </c>
      <c r="V43" s="705" t="s">
        <v>14</v>
      </c>
      <c r="W43" s="706">
        <f t="shared" si="14"/>
        <v>100</v>
      </c>
      <c r="X43" s="1355"/>
      <c r="Y43" s="3725"/>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3"/>
      <c r="Q44" s="1352" t="str">
        <f t="shared" si="11"/>
        <v>内部装修维护情况</v>
      </c>
      <c r="R44" s="705" t="s">
        <v>14</v>
      </c>
      <c r="S44" s="706">
        <f t="shared" si="12"/>
        <v>100</v>
      </c>
      <c r="T44" s="705" t="s">
        <v>14</v>
      </c>
      <c r="U44" s="706">
        <f t="shared" si="13"/>
        <v>100</v>
      </c>
      <c r="V44" s="705" t="s">
        <v>14</v>
      </c>
      <c r="W44" s="706">
        <f t="shared" si="14"/>
        <v>100</v>
      </c>
      <c r="X44" s="1355"/>
      <c r="Y44" s="372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3"/>
      <c r="Q45" s="1343">
        <f t="shared" si="11"/>
        <v>111</v>
      </c>
      <c r="R45" s="701" t="s">
        <v>14</v>
      </c>
      <c r="S45" s="702">
        <f t="shared" si="12"/>
        <v>100</v>
      </c>
      <c r="T45" s="701" t="s">
        <v>14</v>
      </c>
      <c r="U45" s="702">
        <f t="shared" si="13"/>
        <v>100</v>
      </c>
      <c r="V45" s="701" t="s">
        <v>14</v>
      </c>
      <c r="W45" s="702">
        <f t="shared" si="14"/>
        <v>100</v>
      </c>
      <c r="X45" s="703"/>
      <c r="Y45" s="372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4"/>
      <c r="Q47" s="1352">
        <f t="shared" si="11"/>
        <v>111</v>
      </c>
      <c r="R47" s="705" t="s">
        <v>14</v>
      </c>
      <c r="S47" s="706">
        <f t="shared" si="12"/>
        <v>100</v>
      </c>
      <c r="T47" s="705" t="s">
        <v>14</v>
      </c>
      <c r="U47" s="706">
        <f t="shared" si="13"/>
        <v>100</v>
      </c>
      <c r="V47" s="705" t="s">
        <v>14</v>
      </c>
      <c r="W47" s="706">
        <f t="shared" si="14"/>
        <v>100</v>
      </c>
      <c r="X47" s="1355"/>
      <c r="Y47" s="3726"/>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4"/>
      <c r="M48" s="2716"/>
      <c r="N48" s="2716"/>
      <c r="O48" s="2716"/>
      <c r="P48" s="3729" t="str">
        <f>A48</f>
        <v>成交单价（元/平方米）</v>
      </c>
      <c r="Q48" s="3718"/>
      <c r="R48" s="3719">
        <f>E48</f>
        <v>0</v>
      </c>
      <c r="S48" s="3719"/>
      <c r="T48" s="3719">
        <f>G48</f>
        <v>0</v>
      </c>
      <c r="U48" s="3719"/>
      <c r="V48" s="3719">
        <f>I48</f>
        <v>0</v>
      </c>
      <c r="W48" s="3719"/>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29" t="str">
        <f>A49</f>
        <v>比较价值（元/平方米）</v>
      </c>
      <c r="Q49" s="3718"/>
      <c r="R49" s="3719" t="e">
        <f>IF(F1="售价",ROUND(PRODUCT(R48,AA7:AA47),0),ROUND(PRODUCT(R48,AA7:AA47),1))</f>
        <v>#DIV/0!</v>
      </c>
      <c r="S49" s="3719"/>
      <c r="T49" s="3719" t="e">
        <f>IF(F1="售价",ROUND(PRODUCT(T48,AB7:AB47),0),ROUND(PRODUCT(T48,AB7:AB47),1))</f>
        <v>#DIV/0!</v>
      </c>
      <c r="U49" s="3719"/>
      <c r="V49" s="3719" t="e">
        <f>IF(F1="售价",ROUND(PRODUCT(V48,AC7:AC47),0),ROUND(PRODUCT(V48,AC7:AC47),1))</f>
        <v>#DIV/0!</v>
      </c>
      <c r="W49" s="3719"/>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4"/>
      <c r="M50" s="2716"/>
      <c r="N50" s="2716"/>
      <c r="O50" s="2716"/>
      <c r="P50" s="3761" t="str">
        <f>A50</f>
        <v>估价对象XX用房的比较价值（楼面单价，元/平方米）</v>
      </c>
      <c r="Q50" s="3762"/>
      <c r="R50" s="3763" t="e">
        <f>IF(F1="售价",ROUND(IF(D49="简单平均",AVERAGE(R49:V49),R49*F49+T49*H49+V49*J49),0),ROUND(IF(D49="简单平均",AVERAGE(R49:V49),R49*F49+T49*H49+V49*J49),1))</f>
        <v>#DIV/0!</v>
      </c>
      <c r="S50" s="3763"/>
      <c r="T50" s="3763"/>
      <c r="U50" s="3763"/>
      <c r="V50" s="3763"/>
      <c r="W50" s="376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5"/>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5"/>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5"/>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5"/>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6"/>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6"/>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5"/>
      <c r="Q57" s="2725"/>
      <c r="R57" s="2725"/>
      <c r="S57" s="2725"/>
      <c r="T57" s="2725"/>
      <c r="U57" s="2725"/>
      <c r="V57" s="2725"/>
      <c r="W57" s="2725"/>
      <c r="X57" s="2725"/>
      <c r="Y57" s="2725"/>
      <c r="Z57" s="2725"/>
      <c r="AA57" s="2725"/>
      <c r="AB57" s="2725"/>
      <c r="AC57" s="2725"/>
    </row>
    <row r="58" spans="1:29" ht="21.75" thickBot="1">
      <c r="A58" s="694" t="s">
        <v>1797</v>
      </c>
      <c r="B58" s="690"/>
      <c r="C58" s="695"/>
      <c r="D58" s="695"/>
      <c r="E58" s="695"/>
      <c r="F58" s="696"/>
      <c r="G58" s="696"/>
      <c r="H58" s="695"/>
      <c r="I58" s="695"/>
      <c r="J58" s="695"/>
      <c r="K58" s="697"/>
      <c r="L58" s="942"/>
      <c r="M58" s="940"/>
      <c r="N58" s="2768"/>
      <c r="O58" s="2768"/>
      <c r="P58" s="2757"/>
      <c r="Q58" s="2739"/>
      <c r="R58" s="2725"/>
      <c r="S58" s="2725"/>
      <c r="T58" s="2725"/>
      <c r="U58" s="2725"/>
      <c r="V58" s="2725"/>
      <c r="W58" s="2725"/>
      <c r="X58" s="2725"/>
      <c r="Y58" s="2725"/>
      <c r="Z58" s="2725"/>
      <c r="AA58" s="2725"/>
      <c r="AB58" s="2725"/>
      <c r="AC58" s="2725"/>
    </row>
    <row r="59" spans="1:29" s="457" customFormat="1" ht="15">
      <c r="A59" s="454" t="s">
        <v>1678</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1715</v>
      </c>
      <c r="B61" s="465"/>
      <c r="C61" s="466"/>
      <c r="D61" s="467"/>
      <c r="E61" s="467"/>
      <c r="F61" s="467"/>
      <c r="G61" s="467"/>
      <c r="H61" s="467"/>
      <c r="I61" s="467"/>
      <c r="J61" s="467"/>
      <c r="K61" s="467"/>
      <c r="L61" s="467"/>
      <c r="M61" s="468"/>
      <c r="N61" s="467"/>
      <c r="O61" s="468"/>
      <c r="P61" s="2759"/>
      <c r="Q61" s="2739"/>
      <c r="R61" s="2661"/>
      <c r="S61" s="2661"/>
      <c r="T61" s="2661"/>
      <c r="U61" s="2661"/>
      <c r="V61" s="2661"/>
      <c r="W61" s="2661"/>
      <c r="X61" s="2661"/>
      <c r="Y61" s="2661"/>
      <c r="Z61" s="2661"/>
      <c r="AA61" s="2661"/>
      <c r="AB61" s="2661"/>
      <c r="AC61" s="2661"/>
    </row>
    <row r="62" spans="1:29" s="108" customFormat="1" ht="15">
      <c r="A62" s="470" t="s">
        <v>1680</v>
      </c>
      <c r="B62" s="459"/>
      <c r="C62" s="471" t="s">
        <v>1775</v>
      </c>
      <c r="D62" s="472"/>
      <c r="E62" s="472"/>
      <c r="F62" s="472"/>
      <c r="G62" s="472"/>
      <c r="H62" s="472"/>
      <c r="I62" s="472"/>
      <c r="J62" s="472"/>
      <c r="K62" s="472"/>
      <c r="L62" s="473"/>
      <c r="M62" s="474"/>
      <c r="N62" s="2751"/>
      <c r="O62" s="2751"/>
      <c r="P62" s="2760"/>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9"/>
      <c r="R63" s="2661"/>
      <c r="S63" s="2661"/>
      <c r="T63" s="2661"/>
      <c r="U63" s="2661"/>
      <c r="V63" s="2661"/>
      <c r="W63" s="2661"/>
      <c r="X63" s="2661"/>
      <c r="Y63" s="2661"/>
      <c r="Z63" s="2661"/>
      <c r="AA63" s="2661"/>
      <c r="AB63" s="2661"/>
      <c r="AC63" s="2661"/>
    </row>
    <row r="64" spans="1:29">
      <c r="A64" s="476" t="s">
        <v>1718</v>
      </c>
      <c r="B64" s="477" t="s">
        <v>1684</v>
      </c>
      <c r="C64" s="478">
        <f>C9</f>
        <v>0</v>
      </c>
      <c r="D64" s="479"/>
      <c r="E64" s="479"/>
      <c r="F64" s="479"/>
      <c r="G64" s="479"/>
      <c r="H64" s="479"/>
      <c r="I64" s="479"/>
      <c r="J64" s="479"/>
      <c r="K64" s="480"/>
      <c r="L64" s="481"/>
      <c r="M64" s="482"/>
      <c r="N64" s="2752"/>
      <c r="O64" s="2752"/>
      <c r="P64" s="2761"/>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3"/>
      <c r="O65" s="2753"/>
      <c r="P65" s="2761"/>
      <c r="Q65" s="2739"/>
      <c r="R65" s="2725"/>
      <c r="S65" s="2725"/>
      <c r="T65" s="2725"/>
      <c r="U65" s="2725"/>
      <c r="V65" s="2725"/>
      <c r="W65" s="2725"/>
      <c r="X65" s="2725"/>
      <c r="Y65" s="2725"/>
      <c r="Z65" s="2725"/>
      <c r="AA65" s="2725"/>
      <c r="AB65" s="2725"/>
      <c r="AC65" s="2725"/>
    </row>
    <row r="66" spans="1:29" ht="27.75" thickTop="1">
      <c r="A66" s="483"/>
      <c r="B66" s="487" t="s">
        <v>1687</v>
      </c>
      <c r="C66" s="532"/>
      <c r="D66" s="532"/>
      <c r="E66" s="532"/>
      <c r="F66" s="532"/>
      <c r="G66" s="532"/>
      <c r="H66" s="532"/>
      <c r="I66" s="532"/>
      <c r="J66" s="532"/>
      <c r="K66" s="533"/>
      <c r="L66" s="534"/>
      <c r="M66" s="535"/>
      <c r="N66" s="2752"/>
      <c r="O66" s="2752"/>
      <c r="P66" s="2761"/>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3"/>
      <c r="O67" s="2753"/>
      <c r="P67" s="2761"/>
      <c r="Q67" s="2739"/>
      <c r="R67" s="2725"/>
      <c r="S67" s="2725"/>
      <c r="T67" s="2725"/>
      <c r="U67" s="2725"/>
      <c r="V67" s="2725"/>
      <c r="W67" s="2725"/>
      <c r="X67" s="2725"/>
      <c r="Y67" s="2725"/>
      <c r="Z67" s="2725"/>
      <c r="AA67" s="2725"/>
      <c r="AB67" s="2725"/>
      <c r="AC67" s="2725"/>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2"/>
      <c r="O69" s="2752"/>
      <c r="P69" s="2761"/>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9"/>
      <c r="R78" s="2725"/>
      <c r="S78" s="2725"/>
      <c r="T78" s="2725"/>
      <c r="U78" s="2725"/>
      <c r="V78" s="2725"/>
      <c r="W78" s="2725"/>
      <c r="X78" s="2725"/>
      <c r="Y78" s="2725"/>
      <c r="Z78" s="2725"/>
      <c r="AA78" s="2725"/>
      <c r="AB78" s="2725"/>
      <c r="AC78" s="2725"/>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9"/>
      <c r="R80" s="2725"/>
      <c r="S80" s="2725"/>
      <c r="T80" s="2725"/>
      <c r="U80" s="2725"/>
      <c r="V80" s="2725"/>
      <c r="W80" s="2725"/>
      <c r="X80" s="2725"/>
      <c r="Y80" s="2725"/>
      <c r="Z80" s="2725"/>
      <c r="AA80" s="2725"/>
      <c r="AB80" s="2725"/>
      <c r="AC80" s="2725"/>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9"/>
      <c r="R82" s="2725"/>
      <c r="S82" s="2725"/>
      <c r="T82" s="2725"/>
      <c r="U82" s="2725"/>
      <c r="V82" s="2725"/>
      <c r="W82" s="2725"/>
      <c r="X82" s="2725"/>
      <c r="Y82" s="2725"/>
      <c r="Z82" s="2725"/>
      <c r="AA82" s="2725"/>
      <c r="AB82" s="2725"/>
      <c r="AC82" s="2725"/>
    </row>
    <row r="83" spans="1:29" ht="15.7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9"/>
      <c r="R84" s="2725"/>
      <c r="S84" s="2725"/>
      <c r="T84" s="2725"/>
      <c r="U84" s="2725"/>
      <c r="V84" s="2725"/>
      <c r="W84" s="2725"/>
      <c r="X84" s="2725"/>
      <c r="Y84" s="2725"/>
      <c r="Z84" s="2725"/>
      <c r="AA84" s="2725"/>
      <c r="AB84" s="2725"/>
      <c r="AC84" s="2725"/>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9"/>
      <c r="R86" s="2725"/>
      <c r="S86" s="2725"/>
      <c r="T86" s="2725"/>
      <c r="U86" s="2725"/>
      <c r="V86" s="2725"/>
      <c r="W86" s="2725"/>
      <c r="X86" s="2725"/>
      <c r="Y86" s="2725"/>
      <c r="Z86" s="2725"/>
      <c r="AA86" s="2725"/>
      <c r="AB86" s="2725"/>
      <c r="AC86" s="2725"/>
    </row>
    <row r="87" spans="1:29" s="108" customFormat="1" ht="27.75" thickTop="1">
      <c r="A87" s="528"/>
      <c r="B87" s="487" t="s">
        <v>1822</v>
      </c>
      <c r="C87" s="503"/>
      <c r="D87" s="503"/>
      <c r="E87" s="503"/>
      <c r="F87" s="503"/>
      <c r="G87" s="503"/>
      <c r="H87" s="503"/>
      <c r="I87" s="503"/>
      <c r="J87" s="503"/>
      <c r="K87" s="503"/>
      <c r="L87" s="529"/>
      <c r="M87" s="530"/>
      <c r="N87" s="2751"/>
      <c r="O87" s="2751"/>
      <c r="P87" s="2761"/>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3"/>
      <c r="O94" s="2753"/>
      <c r="P94" s="2761"/>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2"/>
      <c r="O95" s="2752"/>
      <c r="P95" s="2761"/>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3"/>
      <c r="O96" s="2753"/>
      <c r="P96" s="2761"/>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2"/>
      <c r="O97" s="2752"/>
      <c r="P97" s="2761"/>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3"/>
      <c r="O98" s="2753"/>
      <c r="P98" s="2761"/>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2"/>
      <c r="O99" s="2752"/>
      <c r="P99" s="2761"/>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3"/>
      <c r="O100" s="2753"/>
      <c r="P100" s="2761"/>
      <c r="Q100" s="2739"/>
      <c r="R100" s="2725"/>
      <c r="S100" s="2725"/>
      <c r="T100" s="2725"/>
      <c r="U100" s="2725"/>
      <c r="V100" s="2725"/>
      <c r="W100" s="2725"/>
      <c r="X100" s="2725"/>
      <c r="Y100" s="2725"/>
      <c r="Z100" s="2725"/>
      <c r="AA100" s="2725"/>
      <c r="AB100" s="2725"/>
      <c r="AC100" s="2725"/>
    </row>
    <row r="101" spans="1:29">
      <c r="A101" s="476" t="s">
        <v>1693</v>
      </c>
      <c r="B101" s="477" t="s">
        <v>1735</v>
      </c>
      <c r="C101" s="479"/>
      <c r="D101" s="479"/>
      <c r="E101" s="479"/>
      <c r="F101" s="479"/>
      <c r="G101" s="479"/>
      <c r="H101" s="479"/>
      <c r="I101" s="479"/>
      <c r="J101" s="479"/>
      <c r="K101" s="480"/>
      <c r="L101" s="481"/>
      <c r="M101" s="482"/>
      <c r="N101" s="2752"/>
      <c r="O101" s="2752"/>
      <c r="P101" s="2761"/>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9"/>
      <c r="R102" s="2725"/>
      <c r="S102" s="2725"/>
      <c r="T102" s="2725"/>
      <c r="U102" s="2725"/>
      <c r="V102" s="2725"/>
      <c r="W102" s="2725"/>
      <c r="X102" s="2725"/>
      <c r="Y102" s="2725"/>
      <c r="Z102" s="2725"/>
      <c r="AA102" s="2725"/>
      <c r="AB102" s="2725"/>
      <c r="AC102" s="2725"/>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2"/>
      <c r="O108" s="2752"/>
      <c r="P108" s="2761"/>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9"/>
      <c r="R109" s="2725"/>
      <c r="S109" s="2725"/>
      <c r="T109" s="2725"/>
      <c r="U109" s="2725"/>
      <c r="V109" s="2725"/>
      <c r="W109" s="2725"/>
      <c r="X109" s="2725"/>
      <c r="Y109" s="2725"/>
      <c r="Z109" s="2725"/>
      <c r="AA109" s="2725"/>
      <c r="AB109" s="2725"/>
      <c r="AC109" s="2725"/>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2"/>
      <c r="O117" s="2752"/>
      <c r="P117" s="2761"/>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3"/>
      <c r="O119" s="2753"/>
      <c r="P119" s="2766"/>
      <c r="Q119" s="2767"/>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9"/>
      <c r="R124" s="2725"/>
      <c r="S124" s="2725"/>
      <c r="T124" s="2725"/>
      <c r="U124" s="2725"/>
      <c r="V124" s="2725"/>
      <c r="W124" s="2725"/>
      <c r="X124" s="2725"/>
      <c r="Y124" s="2725"/>
      <c r="Z124" s="2725"/>
      <c r="AA124" s="2725"/>
      <c r="AB124" s="2725"/>
      <c r="AC124" s="2725"/>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3"/>
      <c r="O130" s="2753"/>
      <c r="P130" s="2761"/>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2"/>
      <c r="O131" s="2752"/>
      <c r="P131" s="2761"/>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3"/>
      <c r="O132" s="2753"/>
      <c r="P132" s="2761"/>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51957.049999999996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33" t="s">
        <v>1769</v>
      </c>
      <c r="D4" s="3734"/>
      <c r="E4" s="3735" t="s">
        <v>1770</v>
      </c>
      <c r="F4" s="3736"/>
      <c r="G4" s="3733" t="s">
        <v>1771</v>
      </c>
      <c r="H4" s="3734"/>
      <c r="I4" s="3733" t="s">
        <v>1772</v>
      </c>
      <c r="J4" s="3734"/>
      <c r="K4" s="559" t="s">
        <v>1773</v>
      </c>
      <c r="L4" s="913"/>
      <c r="M4" s="914"/>
      <c r="N4" s="914"/>
      <c r="O4" s="914"/>
      <c r="P4" s="3737" t="s">
        <v>1774</v>
      </c>
      <c r="Q4" s="3738"/>
      <c r="R4" s="3743" t="s">
        <v>1770</v>
      </c>
      <c r="S4" s="3744"/>
      <c r="T4" s="3743" t="s">
        <v>1771</v>
      </c>
      <c r="U4" s="3744"/>
      <c r="V4" s="3749" t="s">
        <v>1772</v>
      </c>
      <c r="W4" s="3749"/>
      <c r="X4" s="1355"/>
      <c r="Y4" s="3743" t="s">
        <v>1774</v>
      </c>
      <c r="Z4" s="3744"/>
      <c r="AA4" s="3730" t="s">
        <v>1770</v>
      </c>
      <c r="AB4" s="3731" t="s">
        <v>1771</v>
      </c>
      <c r="AC4" s="3730" t="s">
        <v>1772</v>
      </c>
    </row>
    <row r="5" spans="1:29" ht="15">
      <c r="A5" s="358"/>
      <c r="B5" s="359"/>
      <c r="C5" s="3752" t="s">
        <v>1672</v>
      </c>
      <c r="D5" s="3753"/>
      <c r="E5" s="3759" t="s">
        <v>1673</v>
      </c>
      <c r="F5" s="3760"/>
      <c r="G5" s="3752" t="s">
        <v>1674</v>
      </c>
      <c r="H5" s="3753"/>
      <c r="I5" s="3752" t="s">
        <v>1675</v>
      </c>
      <c r="J5" s="3753"/>
      <c r="K5" s="559"/>
      <c r="L5" s="913"/>
      <c r="M5" s="914"/>
      <c r="N5" s="914"/>
      <c r="O5" s="914"/>
      <c r="P5" s="3739"/>
      <c r="Q5" s="3740"/>
      <c r="R5" s="3745"/>
      <c r="S5" s="3746"/>
      <c r="T5" s="3745"/>
      <c r="U5" s="3746"/>
      <c r="V5" s="3749"/>
      <c r="W5" s="3749"/>
      <c r="X5" s="1355"/>
      <c r="Y5" s="3745"/>
      <c r="Z5" s="3746"/>
      <c r="AA5" s="3731"/>
      <c r="AB5" s="3731"/>
      <c r="AC5" s="3731"/>
    </row>
    <row r="6" spans="1:29" ht="15.75" thickBot="1">
      <c r="A6" s="360"/>
      <c r="B6" s="361"/>
      <c r="C6" s="3750" t="s">
        <v>1676</v>
      </c>
      <c r="D6" s="3751"/>
      <c r="E6" s="3757" t="s">
        <v>1676</v>
      </c>
      <c r="F6" s="3758"/>
      <c r="G6" s="3750" t="s">
        <v>1676</v>
      </c>
      <c r="H6" s="3751"/>
      <c r="I6" s="3750" t="s">
        <v>1676</v>
      </c>
      <c r="J6" s="3751"/>
      <c r="K6" s="559" t="s">
        <v>1677</v>
      </c>
      <c r="L6" s="913"/>
      <c r="M6" s="914"/>
      <c r="N6" s="914"/>
      <c r="O6" s="914"/>
      <c r="P6" s="3741"/>
      <c r="Q6" s="3742"/>
      <c r="R6" s="3745"/>
      <c r="S6" s="3746"/>
      <c r="T6" s="3747"/>
      <c r="U6" s="3748"/>
      <c r="V6" s="3749"/>
      <c r="W6" s="3749"/>
      <c r="X6" s="1355"/>
      <c r="Y6" s="3747"/>
      <c r="Z6" s="3748"/>
      <c r="AA6" s="3732"/>
      <c r="AB6" s="3732"/>
      <c r="AC6" s="3732"/>
    </row>
    <row r="7" spans="1:29" s="108" customFormat="1" ht="15.75" thickBot="1">
      <c r="A7" s="362" t="s">
        <v>1678</v>
      </c>
      <c r="B7" s="363"/>
      <c r="C7" s="364">
        <f>'数据-取费表'!B2</f>
        <v>44985</v>
      </c>
      <c r="D7" s="365">
        <v>100</v>
      </c>
      <c r="E7" s="366"/>
      <c r="F7" s="367">
        <f>SUMIF(52:52,YEAR(E7)&amp;"-"&amp;MONTH(E7),53:53)</f>
        <v>0</v>
      </c>
      <c r="G7" s="366"/>
      <c r="H7" s="365">
        <f>SUMIF(52:52,YEAR(G7)&amp;"-"&amp;MONTH(G7),53:53)</f>
        <v>0</v>
      </c>
      <c r="I7" s="366"/>
      <c r="J7" s="365">
        <f>SUMIF(52:52,YEAR(I7)&amp;"-"&amp;MONTH(I7),53:53)</f>
        <v>0</v>
      </c>
      <c r="K7" s="560"/>
      <c r="L7" s="915"/>
      <c r="M7" s="916"/>
      <c r="N7" s="916"/>
      <c r="O7" s="916"/>
      <c r="P7" s="3754" t="s">
        <v>1679</v>
      </c>
      <c r="Q7" s="3756"/>
      <c r="R7" s="701" t="s">
        <v>14</v>
      </c>
      <c r="S7" s="702">
        <f t="shared" ref="S7:S15" si="0">F7</f>
        <v>0</v>
      </c>
      <c r="T7" s="701" t="s">
        <v>14</v>
      </c>
      <c r="U7" s="702">
        <f t="shared" ref="U7:U15" si="1">H7</f>
        <v>0</v>
      </c>
      <c r="V7" s="701" t="s">
        <v>14</v>
      </c>
      <c r="W7" s="702">
        <f t="shared" ref="W7:W15" si="2">J7</f>
        <v>0</v>
      </c>
      <c r="X7" s="703"/>
      <c r="Y7" s="3754" t="s">
        <v>1679</v>
      </c>
      <c r="Z7" s="3755"/>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4" t="s">
        <v>1682</v>
      </c>
      <c r="Q8" s="3755"/>
      <c r="R8" s="701" t="s">
        <v>14</v>
      </c>
      <c r="S8" s="702">
        <f t="shared" si="0"/>
        <v>100</v>
      </c>
      <c r="T8" s="701" t="s">
        <v>14</v>
      </c>
      <c r="U8" s="702">
        <f t="shared" si="1"/>
        <v>100</v>
      </c>
      <c r="V8" s="701" t="s">
        <v>14</v>
      </c>
      <c r="W8" s="702">
        <f t="shared" si="2"/>
        <v>100</v>
      </c>
      <c r="X8" s="703"/>
      <c r="Y8" s="3754" t="s">
        <v>1682</v>
      </c>
      <c r="Z8" s="3755"/>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8" t="s">
        <v>1685</v>
      </c>
      <c r="Q9" s="1343" t="str">
        <f t="shared" ref="Q9:Q15" si="6">B9</f>
        <v>用途</v>
      </c>
      <c r="R9" s="701" t="s">
        <v>14</v>
      </c>
      <c r="S9" s="702">
        <f t="shared" si="0"/>
        <v>100</v>
      </c>
      <c r="T9" s="701" t="s">
        <v>14</v>
      </c>
      <c r="U9" s="702">
        <f t="shared" si="1"/>
        <v>100</v>
      </c>
      <c r="V9" s="701" t="s">
        <v>14</v>
      </c>
      <c r="W9" s="702">
        <f t="shared" si="2"/>
        <v>100</v>
      </c>
      <c r="X9" s="703"/>
      <c r="Y9" s="3593"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8"/>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8"/>
      <c r="Q11" s="1343" t="str">
        <f t="shared" si="6"/>
        <v>容积率</v>
      </c>
      <c r="R11" s="701" t="s">
        <v>14</v>
      </c>
      <c r="S11" s="702">
        <f t="shared" si="0"/>
        <v>100</v>
      </c>
      <c r="T11" s="701" t="s">
        <v>14</v>
      </c>
      <c r="U11" s="702">
        <f t="shared" si="1"/>
        <v>100</v>
      </c>
      <c r="V11" s="701" t="s">
        <v>14</v>
      </c>
      <c r="W11" s="702">
        <f t="shared" si="2"/>
        <v>100</v>
      </c>
      <c r="X11" s="703"/>
      <c r="Y11" s="359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8"/>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8"/>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8"/>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0" t="s">
        <v>1690</v>
      </c>
      <c r="Q15" s="1352" t="str">
        <f t="shared" si="6"/>
        <v>产业集聚程度</v>
      </c>
      <c r="R15" s="705" t="s">
        <v>14</v>
      </c>
      <c r="S15" s="706">
        <f t="shared" si="0"/>
        <v>100</v>
      </c>
      <c r="T15" s="705" t="s">
        <v>14</v>
      </c>
      <c r="U15" s="706">
        <f t="shared" si="1"/>
        <v>100</v>
      </c>
      <c r="V15" s="705" t="s">
        <v>14</v>
      </c>
      <c r="W15" s="706">
        <f t="shared" si="2"/>
        <v>100</v>
      </c>
      <c r="X15" s="1355"/>
      <c r="Y15" s="3720"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1"/>
      <c r="Q16" s="1352"/>
      <c r="R16" s="705"/>
      <c r="S16" s="706"/>
      <c r="T16" s="705"/>
      <c r="U16" s="706"/>
      <c r="V16" s="705"/>
      <c r="W16" s="706"/>
      <c r="X16" s="1355"/>
      <c r="Y16" s="3721"/>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1"/>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1"/>
      <c r="Q18" s="1352"/>
      <c r="R18" s="705"/>
      <c r="S18" s="706"/>
      <c r="T18" s="705"/>
      <c r="U18" s="706"/>
      <c r="V18" s="705"/>
      <c r="W18" s="706"/>
      <c r="X18" s="1355"/>
      <c r="Y18" s="3721"/>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1"/>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1"/>
      <c r="Q20" s="1352"/>
      <c r="R20" s="705"/>
      <c r="S20" s="706"/>
      <c r="T20" s="705"/>
      <c r="U20" s="706"/>
      <c r="V20" s="705"/>
      <c r="W20" s="706"/>
      <c r="X20" s="1355"/>
      <c r="Y20" s="3721"/>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1"/>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1"/>
      <c r="Q22" s="1352"/>
      <c r="R22" s="705"/>
      <c r="S22" s="706"/>
      <c r="T22" s="705"/>
      <c r="U22" s="706"/>
      <c r="V22" s="705"/>
      <c r="W22" s="706"/>
      <c r="X22" s="1355"/>
      <c r="Y22" s="3721"/>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1"/>
      <c r="Q23" s="1352" t="str">
        <f>B23</f>
        <v>环境质量</v>
      </c>
      <c r="R23" s="705" t="s">
        <v>14</v>
      </c>
      <c r="S23" s="706">
        <f>F23</f>
        <v>100</v>
      </c>
      <c r="T23" s="705" t="s">
        <v>14</v>
      </c>
      <c r="U23" s="706">
        <f>H23</f>
        <v>100</v>
      </c>
      <c r="V23" s="705" t="s">
        <v>14</v>
      </c>
      <c r="W23" s="706">
        <f>J23</f>
        <v>100</v>
      </c>
      <c r="X23" s="1355"/>
      <c r="Y23" s="372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1"/>
      <c r="Q24" s="1352"/>
      <c r="R24" s="705"/>
      <c r="S24" s="706"/>
      <c r="T24" s="705"/>
      <c r="U24" s="706"/>
      <c r="V24" s="705"/>
      <c r="W24" s="706"/>
      <c r="X24" s="1355"/>
      <c r="Y24" s="372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1"/>
      <c r="Q25" s="1352">
        <f>B25</f>
        <v>111</v>
      </c>
      <c r="R25" s="705" t="s">
        <v>14</v>
      </c>
      <c r="S25" s="706">
        <f>F25</f>
        <v>100</v>
      </c>
      <c r="T25" s="705" t="s">
        <v>14</v>
      </c>
      <c r="U25" s="706">
        <f>H25</f>
        <v>100</v>
      </c>
      <c r="V25" s="705" t="s">
        <v>14</v>
      </c>
      <c r="W25" s="706">
        <f>J25</f>
        <v>100</v>
      </c>
      <c r="X25" s="1355"/>
      <c r="Y25" s="372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1"/>
      <c r="Q26" s="1352">
        <f t="shared" ref="Q26:Q40" si="11">B26</f>
        <v>111</v>
      </c>
      <c r="R26" s="705" t="s">
        <v>14</v>
      </c>
      <c r="S26" s="706">
        <f>F26</f>
        <v>100</v>
      </c>
      <c r="T26" s="705" t="s">
        <v>14</v>
      </c>
      <c r="U26" s="706">
        <f>H26</f>
        <v>100</v>
      </c>
      <c r="V26" s="705" t="s">
        <v>14</v>
      </c>
      <c r="W26" s="706">
        <f>J26</f>
        <v>100</v>
      </c>
      <c r="X26" s="1355"/>
      <c r="Y26" s="372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1"/>
      <c r="Q27" s="1343">
        <f t="shared" si="11"/>
        <v>111</v>
      </c>
      <c r="R27" s="701" t="s">
        <v>14</v>
      </c>
      <c r="S27" s="702">
        <f>F27</f>
        <v>100</v>
      </c>
      <c r="T27" s="701" t="s">
        <v>14</v>
      </c>
      <c r="U27" s="702">
        <f>H27</f>
        <v>100</v>
      </c>
      <c r="V27" s="701" t="s">
        <v>14</v>
      </c>
      <c r="W27" s="702">
        <f>J27</f>
        <v>100</v>
      </c>
      <c r="X27" s="703"/>
      <c r="Y27" s="372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1"/>
      <c r="Q28" s="1352">
        <f t="shared" si="11"/>
        <v>111</v>
      </c>
      <c r="R28" s="705" t="s">
        <v>14</v>
      </c>
      <c r="S28" s="706">
        <f t="shared" ref="S28:S40" si="12">F28</f>
        <v>100</v>
      </c>
      <c r="T28" s="705" t="s">
        <v>14</v>
      </c>
      <c r="U28" s="706">
        <f t="shared" ref="U28:U40" si="13">H28</f>
        <v>100</v>
      </c>
      <c r="V28" s="705" t="s">
        <v>14</v>
      </c>
      <c r="W28" s="706">
        <f t="shared" ref="W28:W40" si="14">J28</f>
        <v>100</v>
      </c>
      <c r="X28" s="1355"/>
      <c r="Y28" s="3721"/>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6" t="s">
        <v>1695</v>
      </c>
      <c r="Q29" s="1352" t="str">
        <f t="shared" si="11"/>
        <v>建筑类型</v>
      </c>
      <c r="R29" s="705" t="s">
        <v>14</v>
      </c>
      <c r="S29" s="706">
        <f t="shared" si="12"/>
        <v>100</v>
      </c>
      <c r="T29" s="705" t="s">
        <v>14</v>
      </c>
      <c r="U29" s="706">
        <f t="shared" si="13"/>
        <v>100</v>
      </c>
      <c r="V29" s="705" t="s">
        <v>14</v>
      </c>
      <c r="W29" s="706">
        <f t="shared" si="14"/>
        <v>100</v>
      </c>
      <c r="X29" s="1355"/>
      <c r="Y29" s="3725"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5"/>
      <c r="Q30" s="707" t="str">
        <f t="shared" si="11"/>
        <v>项目建筑规模</v>
      </c>
      <c r="R30" s="708" t="s">
        <v>14</v>
      </c>
      <c r="S30" s="709" t="e">
        <f t="shared" si="12"/>
        <v>#N/A</v>
      </c>
      <c r="T30" s="708" t="s">
        <v>14</v>
      </c>
      <c r="U30" s="709" t="e">
        <f t="shared" si="13"/>
        <v>#N/A</v>
      </c>
      <c r="V30" s="708" t="s">
        <v>14</v>
      </c>
      <c r="W30" s="709" t="e">
        <f t="shared" si="14"/>
        <v>#N/A</v>
      </c>
      <c r="X30" s="710"/>
      <c r="Y30" s="3725"/>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5"/>
      <c r="Q31" s="1352" t="str">
        <f t="shared" si="11"/>
        <v>建筑结构</v>
      </c>
      <c r="R31" s="705" t="s">
        <v>14</v>
      </c>
      <c r="S31" s="706">
        <f t="shared" si="12"/>
        <v>100</v>
      </c>
      <c r="T31" s="705" t="s">
        <v>14</v>
      </c>
      <c r="U31" s="706">
        <f t="shared" si="13"/>
        <v>100</v>
      </c>
      <c r="V31" s="705" t="s">
        <v>14</v>
      </c>
      <c r="W31" s="706">
        <f t="shared" si="14"/>
        <v>100</v>
      </c>
      <c r="X31" s="1355"/>
      <c r="Y31" s="3725"/>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5"/>
      <c r="Q32" s="1352" t="str">
        <f t="shared" si="11"/>
        <v>公共部分装修</v>
      </c>
      <c r="R32" s="705" t="s">
        <v>14</v>
      </c>
      <c r="S32" s="706">
        <f t="shared" si="12"/>
        <v>100</v>
      </c>
      <c r="T32" s="705" t="s">
        <v>14</v>
      </c>
      <c r="U32" s="706">
        <f t="shared" si="13"/>
        <v>100</v>
      </c>
      <c r="V32" s="705" t="s">
        <v>14</v>
      </c>
      <c r="W32" s="706">
        <f t="shared" si="14"/>
        <v>100</v>
      </c>
      <c r="X32" s="1355"/>
      <c r="Y32" s="3725"/>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5"/>
      <c r="Q33" s="1352" t="str">
        <f t="shared" si="11"/>
        <v>成新度</v>
      </c>
      <c r="R33" s="705" t="s">
        <v>14</v>
      </c>
      <c r="S33" s="706" t="e">
        <f t="shared" si="12"/>
        <v>#N/A</v>
      </c>
      <c r="T33" s="705" t="s">
        <v>14</v>
      </c>
      <c r="U33" s="706" t="e">
        <f t="shared" si="13"/>
        <v>#N/A</v>
      </c>
      <c r="V33" s="705" t="s">
        <v>14</v>
      </c>
      <c r="W33" s="706" t="e">
        <f t="shared" si="14"/>
        <v>#N/A</v>
      </c>
      <c r="X33" s="1355"/>
      <c r="Y33" s="3725"/>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5"/>
      <c r="Q34" s="1343" t="str">
        <f t="shared" si="11"/>
        <v>物业管理</v>
      </c>
      <c r="R34" s="701" t="s">
        <v>14</v>
      </c>
      <c r="S34" s="702">
        <f t="shared" si="12"/>
        <v>100</v>
      </c>
      <c r="T34" s="701" t="s">
        <v>14</v>
      </c>
      <c r="U34" s="702">
        <f t="shared" si="13"/>
        <v>100</v>
      </c>
      <c r="V34" s="701" t="s">
        <v>14</v>
      </c>
      <c r="W34" s="702">
        <f t="shared" si="14"/>
        <v>100</v>
      </c>
      <c r="X34" s="703"/>
      <c r="Y34" s="3725"/>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5" t="s">
        <v>1695</v>
      </c>
      <c r="Q35" s="1352" t="str">
        <f t="shared" si="11"/>
        <v>市政基础设施</v>
      </c>
      <c r="R35" s="705" t="s">
        <v>14</v>
      </c>
      <c r="S35" s="706">
        <f t="shared" si="12"/>
        <v>100</v>
      </c>
      <c r="T35" s="705" t="s">
        <v>14</v>
      </c>
      <c r="U35" s="706">
        <f t="shared" si="13"/>
        <v>100</v>
      </c>
      <c r="V35" s="705" t="s">
        <v>14</v>
      </c>
      <c r="W35" s="706">
        <f t="shared" si="14"/>
        <v>100</v>
      </c>
      <c r="X35" s="1355"/>
      <c r="Y35" s="3725"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5"/>
      <c r="Q36" s="1352" t="str">
        <f t="shared" si="11"/>
        <v>内部装修</v>
      </c>
      <c r="R36" s="705" t="s">
        <v>14</v>
      </c>
      <c r="S36" s="706">
        <f t="shared" si="12"/>
        <v>100</v>
      </c>
      <c r="T36" s="705" t="s">
        <v>14</v>
      </c>
      <c r="U36" s="706">
        <f t="shared" si="13"/>
        <v>100</v>
      </c>
      <c r="V36" s="705" t="s">
        <v>14</v>
      </c>
      <c r="W36" s="706">
        <f t="shared" si="14"/>
        <v>100</v>
      </c>
      <c r="X36" s="1355"/>
      <c r="Y36" s="3725"/>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5"/>
      <c r="Q37" s="1352" t="str">
        <f t="shared" si="11"/>
        <v>内部装修状况</v>
      </c>
      <c r="R37" s="705" t="s">
        <v>14</v>
      </c>
      <c r="S37" s="706">
        <f t="shared" si="12"/>
        <v>100</v>
      </c>
      <c r="T37" s="705" t="s">
        <v>14</v>
      </c>
      <c r="U37" s="706">
        <f t="shared" si="13"/>
        <v>100</v>
      </c>
      <c r="V37" s="705" t="s">
        <v>14</v>
      </c>
      <c r="W37" s="706">
        <f t="shared" si="14"/>
        <v>100</v>
      </c>
      <c r="X37" s="1355"/>
      <c r="Y37" s="372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5"/>
      <c r="Q38" s="707">
        <f t="shared" si="11"/>
        <v>111</v>
      </c>
      <c r="R38" s="708" t="s">
        <v>14</v>
      </c>
      <c r="S38" s="709">
        <f t="shared" si="12"/>
        <v>100</v>
      </c>
      <c r="T38" s="708" t="s">
        <v>14</v>
      </c>
      <c r="U38" s="709">
        <f t="shared" si="13"/>
        <v>100</v>
      </c>
      <c r="V38" s="708" t="s">
        <v>14</v>
      </c>
      <c r="W38" s="709">
        <f t="shared" si="14"/>
        <v>100</v>
      </c>
      <c r="X38" s="710"/>
      <c r="Y38" s="372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5"/>
      <c r="Q39" s="1352">
        <f t="shared" si="11"/>
        <v>111</v>
      </c>
      <c r="R39" s="705" t="s">
        <v>14</v>
      </c>
      <c r="S39" s="706">
        <f t="shared" si="12"/>
        <v>100</v>
      </c>
      <c r="T39" s="705" t="s">
        <v>14</v>
      </c>
      <c r="U39" s="706">
        <f t="shared" si="13"/>
        <v>100</v>
      </c>
      <c r="V39" s="705" t="s">
        <v>14</v>
      </c>
      <c r="W39" s="706">
        <f t="shared" si="14"/>
        <v>100</v>
      </c>
      <c r="X39" s="1355"/>
      <c r="Y39" s="372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6"/>
      <c r="Q40" s="1352">
        <f t="shared" si="11"/>
        <v>111</v>
      </c>
      <c r="R40" s="705" t="s">
        <v>14</v>
      </c>
      <c r="S40" s="706">
        <f t="shared" si="12"/>
        <v>100</v>
      </c>
      <c r="T40" s="705" t="s">
        <v>14</v>
      </c>
      <c r="U40" s="706">
        <f t="shared" si="13"/>
        <v>100</v>
      </c>
      <c r="V40" s="705" t="s">
        <v>14</v>
      </c>
      <c r="W40" s="706">
        <f t="shared" si="14"/>
        <v>100</v>
      </c>
      <c r="X40" s="1355"/>
      <c r="Y40" s="3726"/>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18" t="str">
        <f>A41</f>
        <v>成交单价（元/平方米）</v>
      </c>
      <c r="Q41" s="3718"/>
      <c r="R41" s="3719">
        <f>E41</f>
        <v>0</v>
      </c>
      <c r="S41" s="3719"/>
      <c r="T41" s="3719">
        <f>G41</f>
        <v>0</v>
      </c>
      <c r="U41" s="3719"/>
      <c r="V41" s="3719">
        <f>I41</f>
        <v>0</v>
      </c>
      <c r="W41" s="3719"/>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18" t="str">
        <f>A42</f>
        <v>比较价值（元/平方米）</v>
      </c>
      <c r="Q42" s="3718"/>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15" t="str">
        <f>A43</f>
        <v>估价对象XX用房的比较价值（楼面单价，元/平方米）</v>
      </c>
      <c r="Q43" s="3716"/>
      <c r="R43" s="3717" t="e">
        <f>IF(F1="售价",ROUND(IF(D42="简单平均",AVERAGE(R42:V42),R42*F42+T42*H42+V42*J42),0),ROUND(IF(D42="简单平均",AVERAGE(R42:V42),R42*F42+T42*H42+V42*J42),1))</f>
        <v>#DIV/0!</v>
      </c>
      <c r="S43" s="3717"/>
      <c r="T43" s="3717"/>
      <c r="U43" s="3717"/>
      <c r="V43" s="3717"/>
      <c r="W43" s="371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3339</v>
      </c>
      <c r="C1" s="1224" t="s">
        <v>1661</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1768</v>
      </c>
      <c r="B4" s="356"/>
      <c r="C4" s="3733" t="s">
        <v>1769</v>
      </c>
      <c r="D4" s="3734"/>
      <c r="E4" s="3735" t="s">
        <v>1770</v>
      </c>
      <c r="F4" s="3736"/>
      <c r="G4" s="3733" t="s">
        <v>1771</v>
      </c>
      <c r="H4" s="3734"/>
      <c r="I4" s="3733" t="s">
        <v>1772</v>
      </c>
      <c r="J4" s="3734"/>
      <c r="K4" s="559" t="s">
        <v>1773</v>
      </c>
      <c r="L4" s="2715"/>
      <c r="M4" s="2716"/>
      <c r="N4" s="2716"/>
      <c r="O4" s="2716"/>
      <c r="P4" s="3737" t="s">
        <v>1774</v>
      </c>
      <c r="Q4" s="3738"/>
      <c r="R4" s="3743" t="s">
        <v>1770</v>
      </c>
      <c r="S4" s="3744"/>
      <c r="T4" s="3743" t="s">
        <v>1771</v>
      </c>
      <c r="U4" s="3744"/>
      <c r="V4" s="3749" t="s">
        <v>1772</v>
      </c>
      <c r="W4" s="3749"/>
      <c r="X4" s="1355"/>
      <c r="Y4" s="3743" t="s">
        <v>1774</v>
      </c>
      <c r="Z4" s="3744"/>
      <c r="AA4" s="3730" t="s">
        <v>1770</v>
      </c>
      <c r="AB4" s="3731" t="s">
        <v>1771</v>
      </c>
      <c r="AC4" s="3730" t="s">
        <v>1772</v>
      </c>
    </row>
    <row r="5" spans="1:29" ht="15">
      <c r="A5" s="358"/>
      <c r="B5" s="359"/>
      <c r="C5" s="3752" t="s">
        <v>1672</v>
      </c>
      <c r="D5" s="3753"/>
      <c r="E5" s="3759" t="s">
        <v>1673</v>
      </c>
      <c r="F5" s="3760"/>
      <c r="G5" s="3752" t="s">
        <v>1674</v>
      </c>
      <c r="H5" s="3753"/>
      <c r="I5" s="3752" t="s">
        <v>1675</v>
      </c>
      <c r="J5" s="3753"/>
      <c r="K5" s="559"/>
      <c r="L5" s="2715"/>
      <c r="M5" s="2716"/>
      <c r="N5" s="2716"/>
      <c r="O5" s="2716"/>
      <c r="P5" s="3739"/>
      <c r="Q5" s="3740"/>
      <c r="R5" s="3745"/>
      <c r="S5" s="3746"/>
      <c r="T5" s="3745"/>
      <c r="U5" s="3746"/>
      <c r="V5" s="3749"/>
      <c r="W5" s="3749"/>
      <c r="X5" s="1355"/>
      <c r="Y5" s="3745"/>
      <c r="Z5" s="3746"/>
      <c r="AA5" s="3731"/>
      <c r="AB5" s="3731"/>
      <c r="AC5" s="3731"/>
    </row>
    <row r="6" spans="1:29" ht="15.75" thickBot="1">
      <c r="A6" s="360"/>
      <c r="B6" s="361"/>
      <c r="C6" s="3750" t="s">
        <v>1676</v>
      </c>
      <c r="D6" s="3751"/>
      <c r="E6" s="3757" t="s">
        <v>1676</v>
      </c>
      <c r="F6" s="3758"/>
      <c r="G6" s="3750" t="s">
        <v>1676</v>
      </c>
      <c r="H6" s="3751"/>
      <c r="I6" s="3750" t="s">
        <v>1676</v>
      </c>
      <c r="J6" s="3751"/>
      <c r="K6" s="559" t="s">
        <v>1677</v>
      </c>
      <c r="L6" s="2715"/>
      <c r="M6" s="2716"/>
      <c r="N6" s="2716"/>
      <c r="O6" s="2716"/>
      <c r="P6" s="3741"/>
      <c r="Q6" s="3742"/>
      <c r="R6" s="3745"/>
      <c r="S6" s="3746"/>
      <c r="T6" s="3747"/>
      <c r="U6" s="3748"/>
      <c r="V6" s="3749"/>
      <c r="W6" s="3749"/>
      <c r="X6" s="1355"/>
      <c r="Y6" s="3747"/>
      <c r="Z6" s="3748"/>
      <c r="AA6" s="3732"/>
      <c r="AB6" s="3732"/>
      <c r="AC6" s="3732"/>
    </row>
    <row r="7" spans="1:29" s="108" customFormat="1" ht="15.75" thickBot="1">
      <c r="A7" s="362" t="s">
        <v>1678</v>
      </c>
      <c r="B7" s="363"/>
      <c r="C7" s="364">
        <f>'数据-取费表'!B2</f>
        <v>44985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54" t="s">
        <v>1679</v>
      </c>
      <c r="Q7" s="3756"/>
      <c r="R7" s="701" t="s">
        <v>14</v>
      </c>
      <c r="S7" s="702">
        <f t="shared" ref="S7:S14" si="0">F7</f>
        <v>0</v>
      </c>
      <c r="T7" s="701" t="s">
        <v>14</v>
      </c>
      <c r="U7" s="702">
        <f t="shared" ref="U7:U14" si="1">H7</f>
        <v>0</v>
      </c>
      <c r="V7" s="701" t="s">
        <v>14</v>
      </c>
      <c r="W7" s="702">
        <f t="shared" ref="W7:W14" si="2">J7</f>
        <v>0</v>
      </c>
      <c r="X7" s="703"/>
      <c r="Y7" s="3754" t="s">
        <v>1679</v>
      </c>
      <c r="Z7" s="3755"/>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54" t="s">
        <v>1682</v>
      </c>
      <c r="Q8" s="3755"/>
      <c r="R8" s="701" t="s">
        <v>14</v>
      </c>
      <c r="S8" s="702">
        <f t="shared" si="0"/>
        <v>100</v>
      </c>
      <c r="T8" s="701" t="s">
        <v>14</v>
      </c>
      <c r="U8" s="702">
        <f t="shared" si="1"/>
        <v>100</v>
      </c>
      <c r="V8" s="701" t="s">
        <v>14</v>
      </c>
      <c r="W8" s="702">
        <f t="shared" si="2"/>
        <v>100</v>
      </c>
      <c r="X8" s="703"/>
      <c r="Y8" s="3754" t="s">
        <v>1682</v>
      </c>
      <c r="Z8" s="3755"/>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8" t="s">
        <v>1685</v>
      </c>
      <c r="Q9" s="1343" t="str">
        <f t="shared" ref="Q9:Q14" si="6">B9</f>
        <v>用途</v>
      </c>
      <c r="R9" s="701" t="s">
        <v>14</v>
      </c>
      <c r="S9" s="702">
        <f t="shared" si="0"/>
        <v>100</v>
      </c>
      <c r="T9" s="701" t="s">
        <v>14</v>
      </c>
      <c r="U9" s="702">
        <f t="shared" si="1"/>
        <v>100</v>
      </c>
      <c r="V9" s="701" t="s">
        <v>14</v>
      </c>
      <c r="W9" s="702">
        <f t="shared" si="2"/>
        <v>100</v>
      </c>
      <c r="X9" s="703"/>
      <c r="Y9" s="3593" t="s">
        <v>1686</v>
      </c>
      <c r="Z9" s="52" t="str">
        <f t="shared" ref="Z9:Z14" si="7">Q9</f>
        <v>用途</v>
      </c>
      <c r="AA9" s="704">
        <f t="shared" si="3"/>
        <v>1</v>
      </c>
      <c r="AB9" s="704">
        <f t="shared" si="4"/>
        <v>1</v>
      </c>
      <c r="AC9" s="704">
        <f t="shared" si="5"/>
        <v>1</v>
      </c>
    </row>
    <row r="10" spans="1:29" s="378" customFormat="1" ht="27">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8"/>
      <c r="Q11" s="1343">
        <f t="shared" si="6"/>
        <v>111</v>
      </c>
      <c r="R11" s="701" t="s">
        <v>14</v>
      </c>
      <c r="S11" s="702">
        <f t="shared" si="0"/>
        <v>100</v>
      </c>
      <c r="T11" s="701" t="s">
        <v>14</v>
      </c>
      <c r="U11" s="702">
        <f t="shared" si="1"/>
        <v>100</v>
      </c>
      <c r="V11" s="701" t="s">
        <v>14</v>
      </c>
      <c r="W11" s="702">
        <f t="shared" si="2"/>
        <v>100</v>
      </c>
      <c r="X11" s="703"/>
      <c r="Y11" s="359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8"/>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8"/>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0" t="s">
        <v>1690</v>
      </c>
      <c r="Q14" s="1352" t="str">
        <f t="shared" si="6"/>
        <v>交通便捷度</v>
      </c>
      <c r="R14" s="705" t="s">
        <v>14</v>
      </c>
      <c r="S14" s="706">
        <f t="shared" si="0"/>
        <v>100</v>
      </c>
      <c r="T14" s="705" t="s">
        <v>14</v>
      </c>
      <c r="U14" s="706">
        <f t="shared" si="1"/>
        <v>100</v>
      </c>
      <c r="V14" s="705" t="s">
        <v>14</v>
      </c>
      <c r="W14" s="706">
        <f t="shared" si="2"/>
        <v>100</v>
      </c>
      <c r="X14" s="1355"/>
      <c r="Y14" s="3720"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1"/>
      <c r="Q15" s="1352"/>
      <c r="R15" s="705"/>
      <c r="S15" s="706"/>
      <c r="T15" s="705"/>
      <c r="U15" s="706"/>
      <c r="V15" s="705"/>
      <c r="W15" s="706"/>
      <c r="X15" s="1355"/>
      <c r="Y15" s="3721"/>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1"/>
      <c r="Q16" s="1352" t="str">
        <f>B16</f>
        <v>公共配套设施</v>
      </c>
      <c r="R16" s="705" t="s">
        <v>14</v>
      </c>
      <c r="S16" s="706">
        <f>F16</f>
        <v>100</v>
      </c>
      <c r="T16" s="705" t="s">
        <v>14</v>
      </c>
      <c r="U16" s="706">
        <f>H16</f>
        <v>100</v>
      </c>
      <c r="V16" s="705" t="s">
        <v>14</v>
      </c>
      <c r="W16" s="706">
        <f>J16</f>
        <v>100</v>
      </c>
      <c r="X16" s="1355"/>
      <c r="Y16" s="372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1"/>
      <c r="Q17" s="1352"/>
      <c r="R17" s="705"/>
      <c r="S17" s="706"/>
      <c r="T17" s="705"/>
      <c r="U17" s="706"/>
      <c r="V17" s="705"/>
      <c r="W17" s="706"/>
      <c r="X17" s="1355"/>
      <c r="Y17" s="3721"/>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1"/>
      <c r="Q18" s="1352" t="str">
        <f>B18</f>
        <v>基础设施水平</v>
      </c>
      <c r="R18" s="705" t="s">
        <v>14</v>
      </c>
      <c r="S18" s="706">
        <f>F18</f>
        <v>100</v>
      </c>
      <c r="T18" s="705" t="s">
        <v>14</v>
      </c>
      <c r="U18" s="706">
        <f>H18</f>
        <v>100</v>
      </c>
      <c r="V18" s="705" t="s">
        <v>14</v>
      </c>
      <c r="W18" s="706">
        <f>J18</f>
        <v>100</v>
      </c>
      <c r="X18" s="1355"/>
      <c r="Y18" s="372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1"/>
      <c r="Q19" s="1352"/>
      <c r="R19" s="705"/>
      <c r="S19" s="706"/>
      <c r="T19" s="705"/>
      <c r="U19" s="706"/>
      <c r="V19" s="705"/>
      <c r="W19" s="706"/>
      <c r="X19" s="1355"/>
      <c r="Y19" s="3721"/>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1"/>
      <c r="Q20" s="1352" t="str">
        <f>B20</f>
        <v>自然及人文环境</v>
      </c>
      <c r="R20" s="705" t="s">
        <v>14</v>
      </c>
      <c r="S20" s="706">
        <f>F20</f>
        <v>100</v>
      </c>
      <c r="T20" s="705" t="s">
        <v>14</v>
      </c>
      <c r="U20" s="706">
        <f>H20</f>
        <v>100</v>
      </c>
      <c r="V20" s="705" t="s">
        <v>14</v>
      </c>
      <c r="W20" s="706">
        <f>J20</f>
        <v>100</v>
      </c>
      <c r="X20" s="1355"/>
      <c r="Y20" s="372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1"/>
      <c r="Q21" s="1352"/>
      <c r="R21" s="705"/>
      <c r="S21" s="706"/>
      <c r="T21" s="705"/>
      <c r="U21" s="706"/>
      <c r="V21" s="705"/>
      <c r="W21" s="706"/>
      <c r="X21" s="1355"/>
      <c r="Y21" s="3721"/>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1"/>
      <c r="Q22" s="1352" t="str">
        <f>B22</f>
        <v>楼层</v>
      </c>
      <c r="R22" s="705" t="s">
        <v>14</v>
      </c>
      <c r="S22" s="706">
        <f>F22</f>
        <v>100</v>
      </c>
      <c r="T22" s="705" t="s">
        <v>14</v>
      </c>
      <c r="U22" s="706">
        <f>H22</f>
        <v>100</v>
      </c>
      <c r="V22" s="705" t="s">
        <v>14</v>
      </c>
      <c r="W22" s="706">
        <f>J22</f>
        <v>100</v>
      </c>
      <c r="X22" s="1355"/>
      <c r="Y22" s="372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1"/>
      <c r="Q23" s="1352">
        <f>B23</f>
        <v>111</v>
      </c>
      <c r="R23" s="705" t="s">
        <v>14</v>
      </c>
      <c r="S23" s="706">
        <f>F23</f>
        <v>100</v>
      </c>
      <c r="T23" s="705" t="s">
        <v>14</v>
      </c>
      <c r="U23" s="706">
        <f>H23</f>
        <v>100</v>
      </c>
      <c r="V23" s="705" t="s">
        <v>14</v>
      </c>
      <c r="W23" s="706">
        <f>J23</f>
        <v>100</v>
      </c>
      <c r="X23" s="1355"/>
      <c r="Y23" s="372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1"/>
      <c r="Q24" s="1352">
        <f t="shared" ref="Q24:Q36" si="11">B24</f>
        <v>111</v>
      </c>
      <c r="R24" s="705" t="s">
        <v>14</v>
      </c>
      <c r="S24" s="706">
        <f>F24</f>
        <v>100</v>
      </c>
      <c r="T24" s="705" t="s">
        <v>14</v>
      </c>
      <c r="U24" s="706">
        <f>H24</f>
        <v>100</v>
      </c>
      <c r="V24" s="705" t="s">
        <v>14</v>
      </c>
      <c r="W24" s="706">
        <f>J24</f>
        <v>100</v>
      </c>
      <c r="X24" s="1355"/>
      <c r="Y24" s="372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1"/>
      <c r="Q25" s="1343">
        <f t="shared" si="11"/>
        <v>111</v>
      </c>
      <c r="R25" s="701" t="s">
        <v>14</v>
      </c>
      <c r="S25" s="702">
        <f>F25</f>
        <v>100</v>
      </c>
      <c r="T25" s="701" t="s">
        <v>14</v>
      </c>
      <c r="U25" s="702">
        <f>H25</f>
        <v>100</v>
      </c>
      <c r="V25" s="701" t="s">
        <v>14</v>
      </c>
      <c r="W25" s="702">
        <f>J25</f>
        <v>100</v>
      </c>
      <c r="X25" s="703"/>
      <c r="Y25" s="3721"/>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76"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5"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5"/>
      <c r="Q27" s="707" t="str">
        <f t="shared" si="11"/>
        <v>项目停车位配比</v>
      </c>
      <c r="R27" s="708" t="s">
        <v>14</v>
      </c>
      <c r="S27" s="709">
        <f t="shared" si="12"/>
        <v>100</v>
      </c>
      <c r="T27" s="708" t="s">
        <v>14</v>
      </c>
      <c r="U27" s="709">
        <f t="shared" si="13"/>
        <v>100</v>
      </c>
      <c r="V27" s="708" t="s">
        <v>14</v>
      </c>
      <c r="W27" s="709">
        <f t="shared" si="14"/>
        <v>100</v>
      </c>
      <c r="X27" s="710"/>
      <c r="Y27" s="3725"/>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5"/>
      <c r="Q28" s="1352" t="str">
        <f t="shared" si="11"/>
        <v>公共部分装修</v>
      </c>
      <c r="R28" s="705" t="s">
        <v>14</v>
      </c>
      <c r="S28" s="706">
        <f t="shared" si="12"/>
        <v>100</v>
      </c>
      <c r="T28" s="705" t="s">
        <v>14</v>
      </c>
      <c r="U28" s="706">
        <f t="shared" si="13"/>
        <v>100</v>
      </c>
      <c r="V28" s="705" t="s">
        <v>14</v>
      </c>
      <c r="W28" s="706">
        <f t="shared" si="14"/>
        <v>100</v>
      </c>
      <c r="X28" s="1355"/>
      <c r="Y28" s="3725"/>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5"/>
      <c r="Q29" s="1352" t="str">
        <f t="shared" si="11"/>
        <v>成新率</v>
      </c>
      <c r="R29" s="705" t="s">
        <v>14</v>
      </c>
      <c r="S29" s="706" t="e">
        <f t="shared" si="12"/>
        <v>#N/A</v>
      </c>
      <c r="T29" s="705" t="s">
        <v>14</v>
      </c>
      <c r="U29" s="706" t="e">
        <f t="shared" si="13"/>
        <v>#N/A</v>
      </c>
      <c r="V29" s="705" t="s">
        <v>14</v>
      </c>
      <c r="W29" s="706" t="e">
        <f t="shared" si="14"/>
        <v>#N/A</v>
      </c>
      <c r="X29" s="1355"/>
      <c r="Y29" s="3725"/>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5"/>
      <c r="Q30" s="1352" t="str">
        <f t="shared" si="11"/>
        <v>物业等级</v>
      </c>
      <c r="R30" s="705" t="s">
        <v>14</v>
      </c>
      <c r="S30" s="706">
        <f t="shared" si="12"/>
        <v>100</v>
      </c>
      <c r="T30" s="705" t="s">
        <v>14</v>
      </c>
      <c r="U30" s="706">
        <f t="shared" si="13"/>
        <v>100</v>
      </c>
      <c r="V30" s="705" t="s">
        <v>14</v>
      </c>
      <c r="W30" s="706">
        <f t="shared" si="14"/>
        <v>100</v>
      </c>
      <c r="X30" s="1355"/>
      <c r="Y30" s="3725"/>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5"/>
      <c r="Q31" s="1343" t="str">
        <f t="shared" si="11"/>
        <v>停车位面积</v>
      </c>
      <c r="R31" s="701" t="s">
        <v>14</v>
      </c>
      <c r="S31" s="702" t="e">
        <f t="shared" si="12"/>
        <v>#N/A</v>
      </c>
      <c r="T31" s="701" t="s">
        <v>14</v>
      </c>
      <c r="U31" s="702" t="e">
        <f t="shared" si="13"/>
        <v>#N/A</v>
      </c>
      <c r="V31" s="701" t="s">
        <v>14</v>
      </c>
      <c r="W31" s="702" t="e">
        <f t="shared" si="14"/>
        <v>#N/A</v>
      </c>
      <c r="X31" s="703"/>
      <c r="Y31" s="3725"/>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5" t="s">
        <v>1695</v>
      </c>
      <c r="Q32" s="1352" t="str">
        <f t="shared" si="11"/>
        <v>车位类型</v>
      </c>
      <c r="R32" s="705" t="s">
        <v>14</v>
      </c>
      <c r="S32" s="706">
        <f t="shared" si="12"/>
        <v>100</v>
      </c>
      <c r="T32" s="705" t="s">
        <v>14</v>
      </c>
      <c r="U32" s="706">
        <f t="shared" si="13"/>
        <v>100</v>
      </c>
      <c r="V32" s="705" t="s">
        <v>14</v>
      </c>
      <c r="W32" s="706">
        <f t="shared" si="14"/>
        <v>100</v>
      </c>
      <c r="X32" s="1355"/>
      <c r="Y32" s="3725"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5"/>
      <c r="Q33" s="1352" t="str">
        <f t="shared" si="11"/>
        <v>是否直接入户</v>
      </c>
      <c r="R33" s="705" t="s">
        <v>14</v>
      </c>
      <c r="S33" s="706">
        <f t="shared" si="12"/>
        <v>100</v>
      </c>
      <c r="T33" s="705" t="s">
        <v>14</v>
      </c>
      <c r="U33" s="706">
        <f t="shared" si="13"/>
        <v>100</v>
      </c>
      <c r="V33" s="705" t="s">
        <v>14</v>
      </c>
      <c r="W33" s="706">
        <f t="shared" si="14"/>
        <v>100</v>
      </c>
      <c r="X33" s="1355"/>
      <c r="Y33" s="372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5"/>
      <c r="Q34" s="1352">
        <f t="shared" si="11"/>
        <v>111</v>
      </c>
      <c r="R34" s="705" t="s">
        <v>14</v>
      </c>
      <c r="S34" s="706">
        <f t="shared" si="12"/>
        <v>100</v>
      </c>
      <c r="T34" s="705" t="s">
        <v>14</v>
      </c>
      <c r="U34" s="706">
        <f t="shared" si="13"/>
        <v>100</v>
      </c>
      <c r="V34" s="705" t="s">
        <v>14</v>
      </c>
      <c r="W34" s="706">
        <f t="shared" si="14"/>
        <v>100</v>
      </c>
      <c r="X34" s="1355"/>
      <c r="Y34" s="372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5"/>
      <c r="Q35" s="707">
        <f t="shared" si="11"/>
        <v>111</v>
      </c>
      <c r="R35" s="708" t="s">
        <v>14</v>
      </c>
      <c r="S35" s="709">
        <f t="shared" si="12"/>
        <v>100</v>
      </c>
      <c r="T35" s="708" t="s">
        <v>14</v>
      </c>
      <c r="U35" s="709">
        <f t="shared" si="13"/>
        <v>100</v>
      </c>
      <c r="V35" s="708" t="s">
        <v>14</v>
      </c>
      <c r="W35" s="709">
        <f t="shared" si="14"/>
        <v>100</v>
      </c>
      <c r="X35" s="710"/>
      <c r="Y35" s="372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5"/>
      <c r="Q36" s="1352">
        <f t="shared" si="11"/>
        <v>111</v>
      </c>
      <c r="R36" s="705" t="s">
        <v>14</v>
      </c>
      <c r="S36" s="706">
        <f t="shared" si="12"/>
        <v>100</v>
      </c>
      <c r="T36" s="705" t="s">
        <v>14</v>
      </c>
      <c r="U36" s="706">
        <f t="shared" si="13"/>
        <v>100</v>
      </c>
      <c r="V36" s="705" t="s">
        <v>14</v>
      </c>
      <c r="W36" s="706">
        <f t="shared" si="14"/>
        <v>100</v>
      </c>
      <c r="X36" s="1355"/>
      <c r="Y36" s="3725"/>
      <c r="Z36" s="1356">
        <f t="shared" si="15"/>
        <v>111</v>
      </c>
      <c r="AA36" s="1353">
        <f t="shared" si="3"/>
        <v>1</v>
      </c>
      <c r="AB36" s="1353">
        <f t="shared" si="4"/>
        <v>1</v>
      </c>
      <c r="AC36" s="1353">
        <f t="shared" si="5"/>
        <v>1</v>
      </c>
    </row>
    <row r="37" spans="1:29" ht="15">
      <c r="A37" s="430" t="s">
        <v>1843</v>
      </c>
      <c r="B37" s="1973" t="s">
        <v>3359</v>
      </c>
      <c r="C37" s="1154" t="s">
        <v>0</v>
      </c>
      <c r="D37" s="1155"/>
      <c r="E37" s="1156"/>
      <c r="F37" s="1157"/>
      <c r="G37" s="1158"/>
      <c r="H37" s="1159"/>
      <c r="I37" s="1156"/>
      <c r="J37" s="1159"/>
      <c r="K37" s="568"/>
      <c r="L37" s="2724"/>
      <c r="M37" s="2725"/>
      <c r="N37" s="2716"/>
      <c r="O37" s="2725"/>
      <c r="P37" s="3718" t="str">
        <f>A37</f>
        <v>成交单价</v>
      </c>
      <c r="Q37" s="3718"/>
      <c r="R37" s="3719">
        <f>E37</f>
        <v>0</v>
      </c>
      <c r="S37" s="3719"/>
      <c r="T37" s="3719">
        <f>G37</f>
        <v>0</v>
      </c>
      <c r="U37" s="3719"/>
      <c r="V37" s="3719">
        <f>I37</f>
        <v>0</v>
      </c>
      <c r="W37" s="3719"/>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18" t="str">
        <f>A38</f>
        <v>比较价值（元/平方米）</v>
      </c>
      <c r="Q38" s="3718"/>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4"/>
      <c r="M39" s="2725"/>
      <c r="N39" s="2725"/>
      <c r="O39" s="2725"/>
      <c r="P39" s="3715" t="str">
        <f>A39</f>
        <v>估价对象XX用房的比较价值（楼面单价，元/平方米）</v>
      </c>
      <c r="Q39" s="3716"/>
      <c r="R39" s="3777" t="e">
        <f>IF(F1="售价",ROUND(IF(D38="简单平均",AVERAGE(R38:W38),R38*F38+T38*H38+V38*J38),0),ROUND(IF(D38="简单平均",AVERAGE(R38:V38),R38*F38+T38*H38+V38*J38),1))</f>
        <v>#DIV/0!</v>
      </c>
      <c r="S39" s="3777"/>
      <c r="T39" s="3777"/>
      <c r="U39" s="3777"/>
      <c r="V39" s="3777"/>
      <c r="W39" s="377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5"/>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5"/>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5"/>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5"/>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6"/>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6"/>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5"/>
      <c r="Q46" s="2725"/>
      <c r="R46" s="2725"/>
      <c r="S46" s="2725"/>
      <c r="T46" s="2725"/>
      <c r="U46" s="2725"/>
      <c r="V46" s="2725"/>
      <c r="W46" s="2725"/>
      <c r="X46" s="2725"/>
      <c r="Y46" s="2725"/>
      <c r="Z46" s="2725"/>
      <c r="AA46" s="2725"/>
      <c r="AB46" s="2725"/>
      <c r="AC46" s="2725"/>
    </row>
    <row r="47" spans="1:29" ht="21.75" thickBot="1">
      <c r="A47" s="1166" t="s">
        <v>1849</v>
      </c>
      <c r="B47" s="927"/>
      <c r="C47" s="940"/>
      <c r="D47" s="940"/>
      <c r="E47" s="940"/>
      <c r="F47" s="1167"/>
      <c r="G47" s="1167"/>
      <c r="H47" s="940"/>
      <c r="I47" s="940"/>
      <c r="J47" s="940"/>
      <c r="K47" s="941"/>
      <c r="L47" s="942"/>
      <c r="M47" s="940"/>
      <c r="N47" s="2768"/>
      <c r="O47" s="2768"/>
      <c r="P47" s="2757"/>
      <c r="Q47" s="2739"/>
      <c r="R47" s="2725"/>
      <c r="S47" s="2725"/>
      <c r="T47" s="2725"/>
      <c r="U47" s="2725"/>
      <c r="V47" s="2725"/>
      <c r="W47" s="2725"/>
      <c r="X47" s="2725"/>
      <c r="Y47" s="2725"/>
      <c r="Z47" s="2725"/>
      <c r="AA47" s="2725"/>
      <c r="AB47" s="2725"/>
      <c r="AC47" s="2725"/>
    </row>
    <row r="48" spans="1:29" s="457" customFormat="1" ht="15">
      <c r="A48" s="454" t="s">
        <v>1850</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1715</v>
      </c>
      <c r="B50" s="465"/>
      <c r="C50" s="466"/>
      <c r="D50" s="467"/>
      <c r="E50" s="467"/>
      <c r="F50" s="467"/>
      <c r="G50" s="467"/>
      <c r="H50" s="467"/>
      <c r="I50" s="467"/>
      <c r="J50" s="467"/>
      <c r="K50" s="467"/>
      <c r="L50" s="467"/>
      <c r="M50" s="468"/>
      <c r="N50" s="467"/>
      <c r="O50" s="468"/>
      <c r="P50" s="2759"/>
      <c r="Q50" s="2739"/>
      <c r="R50" s="2661"/>
      <c r="S50" s="2661"/>
      <c r="T50" s="2661"/>
      <c r="U50" s="2661"/>
      <c r="V50" s="2661"/>
      <c r="W50" s="2661"/>
      <c r="X50" s="2661"/>
      <c r="Y50" s="2661"/>
      <c r="Z50" s="2661"/>
      <c r="AA50" s="2661"/>
      <c r="AB50" s="2661"/>
      <c r="AC50" s="2661"/>
    </row>
    <row r="51" spans="1:29" s="108" customFormat="1" ht="15">
      <c r="A51" s="470" t="s">
        <v>1680</v>
      </c>
      <c r="B51" s="459"/>
      <c r="C51" s="471" t="s">
        <v>1775</v>
      </c>
      <c r="D51" s="472"/>
      <c r="E51" s="472"/>
      <c r="F51" s="472"/>
      <c r="G51" s="472"/>
      <c r="H51" s="472"/>
      <c r="I51" s="472"/>
      <c r="J51" s="472"/>
      <c r="K51" s="472"/>
      <c r="L51" s="473"/>
      <c r="M51" s="474"/>
      <c r="N51" s="2751"/>
      <c r="O51" s="2751"/>
      <c r="P51" s="2760"/>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9"/>
      <c r="R52" s="2661"/>
      <c r="S52" s="2661"/>
      <c r="T52" s="2661"/>
      <c r="U52" s="2661"/>
      <c r="V52" s="2661"/>
      <c r="W52" s="2661"/>
      <c r="X52" s="2661"/>
      <c r="Y52" s="2661"/>
      <c r="Z52" s="2661"/>
      <c r="AA52" s="2661"/>
      <c r="AB52" s="2661"/>
      <c r="AC52" s="2661"/>
    </row>
    <row r="53" spans="1:29">
      <c r="A53" s="476" t="s">
        <v>1718</v>
      </c>
      <c r="B53" s="477" t="s">
        <v>1684</v>
      </c>
      <c r="C53" s="478">
        <f>C9</f>
        <v>0</v>
      </c>
      <c r="D53" s="479"/>
      <c r="E53" s="479"/>
      <c r="F53" s="479"/>
      <c r="G53" s="479"/>
      <c r="H53" s="479"/>
      <c r="I53" s="479"/>
      <c r="J53" s="479"/>
      <c r="K53" s="480"/>
      <c r="L53" s="481"/>
      <c r="M53" s="482"/>
      <c r="N53" s="2752"/>
      <c r="O53" s="2752"/>
      <c r="P53" s="2761"/>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3"/>
      <c r="O54" s="2753"/>
      <c r="P54" s="2761"/>
      <c r="Q54" s="2739"/>
      <c r="R54" s="2725"/>
      <c r="S54" s="2725"/>
      <c r="T54" s="2725"/>
      <c r="U54" s="2725"/>
      <c r="V54" s="2725"/>
      <c r="W54" s="2725"/>
      <c r="X54" s="2725"/>
      <c r="Y54" s="2725"/>
      <c r="Z54" s="2725"/>
      <c r="AA54" s="2725"/>
      <c r="AB54" s="2725"/>
      <c r="AC54" s="2725"/>
    </row>
    <row r="55" spans="1:29" ht="27.75" thickTop="1">
      <c r="A55" s="483"/>
      <c r="B55" s="487" t="s">
        <v>1687</v>
      </c>
      <c r="C55" s="532"/>
      <c r="D55" s="532"/>
      <c r="E55" s="532"/>
      <c r="F55" s="532"/>
      <c r="G55" s="532"/>
      <c r="H55" s="532"/>
      <c r="I55" s="532"/>
      <c r="J55" s="532"/>
      <c r="K55" s="533"/>
      <c r="L55" s="534"/>
      <c r="M55" s="535"/>
      <c r="N55" s="2752"/>
      <c r="O55" s="2752"/>
      <c r="P55" s="2761"/>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3"/>
      <c r="O56" s="2753"/>
      <c r="P56" s="2761"/>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2"/>
      <c r="O57" s="2752"/>
      <c r="P57" s="2761"/>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3"/>
      <c r="O58" s="2753"/>
      <c r="P58" s="2761"/>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9"/>
      <c r="R64" s="2725"/>
      <c r="S64" s="2725"/>
      <c r="T64" s="2725"/>
      <c r="U64" s="2725"/>
      <c r="V64" s="2725"/>
      <c r="W64" s="2725"/>
      <c r="X64" s="2725"/>
      <c r="Y64" s="2725"/>
      <c r="Z64" s="2725"/>
      <c r="AA64" s="2725"/>
      <c r="AB64" s="2725"/>
      <c r="AC64" s="2725"/>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9"/>
      <c r="R66" s="2725"/>
      <c r="S66" s="2725"/>
      <c r="T66" s="2725"/>
      <c r="U66" s="2725"/>
      <c r="V66" s="2725"/>
      <c r="W66" s="2725"/>
      <c r="X66" s="2725"/>
      <c r="Y66" s="2725"/>
      <c r="Z66" s="2725"/>
      <c r="AA66" s="2725"/>
      <c r="AB66" s="2725"/>
      <c r="AC66" s="2725"/>
    </row>
    <row r="67" spans="1:29" ht="15.7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9"/>
      <c r="R68" s="2725"/>
      <c r="S68" s="2725"/>
      <c r="T68" s="2725"/>
      <c r="U68" s="2725"/>
      <c r="V68" s="2725"/>
      <c r="W68" s="2725"/>
      <c r="X68" s="2725"/>
      <c r="Y68" s="2725"/>
      <c r="Z68" s="2725"/>
      <c r="AA68" s="2725"/>
      <c r="AB68" s="2725"/>
      <c r="AC68" s="2725"/>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9"/>
      <c r="R70" s="2725"/>
      <c r="S70" s="2725"/>
      <c r="T70" s="2725"/>
      <c r="U70" s="2725"/>
      <c r="V70" s="2725"/>
      <c r="W70" s="2725"/>
      <c r="X70" s="2725"/>
      <c r="Y70" s="2725"/>
      <c r="Z70" s="2725"/>
      <c r="AA70" s="2725"/>
      <c r="AB70" s="2725"/>
      <c r="AC70" s="2725"/>
    </row>
    <row r="71" spans="1:29" ht="15.75" thickTop="1">
      <c r="A71" s="483"/>
      <c r="B71" s="487" t="s">
        <v>1851</v>
      </c>
      <c r="C71" s="503"/>
      <c r="D71" s="503"/>
      <c r="E71" s="503"/>
      <c r="F71" s="503"/>
      <c r="G71" s="503"/>
      <c r="H71" s="532"/>
      <c r="I71" s="532"/>
      <c r="J71" s="532"/>
      <c r="K71" s="533"/>
      <c r="L71" s="534"/>
      <c r="M71" s="535"/>
      <c r="N71" s="2752"/>
      <c r="O71" s="2752"/>
      <c r="P71" s="2761"/>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1"/>
      <c r="O73" s="2751"/>
      <c r="P73" s="2761"/>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1693</v>
      </c>
      <c r="B79" s="477" t="s">
        <v>1852</v>
      </c>
      <c r="C79" s="478" t="str">
        <f>C26</f>
        <v>车库</v>
      </c>
      <c r="D79" s="479"/>
      <c r="E79" s="479"/>
      <c r="F79" s="479"/>
      <c r="G79" s="479"/>
      <c r="H79" s="479"/>
      <c r="I79" s="479"/>
      <c r="J79" s="479"/>
      <c r="K79" s="480"/>
      <c r="L79" s="481"/>
      <c r="M79" s="482"/>
      <c r="N79" s="2752"/>
      <c r="O79" s="2752"/>
      <c r="P79" s="2761"/>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9"/>
      <c r="R80" s="2725"/>
      <c r="S80" s="2725"/>
      <c r="T80" s="2725"/>
      <c r="U80" s="2725"/>
      <c r="V80" s="2725"/>
      <c r="W80" s="2725"/>
      <c r="X80" s="2725"/>
      <c r="Y80" s="2725"/>
      <c r="Z80" s="2725"/>
      <c r="AA80" s="2725"/>
      <c r="AB80" s="2725"/>
      <c r="AC80" s="2725"/>
    </row>
    <row r="81" spans="1:29" ht="15.75" thickTop="1">
      <c r="A81" s="483"/>
      <c r="B81" s="487" t="s">
        <v>1853</v>
      </c>
      <c r="C81" s="609"/>
      <c r="D81" s="609"/>
      <c r="E81" s="609"/>
      <c r="F81" s="609"/>
      <c r="G81" s="609"/>
      <c r="H81" s="609"/>
      <c r="I81" s="609"/>
      <c r="J81" s="609"/>
      <c r="K81" s="610"/>
      <c r="L81" s="611"/>
      <c r="M81" s="612"/>
      <c r="N81" s="2751"/>
      <c r="O81" s="2751"/>
      <c r="P81" s="2761"/>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2"/>
      <c r="O86" s="2752"/>
      <c r="P86" s="2761"/>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2"/>
      <c r="O88" s="2752"/>
      <c r="P88" s="2761"/>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2"/>
      <c r="O95" s="2752"/>
      <c r="P95" s="2761"/>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3"/>
      <c r="O97" s="2753"/>
      <c r="P97" s="2766"/>
      <c r="Q97" s="2767"/>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3"/>
      <c r="O98" s="2753"/>
      <c r="P98" s="2761"/>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3"/>
      <c r="O102" s="2753"/>
      <c r="P102" s="2761"/>
      <c r="Q102" s="2739"/>
      <c r="R102" s="2725"/>
      <c r="S102" s="2725"/>
      <c r="T102" s="2725"/>
      <c r="U102" s="2725"/>
      <c r="V102" s="2725"/>
      <c r="W102" s="2725"/>
      <c r="X102" s="2725"/>
      <c r="Y102" s="2725"/>
      <c r="Z102" s="2725"/>
      <c r="AA102" s="2725"/>
      <c r="AB102" s="2725"/>
      <c r="AC102" s="2725"/>
    </row>
    <row r="103" spans="1:29" ht="15" thickTop="1">
      <c r="N103" s="2725"/>
      <c r="O103" s="2725"/>
      <c r="P103" s="2755"/>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3340</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733" t="s">
        <v>1769</v>
      </c>
      <c r="D4" s="3734"/>
      <c r="E4" s="3735" t="s">
        <v>1770</v>
      </c>
      <c r="F4" s="3736"/>
      <c r="G4" s="3733" t="s">
        <v>1771</v>
      </c>
      <c r="H4" s="3734"/>
      <c r="I4" s="3733" t="s">
        <v>1772</v>
      </c>
      <c r="J4" s="3734"/>
      <c r="K4" s="559" t="s">
        <v>1773</v>
      </c>
      <c r="L4" s="2715"/>
      <c r="M4" s="2716"/>
      <c r="N4" s="2716"/>
      <c r="O4" s="2716"/>
      <c r="P4" s="3737" t="s">
        <v>1774</v>
      </c>
      <c r="Q4" s="3738"/>
      <c r="R4" s="3743" t="s">
        <v>1770</v>
      </c>
      <c r="S4" s="3744"/>
      <c r="T4" s="3743" t="s">
        <v>1771</v>
      </c>
      <c r="U4" s="3744"/>
      <c r="V4" s="3749" t="s">
        <v>1772</v>
      </c>
      <c r="W4" s="3749"/>
      <c r="X4" s="1355"/>
      <c r="Y4" s="3743" t="s">
        <v>1774</v>
      </c>
      <c r="Z4" s="3744"/>
      <c r="AA4" s="3730" t="s">
        <v>1770</v>
      </c>
      <c r="AB4" s="3731" t="s">
        <v>1771</v>
      </c>
      <c r="AC4" s="3730" t="s">
        <v>1772</v>
      </c>
    </row>
    <row r="5" spans="1:29" ht="15">
      <c r="A5" s="358"/>
      <c r="B5" s="359"/>
      <c r="C5" s="3752" t="s">
        <v>1672</v>
      </c>
      <c r="D5" s="3753"/>
      <c r="E5" s="3759" t="s">
        <v>1673</v>
      </c>
      <c r="F5" s="3760"/>
      <c r="G5" s="3752" t="s">
        <v>1674</v>
      </c>
      <c r="H5" s="3753"/>
      <c r="I5" s="3752" t="s">
        <v>1675</v>
      </c>
      <c r="J5" s="3753"/>
      <c r="K5" s="559"/>
      <c r="L5" s="2715"/>
      <c r="M5" s="2716"/>
      <c r="N5" s="2716"/>
      <c r="O5" s="2716"/>
      <c r="P5" s="3739"/>
      <c r="Q5" s="3740"/>
      <c r="R5" s="3745"/>
      <c r="S5" s="3746"/>
      <c r="T5" s="3745"/>
      <c r="U5" s="3746"/>
      <c r="V5" s="3749"/>
      <c r="W5" s="3749"/>
      <c r="X5" s="1355"/>
      <c r="Y5" s="3745"/>
      <c r="Z5" s="3746"/>
      <c r="AA5" s="3731"/>
      <c r="AB5" s="3731"/>
      <c r="AC5" s="3731"/>
    </row>
    <row r="6" spans="1:29" ht="15.75" thickBot="1">
      <c r="A6" s="360"/>
      <c r="B6" s="361"/>
      <c r="C6" s="3750" t="s">
        <v>1676</v>
      </c>
      <c r="D6" s="3751"/>
      <c r="E6" s="3757" t="s">
        <v>1676</v>
      </c>
      <c r="F6" s="3758"/>
      <c r="G6" s="3750" t="s">
        <v>1676</v>
      </c>
      <c r="H6" s="3751"/>
      <c r="I6" s="3750" t="s">
        <v>1676</v>
      </c>
      <c r="J6" s="3751"/>
      <c r="K6" s="559" t="s">
        <v>1677</v>
      </c>
      <c r="L6" s="2715"/>
      <c r="M6" s="2716"/>
      <c r="N6" s="2716"/>
      <c r="O6" s="2716"/>
      <c r="P6" s="3741"/>
      <c r="Q6" s="3742"/>
      <c r="R6" s="3745"/>
      <c r="S6" s="3746"/>
      <c r="T6" s="3747"/>
      <c r="U6" s="3748"/>
      <c r="V6" s="3749"/>
      <c r="W6" s="3749"/>
      <c r="X6" s="1355"/>
      <c r="Y6" s="3747"/>
      <c r="Z6" s="3748"/>
      <c r="AA6" s="3732"/>
      <c r="AB6" s="3732"/>
      <c r="AC6" s="3732"/>
    </row>
    <row r="7" spans="1:29" s="108" customFormat="1" ht="15.75" thickBot="1">
      <c r="A7" s="362" t="s">
        <v>1678</v>
      </c>
      <c r="B7" s="363"/>
      <c r="C7" s="364">
        <f>'数据-取费表'!B2</f>
        <v>44985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54" t="s">
        <v>1679</v>
      </c>
      <c r="Q7" s="3756"/>
      <c r="R7" s="701" t="s">
        <v>14</v>
      </c>
      <c r="S7" s="702">
        <f t="shared" ref="S7:S14" si="0">F7</f>
        <v>0</v>
      </c>
      <c r="T7" s="701" t="s">
        <v>14</v>
      </c>
      <c r="U7" s="702">
        <f t="shared" ref="U7:U14" si="1">H7</f>
        <v>0</v>
      </c>
      <c r="V7" s="701" t="s">
        <v>14</v>
      </c>
      <c r="W7" s="702">
        <f t="shared" ref="W7:W14" si="2">J7</f>
        <v>0</v>
      </c>
      <c r="X7" s="703"/>
      <c r="Y7" s="3754" t="s">
        <v>1679</v>
      </c>
      <c r="Z7" s="3755"/>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54" t="s">
        <v>1682</v>
      </c>
      <c r="Q8" s="3755"/>
      <c r="R8" s="701" t="s">
        <v>14</v>
      </c>
      <c r="S8" s="702">
        <f t="shared" si="0"/>
        <v>100</v>
      </c>
      <c r="T8" s="701" t="s">
        <v>14</v>
      </c>
      <c r="U8" s="702">
        <f t="shared" si="1"/>
        <v>100</v>
      </c>
      <c r="V8" s="701" t="s">
        <v>14</v>
      </c>
      <c r="W8" s="702">
        <f t="shared" si="2"/>
        <v>100</v>
      </c>
      <c r="X8" s="703"/>
      <c r="Y8" s="3754" t="s">
        <v>1682</v>
      </c>
      <c r="Z8" s="3755"/>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1"/>
      <c r="P9" s="3718" t="s">
        <v>1685</v>
      </c>
      <c r="Q9" s="1343" t="str">
        <f t="shared" ref="Q9:Q14" si="6">B9</f>
        <v>用途</v>
      </c>
      <c r="R9" s="701" t="s">
        <v>14</v>
      </c>
      <c r="S9" s="702">
        <f t="shared" si="0"/>
        <v>100</v>
      </c>
      <c r="T9" s="701" t="s">
        <v>14</v>
      </c>
      <c r="U9" s="702">
        <f t="shared" si="1"/>
        <v>100</v>
      </c>
      <c r="V9" s="701" t="s">
        <v>14</v>
      </c>
      <c r="W9" s="702">
        <f t="shared" si="2"/>
        <v>100</v>
      </c>
      <c r="X9" s="703"/>
      <c r="Y9" s="3593" t="s">
        <v>1686</v>
      </c>
      <c r="Z9" s="52" t="str">
        <f t="shared" ref="Z9:Z14" si="7">Q9</f>
        <v>用途</v>
      </c>
      <c r="AA9" s="704">
        <f t="shared" si="3"/>
        <v>1</v>
      </c>
      <c r="AB9" s="704">
        <f t="shared" si="4"/>
        <v>1</v>
      </c>
      <c r="AC9" s="704">
        <f t="shared" si="5"/>
        <v>1</v>
      </c>
    </row>
    <row r="10" spans="1:29" s="378" customFormat="1" ht="27">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9"/>
      <c r="M10" s="2720"/>
      <c r="N10" s="2720"/>
      <c r="O10" s="2772"/>
      <c r="P10" s="3718"/>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3"/>
      <c r="P11" s="3718"/>
      <c r="Q11" s="1343">
        <f t="shared" si="6"/>
        <v>111</v>
      </c>
      <c r="R11" s="701" t="s">
        <v>14</v>
      </c>
      <c r="S11" s="702">
        <f t="shared" si="0"/>
        <v>100</v>
      </c>
      <c r="T11" s="701" t="s">
        <v>14</v>
      </c>
      <c r="U11" s="702">
        <f t="shared" si="1"/>
        <v>100</v>
      </c>
      <c r="V11" s="701" t="s">
        <v>14</v>
      </c>
      <c r="W11" s="702">
        <f t="shared" si="2"/>
        <v>100</v>
      </c>
      <c r="X11" s="703"/>
      <c r="Y11" s="359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1"/>
      <c r="P12" s="3718"/>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3"/>
      <c r="P13" s="3718"/>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3"/>
      <c r="P14" s="3720" t="s">
        <v>1690</v>
      </c>
      <c r="Q14" s="1352" t="str">
        <f t="shared" si="6"/>
        <v>交通便捷度</v>
      </c>
      <c r="R14" s="705" t="s">
        <v>14</v>
      </c>
      <c r="S14" s="706">
        <f t="shared" si="0"/>
        <v>100</v>
      </c>
      <c r="T14" s="705" t="s">
        <v>14</v>
      </c>
      <c r="U14" s="706">
        <f t="shared" si="1"/>
        <v>100</v>
      </c>
      <c r="V14" s="705" t="s">
        <v>14</v>
      </c>
      <c r="W14" s="706">
        <f t="shared" si="2"/>
        <v>100</v>
      </c>
      <c r="X14" s="1355"/>
      <c r="Y14" s="3720"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3"/>
      <c r="P15" s="3721"/>
      <c r="Q15" s="1352"/>
      <c r="R15" s="705"/>
      <c r="S15" s="706"/>
      <c r="T15" s="705"/>
      <c r="U15" s="706"/>
      <c r="V15" s="705"/>
      <c r="W15" s="706"/>
      <c r="X15" s="1355"/>
      <c r="Y15" s="3721"/>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3"/>
      <c r="P16" s="3721"/>
      <c r="Q16" s="1352" t="str">
        <f>B16</f>
        <v>公共配套设施</v>
      </c>
      <c r="R16" s="705" t="s">
        <v>14</v>
      </c>
      <c r="S16" s="706">
        <f>F16</f>
        <v>100</v>
      </c>
      <c r="T16" s="705" t="s">
        <v>14</v>
      </c>
      <c r="U16" s="706">
        <f>H16</f>
        <v>100</v>
      </c>
      <c r="V16" s="705" t="s">
        <v>14</v>
      </c>
      <c r="W16" s="706">
        <f>J16</f>
        <v>100</v>
      </c>
      <c r="X16" s="1355"/>
      <c r="Y16" s="372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3"/>
      <c r="P17" s="3721"/>
      <c r="Q17" s="1352"/>
      <c r="R17" s="705"/>
      <c r="S17" s="706"/>
      <c r="T17" s="705"/>
      <c r="U17" s="706"/>
      <c r="V17" s="705"/>
      <c r="W17" s="706"/>
      <c r="X17" s="1355"/>
      <c r="Y17" s="3721"/>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3"/>
      <c r="P18" s="3721"/>
      <c r="Q18" s="1352" t="str">
        <f>B18</f>
        <v>基础设施水平</v>
      </c>
      <c r="R18" s="705" t="s">
        <v>14</v>
      </c>
      <c r="S18" s="706">
        <f>F18</f>
        <v>100</v>
      </c>
      <c r="T18" s="705" t="s">
        <v>14</v>
      </c>
      <c r="U18" s="706">
        <f>H18</f>
        <v>100</v>
      </c>
      <c r="V18" s="705" t="s">
        <v>14</v>
      </c>
      <c r="W18" s="706">
        <f>J18</f>
        <v>100</v>
      </c>
      <c r="X18" s="1355"/>
      <c r="Y18" s="372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3"/>
      <c r="P19" s="3721"/>
      <c r="Q19" s="1352"/>
      <c r="R19" s="705"/>
      <c r="S19" s="706"/>
      <c r="T19" s="705"/>
      <c r="U19" s="706"/>
      <c r="V19" s="705"/>
      <c r="W19" s="706"/>
      <c r="X19" s="1355"/>
      <c r="Y19" s="3721"/>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3"/>
      <c r="P20" s="3721"/>
      <c r="Q20" s="1352" t="str">
        <f>B20</f>
        <v>自然及人文环境</v>
      </c>
      <c r="R20" s="705" t="s">
        <v>14</v>
      </c>
      <c r="S20" s="706">
        <f>F20</f>
        <v>100</v>
      </c>
      <c r="T20" s="705" t="s">
        <v>14</v>
      </c>
      <c r="U20" s="706">
        <f>H20</f>
        <v>100</v>
      </c>
      <c r="V20" s="705" t="s">
        <v>14</v>
      </c>
      <c r="W20" s="706">
        <f>J20</f>
        <v>100</v>
      </c>
      <c r="X20" s="1355"/>
      <c r="Y20" s="372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3"/>
      <c r="P21" s="3721"/>
      <c r="Q21" s="1352"/>
      <c r="R21" s="705"/>
      <c r="S21" s="706"/>
      <c r="T21" s="705"/>
      <c r="U21" s="706"/>
      <c r="V21" s="705"/>
      <c r="W21" s="706"/>
      <c r="X21" s="1355"/>
      <c r="Y21" s="3721"/>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3"/>
      <c r="P22" s="3721"/>
      <c r="Q22" s="1352" t="str">
        <f>B22</f>
        <v>楼层</v>
      </c>
      <c r="R22" s="705" t="s">
        <v>14</v>
      </c>
      <c r="S22" s="706">
        <f>F22</f>
        <v>100</v>
      </c>
      <c r="T22" s="705" t="s">
        <v>14</v>
      </c>
      <c r="U22" s="706">
        <f>H22</f>
        <v>100</v>
      </c>
      <c r="V22" s="705" t="s">
        <v>14</v>
      </c>
      <c r="W22" s="706">
        <f>J22</f>
        <v>100</v>
      </c>
      <c r="X22" s="1355"/>
      <c r="Y22" s="372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3"/>
      <c r="P23" s="3721"/>
      <c r="Q23" s="1352">
        <f>B23</f>
        <v>111</v>
      </c>
      <c r="R23" s="705" t="s">
        <v>14</v>
      </c>
      <c r="S23" s="706">
        <f>F23</f>
        <v>100</v>
      </c>
      <c r="T23" s="705" t="s">
        <v>14</v>
      </c>
      <c r="U23" s="706">
        <f>H23</f>
        <v>100</v>
      </c>
      <c r="V23" s="705" t="s">
        <v>14</v>
      </c>
      <c r="W23" s="706">
        <f>J23</f>
        <v>100</v>
      </c>
      <c r="X23" s="1355"/>
      <c r="Y23" s="372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3"/>
      <c r="P24" s="3721"/>
      <c r="Q24" s="1352">
        <f t="shared" ref="Q24:Q34" si="11">B24</f>
        <v>111</v>
      </c>
      <c r="R24" s="705" t="s">
        <v>14</v>
      </c>
      <c r="S24" s="706">
        <f>F24</f>
        <v>100</v>
      </c>
      <c r="T24" s="705" t="s">
        <v>14</v>
      </c>
      <c r="U24" s="706">
        <f>H24</f>
        <v>100</v>
      </c>
      <c r="V24" s="705" t="s">
        <v>14</v>
      </c>
      <c r="W24" s="706">
        <f>J24</f>
        <v>100</v>
      </c>
      <c r="X24" s="1355"/>
      <c r="Y24" s="372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1"/>
      <c r="P25" s="3721"/>
      <c r="Q25" s="1343">
        <f t="shared" si="11"/>
        <v>111</v>
      </c>
      <c r="R25" s="701" t="s">
        <v>14</v>
      </c>
      <c r="S25" s="702">
        <f>F25</f>
        <v>100</v>
      </c>
      <c r="T25" s="701" t="s">
        <v>14</v>
      </c>
      <c r="U25" s="702">
        <f>H25</f>
        <v>100</v>
      </c>
      <c r="V25" s="701" t="s">
        <v>14</v>
      </c>
      <c r="W25" s="702">
        <f>J25</f>
        <v>100</v>
      </c>
      <c r="X25" s="703"/>
      <c r="Y25" s="3721"/>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3"/>
      <c r="P26" s="3776"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5"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4"/>
      <c r="P27" s="3725"/>
      <c r="Q27" s="707" t="str">
        <f t="shared" si="11"/>
        <v>成新率</v>
      </c>
      <c r="R27" s="708" t="s">
        <v>14</v>
      </c>
      <c r="S27" s="709" t="e">
        <f t="shared" si="12"/>
        <v>#N/A</v>
      </c>
      <c r="T27" s="708" t="s">
        <v>14</v>
      </c>
      <c r="U27" s="709" t="e">
        <f t="shared" si="13"/>
        <v>#N/A</v>
      </c>
      <c r="V27" s="708" t="s">
        <v>14</v>
      </c>
      <c r="W27" s="709" t="e">
        <f t="shared" si="14"/>
        <v>#N/A</v>
      </c>
      <c r="X27" s="710"/>
      <c r="Y27" s="3725"/>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3"/>
      <c r="P28" s="3725"/>
      <c r="Q28" s="1352" t="str">
        <f t="shared" si="11"/>
        <v>物业等级</v>
      </c>
      <c r="R28" s="705" t="s">
        <v>14</v>
      </c>
      <c r="S28" s="706">
        <f t="shared" si="12"/>
        <v>100</v>
      </c>
      <c r="T28" s="705" t="s">
        <v>14</v>
      </c>
      <c r="U28" s="706">
        <f t="shared" si="13"/>
        <v>100</v>
      </c>
      <c r="V28" s="705" t="s">
        <v>14</v>
      </c>
      <c r="W28" s="706">
        <f t="shared" si="14"/>
        <v>100</v>
      </c>
      <c r="X28" s="1355"/>
      <c r="Y28" s="3725"/>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3"/>
      <c r="P29" s="3725"/>
      <c r="Q29" s="1352" t="str">
        <f t="shared" si="11"/>
        <v>有无电梯</v>
      </c>
      <c r="R29" s="705" t="s">
        <v>14</v>
      </c>
      <c r="S29" s="706">
        <f t="shared" si="12"/>
        <v>100</v>
      </c>
      <c r="T29" s="705" t="s">
        <v>14</v>
      </c>
      <c r="U29" s="706">
        <f t="shared" si="13"/>
        <v>100</v>
      </c>
      <c r="V29" s="705" t="s">
        <v>14</v>
      </c>
      <c r="W29" s="706">
        <f t="shared" si="14"/>
        <v>100</v>
      </c>
      <c r="X29" s="1355"/>
      <c r="Y29" s="3725"/>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3"/>
      <c r="P30" s="3725"/>
      <c r="Q30" s="1352" t="str">
        <f t="shared" si="11"/>
        <v>建筑面积</v>
      </c>
      <c r="R30" s="705" t="s">
        <v>14</v>
      </c>
      <c r="S30" s="706" t="e">
        <f t="shared" si="12"/>
        <v>#N/A</v>
      </c>
      <c r="T30" s="705" t="s">
        <v>14</v>
      </c>
      <c r="U30" s="706" t="e">
        <f t="shared" si="13"/>
        <v>#N/A</v>
      </c>
      <c r="V30" s="705" t="s">
        <v>14</v>
      </c>
      <c r="W30" s="706" t="e">
        <f t="shared" si="14"/>
        <v>#N/A</v>
      </c>
      <c r="X30" s="1355"/>
      <c r="Y30" s="3725"/>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1"/>
      <c r="P31" s="3725"/>
      <c r="Q31" s="1343" t="str">
        <f t="shared" si="11"/>
        <v>是否封闭</v>
      </c>
      <c r="R31" s="701" t="s">
        <v>14</v>
      </c>
      <c r="S31" s="702">
        <f t="shared" si="12"/>
        <v>100</v>
      </c>
      <c r="T31" s="701" t="s">
        <v>14</v>
      </c>
      <c r="U31" s="702">
        <f t="shared" si="13"/>
        <v>100</v>
      </c>
      <c r="V31" s="701" t="s">
        <v>14</v>
      </c>
      <c r="W31" s="702">
        <f t="shared" si="14"/>
        <v>100</v>
      </c>
      <c r="X31" s="703"/>
      <c r="Y31" s="372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3"/>
      <c r="P32" s="3725" t="s">
        <v>1695</v>
      </c>
      <c r="Q32" s="1352">
        <f t="shared" si="11"/>
        <v>111</v>
      </c>
      <c r="R32" s="705" t="s">
        <v>14</v>
      </c>
      <c r="S32" s="706">
        <f t="shared" si="12"/>
        <v>100</v>
      </c>
      <c r="T32" s="705" t="s">
        <v>14</v>
      </c>
      <c r="U32" s="706">
        <f t="shared" si="13"/>
        <v>100</v>
      </c>
      <c r="V32" s="705" t="s">
        <v>14</v>
      </c>
      <c r="W32" s="706">
        <f t="shared" si="14"/>
        <v>100</v>
      </c>
      <c r="X32" s="1355"/>
      <c r="Y32" s="3725"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3"/>
      <c r="P33" s="3725"/>
      <c r="Q33" s="1352">
        <f t="shared" si="11"/>
        <v>111</v>
      </c>
      <c r="R33" s="705" t="s">
        <v>14</v>
      </c>
      <c r="S33" s="706">
        <f t="shared" si="12"/>
        <v>100</v>
      </c>
      <c r="T33" s="705" t="s">
        <v>14</v>
      </c>
      <c r="U33" s="706">
        <f t="shared" si="13"/>
        <v>100</v>
      </c>
      <c r="V33" s="705" t="s">
        <v>14</v>
      </c>
      <c r="W33" s="706">
        <f t="shared" si="14"/>
        <v>100</v>
      </c>
      <c r="X33" s="1355"/>
      <c r="Y33" s="372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3"/>
      <c r="P34" s="3725"/>
      <c r="Q34" s="1352">
        <f t="shared" si="11"/>
        <v>111</v>
      </c>
      <c r="R34" s="705" t="s">
        <v>14</v>
      </c>
      <c r="S34" s="706">
        <f t="shared" si="12"/>
        <v>100</v>
      </c>
      <c r="T34" s="705" t="s">
        <v>14</v>
      </c>
      <c r="U34" s="706">
        <f t="shared" si="13"/>
        <v>100</v>
      </c>
      <c r="V34" s="705" t="s">
        <v>14</v>
      </c>
      <c r="W34" s="706">
        <f t="shared" si="14"/>
        <v>100</v>
      </c>
      <c r="X34" s="1355"/>
      <c r="Y34" s="3725"/>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4"/>
      <c r="M35" s="2725"/>
      <c r="N35" s="2716"/>
      <c r="O35" s="2725"/>
      <c r="P35" s="3718" t="str">
        <f>A35</f>
        <v>成交单价（元/平方米）</v>
      </c>
      <c r="Q35" s="3718"/>
      <c r="R35" s="3719">
        <f>E35</f>
        <v>0</v>
      </c>
      <c r="S35" s="3719"/>
      <c r="T35" s="3719">
        <f>G35</f>
        <v>0</v>
      </c>
      <c r="U35" s="3719"/>
      <c r="V35" s="3719">
        <f>I35</f>
        <v>0</v>
      </c>
      <c r="W35" s="3719"/>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18" t="str">
        <f>A36</f>
        <v>比较价值（元/平方米）</v>
      </c>
      <c r="Q36" s="3718"/>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4"/>
      <c r="M37" s="2725"/>
      <c r="N37" s="2725"/>
      <c r="O37" s="2725"/>
      <c r="P37" s="3715" t="str">
        <f>A37</f>
        <v>估价对象XX用房的比较价值（楼面单价，元/平方米）</v>
      </c>
      <c r="Q37" s="3716"/>
      <c r="R37" s="3777" t="e">
        <f>IF(F1="售价",ROUND(IF(D36="简单平均",AVERAGE(R36:W36),R36*F36+T36*H36+V36*J36),0),ROUND(IF(D36="简单平均",AVERAGE(R36:V36),R36*F36+T36*H36+V36*J36),1))</f>
        <v>#DIV/0!</v>
      </c>
      <c r="S37" s="3777"/>
      <c r="T37" s="3777"/>
      <c r="U37" s="3777"/>
      <c r="V37" s="3777"/>
      <c r="W37" s="377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1797</v>
      </c>
      <c r="B45" s="690"/>
      <c r="C45" s="695"/>
      <c r="D45" s="695"/>
      <c r="E45" s="695"/>
      <c r="F45" s="696"/>
      <c r="G45" s="696"/>
      <c r="H45" s="695"/>
      <c r="I45" s="695"/>
      <c r="J45" s="695"/>
      <c r="K45" s="697"/>
      <c r="L45" s="698"/>
      <c r="M45" s="695"/>
      <c r="N45" s="2768"/>
      <c r="O45" s="2768"/>
      <c r="P45" s="2768"/>
      <c r="Q45" s="2739"/>
      <c r="R45" s="2725"/>
      <c r="S45" s="2725"/>
      <c r="T45" s="2725"/>
      <c r="U45" s="2725"/>
      <c r="V45" s="2725"/>
      <c r="W45" s="2725"/>
      <c r="X45" s="2725"/>
      <c r="Y45" s="2725"/>
      <c r="Z45" s="2725"/>
      <c r="AA45" s="2725"/>
      <c r="AB45" s="2725"/>
      <c r="AC45" s="2725"/>
      <c r="AD45" s="2725"/>
    </row>
    <row r="46" spans="1:30" s="457" customFormat="1" ht="15">
      <c r="A46" s="454" t="s">
        <v>1678</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1680</v>
      </c>
      <c r="B49" s="459"/>
      <c r="C49" s="471" t="s">
        <v>1775</v>
      </c>
      <c r="D49" s="472"/>
      <c r="E49" s="472"/>
      <c r="F49" s="472"/>
      <c r="G49" s="472"/>
      <c r="H49" s="472"/>
      <c r="I49" s="472"/>
      <c r="J49" s="472"/>
      <c r="K49" s="472"/>
      <c r="L49" s="473"/>
      <c r="M49" s="474"/>
      <c r="N49" s="2751"/>
      <c r="O49" s="2751"/>
      <c r="P49" s="2776"/>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9"/>
      <c r="Q50" s="2739"/>
      <c r="R50" s="2661"/>
      <c r="S50" s="2661"/>
      <c r="T50" s="2661"/>
      <c r="U50" s="2661"/>
      <c r="V50" s="2661"/>
      <c r="W50" s="2661"/>
      <c r="X50" s="2661"/>
      <c r="Y50" s="2661"/>
      <c r="Z50" s="2661"/>
      <c r="AA50" s="2661"/>
      <c r="AB50" s="2661"/>
      <c r="AC50" s="2661"/>
      <c r="AD50" s="2661"/>
    </row>
    <row r="51" spans="1:30">
      <c r="A51" s="476" t="s">
        <v>1718</v>
      </c>
      <c r="B51" s="477" t="s">
        <v>1684</v>
      </c>
      <c r="C51" s="478">
        <f>C9</f>
        <v>0</v>
      </c>
      <c r="D51" s="479"/>
      <c r="E51" s="479"/>
      <c r="F51" s="479"/>
      <c r="G51" s="479"/>
      <c r="H51" s="479"/>
      <c r="I51" s="479"/>
      <c r="J51" s="479"/>
      <c r="K51" s="480"/>
      <c r="L51" s="481"/>
      <c r="M51" s="482"/>
      <c r="N51" s="2752"/>
      <c r="O51" s="2752"/>
      <c r="P51" s="2777"/>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3"/>
      <c r="O52" s="2753"/>
      <c r="P52" s="2777"/>
      <c r="Q52" s="2739"/>
      <c r="R52" s="2725"/>
      <c r="S52" s="2725"/>
      <c r="T52" s="2725"/>
      <c r="U52" s="2725"/>
      <c r="V52" s="2725"/>
      <c r="W52" s="2725"/>
      <c r="X52" s="2725"/>
      <c r="Y52" s="2725"/>
      <c r="Z52" s="2725"/>
      <c r="AA52" s="2725"/>
      <c r="AB52" s="2725"/>
      <c r="AC52" s="2725"/>
      <c r="AD52" s="2725"/>
    </row>
    <row r="53" spans="1:30" ht="27.75" thickTop="1">
      <c r="A53" s="483"/>
      <c r="B53" s="487" t="s">
        <v>1687</v>
      </c>
      <c r="C53" s="532"/>
      <c r="D53" s="532"/>
      <c r="E53" s="532"/>
      <c r="F53" s="532"/>
      <c r="G53" s="532"/>
      <c r="H53" s="532"/>
      <c r="I53" s="532"/>
      <c r="J53" s="532"/>
      <c r="K53" s="533"/>
      <c r="L53" s="534"/>
      <c r="M53" s="535"/>
      <c r="N53" s="2752"/>
      <c r="O53" s="2752"/>
      <c r="P53" s="2777"/>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3"/>
      <c r="O54" s="2753"/>
      <c r="P54" s="2777"/>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2"/>
      <c r="O55" s="2752"/>
      <c r="P55" s="2777"/>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3"/>
      <c r="O56" s="2753"/>
      <c r="P56" s="2777"/>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3"/>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9"/>
      <c r="R62" s="2725"/>
      <c r="S62" s="2725"/>
      <c r="T62" s="2725"/>
      <c r="U62" s="2725"/>
      <c r="V62" s="2725"/>
      <c r="W62" s="2725"/>
      <c r="X62" s="2725"/>
      <c r="Y62" s="2725"/>
      <c r="Z62" s="2725"/>
      <c r="AA62" s="2725"/>
      <c r="AB62" s="2725"/>
      <c r="AC62" s="2725"/>
      <c r="AD62" s="2725"/>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9"/>
      <c r="R64" s="2725"/>
      <c r="S64" s="2725"/>
      <c r="T64" s="2725"/>
      <c r="U64" s="2725"/>
      <c r="V64" s="2725"/>
      <c r="W64" s="2725"/>
      <c r="X64" s="2725"/>
      <c r="Y64" s="2725"/>
      <c r="Z64" s="2725"/>
      <c r="AA64" s="2725"/>
      <c r="AB64" s="2725"/>
      <c r="AC64" s="2725"/>
      <c r="AD64" s="2725"/>
    </row>
    <row r="65" spans="1:30" ht="15.7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9"/>
      <c r="R66" s="2725"/>
      <c r="S66" s="2725"/>
      <c r="T66" s="2725"/>
      <c r="U66" s="2725"/>
      <c r="V66" s="2725"/>
      <c r="W66" s="2725"/>
      <c r="X66" s="2725"/>
      <c r="Y66" s="2725"/>
      <c r="Z66" s="2725"/>
      <c r="AA66" s="2725"/>
      <c r="AB66" s="2725"/>
      <c r="AC66" s="2725"/>
      <c r="AD66" s="2725"/>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9"/>
      <c r="R68" s="2725"/>
      <c r="S68" s="2725"/>
      <c r="T68" s="2725"/>
      <c r="U68" s="2725"/>
      <c r="V68" s="2725"/>
      <c r="W68" s="2725"/>
      <c r="X68" s="2725"/>
      <c r="Y68" s="2725"/>
      <c r="Z68" s="2725"/>
      <c r="AA68" s="2725"/>
      <c r="AB68" s="2725"/>
      <c r="AC68" s="2725"/>
      <c r="AD68" s="2725"/>
    </row>
    <row r="69" spans="1:30" ht="15.75" thickTop="1">
      <c r="A69" s="483"/>
      <c r="B69" s="487" t="s">
        <v>1851</v>
      </c>
      <c r="C69" s="503"/>
      <c r="D69" s="503"/>
      <c r="E69" s="503"/>
      <c r="F69" s="503"/>
      <c r="G69" s="503"/>
      <c r="H69" s="532"/>
      <c r="I69" s="532"/>
      <c r="J69" s="532"/>
      <c r="K69" s="533"/>
      <c r="L69" s="534"/>
      <c r="M69" s="535"/>
      <c r="N69" s="2752"/>
      <c r="O69" s="2752"/>
      <c r="P69" s="2777"/>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3"/>
      <c r="O70" s="2753"/>
      <c r="P70" s="2777"/>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1"/>
      <c r="O71" s="2751"/>
      <c r="P71" s="2777"/>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9"/>
      <c r="R78" s="2725"/>
      <c r="S78" s="2725"/>
      <c r="T78" s="2725"/>
      <c r="U78" s="2725"/>
      <c r="V78" s="2725"/>
      <c r="W78" s="2725"/>
      <c r="X78" s="2725"/>
      <c r="Y78" s="2725"/>
      <c r="Z78" s="2725"/>
      <c r="AA78" s="2725"/>
      <c r="AB78" s="2725"/>
      <c r="AC78" s="2725"/>
      <c r="AD78" s="2725"/>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1"/>
      <c r="O80" s="2751"/>
      <c r="P80" s="2777"/>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2"/>
      <c r="O84" s="2752"/>
      <c r="P84" s="2777"/>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2"/>
      <c r="O87" s="2752"/>
      <c r="P87" s="2777"/>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3"/>
      <c r="O88" s="2753"/>
      <c r="P88" s="2777"/>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3"/>
      <c r="O92" s="2753"/>
      <c r="P92" s="2777"/>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2"/>
      <c r="O93" s="2752"/>
      <c r="P93" s="2777"/>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3"/>
      <c r="O94" s="2753"/>
      <c r="P94" s="2777"/>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3"/>
      <c r="O95" s="2753"/>
      <c r="P95" s="2780"/>
      <c r="Q95" s="2767"/>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3"/>
      <c r="O96" s="2753"/>
      <c r="P96" s="2777"/>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22" sqref="I2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1768</v>
      </c>
      <c r="B4" s="356"/>
      <c r="C4" s="3733" t="s">
        <v>1769</v>
      </c>
      <c r="D4" s="3734"/>
      <c r="E4" s="3735" t="s">
        <v>1770</v>
      </c>
      <c r="F4" s="3736"/>
      <c r="G4" s="3733" t="s">
        <v>1771</v>
      </c>
      <c r="H4" s="3734"/>
      <c r="I4" s="3733" t="s">
        <v>1772</v>
      </c>
      <c r="J4" s="3734"/>
      <c r="K4" s="559" t="s">
        <v>1773</v>
      </c>
      <c r="L4" s="2715"/>
      <c r="M4" s="2716"/>
      <c r="N4" s="2716"/>
      <c r="O4" s="2716"/>
      <c r="P4" s="3737" t="s">
        <v>1774</v>
      </c>
      <c r="Q4" s="3738"/>
      <c r="R4" s="3743" t="s">
        <v>1770</v>
      </c>
      <c r="S4" s="3744"/>
      <c r="T4" s="3743" t="s">
        <v>1771</v>
      </c>
      <c r="U4" s="3744"/>
      <c r="V4" s="3749" t="s">
        <v>1772</v>
      </c>
      <c r="W4" s="3749"/>
      <c r="X4" s="1355"/>
      <c r="Y4" s="3743" t="s">
        <v>1774</v>
      </c>
      <c r="Z4" s="3744"/>
      <c r="AA4" s="3730" t="s">
        <v>1770</v>
      </c>
      <c r="AB4" s="3731" t="s">
        <v>1771</v>
      </c>
      <c r="AC4" s="3730" t="s">
        <v>1772</v>
      </c>
    </row>
    <row r="5" spans="1:30" ht="15">
      <c r="A5" s="358"/>
      <c r="B5" s="359"/>
      <c r="C5" s="3752" t="s">
        <v>1672</v>
      </c>
      <c r="D5" s="3753"/>
      <c r="E5" s="3759" t="s">
        <v>1673</v>
      </c>
      <c r="F5" s="3760"/>
      <c r="G5" s="3752" t="s">
        <v>1674</v>
      </c>
      <c r="H5" s="3753"/>
      <c r="I5" s="3752" t="s">
        <v>1675</v>
      </c>
      <c r="J5" s="3753"/>
      <c r="K5" s="559"/>
      <c r="L5" s="2715"/>
      <c r="M5" s="2716"/>
      <c r="N5" s="2716"/>
      <c r="O5" s="2716"/>
      <c r="P5" s="3739"/>
      <c r="Q5" s="3740"/>
      <c r="R5" s="3745"/>
      <c r="S5" s="3746"/>
      <c r="T5" s="3745"/>
      <c r="U5" s="3746"/>
      <c r="V5" s="3749"/>
      <c r="W5" s="3749"/>
      <c r="X5" s="1355"/>
      <c r="Y5" s="3745"/>
      <c r="Z5" s="3746"/>
      <c r="AA5" s="3731"/>
      <c r="AB5" s="3731"/>
      <c r="AC5" s="3731"/>
    </row>
    <row r="6" spans="1:30" ht="15.75" thickBot="1">
      <c r="A6" s="360"/>
      <c r="B6" s="361"/>
      <c r="C6" s="3750" t="s">
        <v>1676</v>
      </c>
      <c r="D6" s="3751"/>
      <c r="E6" s="3757" t="s">
        <v>1676</v>
      </c>
      <c r="F6" s="3758"/>
      <c r="G6" s="3750" t="s">
        <v>1676</v>
      </c>
      <c r="H6" s="3751"/>
      <c r="I6" s="3750" t="s">
        <v>1676</v>
      </c>
      <c r="J6" s="3751"/>
      <c r="K6" s="559" t="s">
        <v>1677</v>
      </c>
      <c r="L6" s="2715"/>
      <c r="M6" s="2716"/>
      <c r="N6" s="2716"/>
      <c r="O6" s="2716"/>
      <c r="P6" s="3741"/>
      <c r="Q6" s="3742"/>
      <c r="R6" s="3745"/>
      <c r="S6" s="3746"/>
      <c r="T6" s="3747"/>
      <c r="U6" s="3748"/>
      <c r="V6" s="3749"/>
      <c r="W6" s="3749"/>
      <c r="X6" s="1355"/>
      <c r="Y6" s="3747"/>
      <c r="Z6" s="3748"/>
      <c r="AA6" s="3732"/>
      <c r="AB6" s="3732"/>
      <c r="AC6" s="3732"/>
    </row>
    <row r="7" spans="1:30" s="108" customFormat="1" ht="15.75" thickBot="1">
      <c r="A7" s="362" t="s">
        <v>1678</v>
      </c>
      <c r="B7" s="363"/>
      <c r="C7" s="364">
        <f>'数据-取费表'!B2</f>
        <v>44985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54" t="s">
        <v>1679</v>
      </c>
      <c r="Q7" s="3756"/>
      <c r="R7" s="701" t="s">
        <v>14</v>
      </c>
      <c r="S7" s="702">
        <f t="shared" ref="S7:S15" si="0">F7</f>
        <v>0</v>
      </c>
      <c r="T7" s="701" t="s">
        <v>14</v>
      </c>
      <c r="U7" s="702">
        <f t="shared" ref="U7:U15" si="1">H7</f>
        <v>0</v>
      </c>
      <c r="V7" s="701" t="s">
        <v>14</v>
      </c>
      <c r="W7" s="702">
        <f t="shared" ref="W7:W15" si="2">J7</f>
        <v>0</v>
      </c>
      <c r="X7" s="703"/>
      <c r="Y7" s="3754" t="s">
        <v>1679</v>
      </c>
      <c r="Z7" s="3755"/>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54" t="s">
        <v>1682</v>
      </c>
      <c r="Q8" s="3755"/>
      <c r="R8" s="701" t="s">
        <v>14</v>
      </c>
      <c r="S8" s="702">
        <f t="shared" si="0"/>
        <v>0</v>
      </c>
      <c r="T8" s="701" t="s">
        <v>14</v>
      </c>
      <c r="U8" s="702">
        <f t="shared" si="1"/>
        <v>0</v>
      </c>
      <c r="V8" s="701" t="s">
        <v>14</v>
      </c>
      <c r="W8" s="702">
        <f t="shared" si="2"/>
        <v>0</v>
      </c>
      <c r="X8" s="703"/>
      <c r="Y8" s="3754" t="s">
        <v>1682</v>
      </c>
      <c r="Z8" s="3755"/>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1"/>
      <c r="P9" s="3718" t="s">
        <v>1685</v>
      </c>
      <c r="Q9" s="1343" t="str">
        <f t="shared" ref="Q9:Q15" si="6">B9</f>
        <v>用途</v>
      </c>
      <c r="R9" s="701" t="s">
        <v>14</v>
      </c>
      <c r="S9" s="702">
        <f t="shared" si="0"/>
        <v>100</v>
      </c>
      <c r="T9" s="701" t="s">
        <v>14</v>
      </c>
      <c r="U9" s="702">
        <f t="shared" si="1"/>
        <v>100</v>
      </c>
      <c r="V9" s="701" t="s">
        <v>14</v>
      </c>
      <c r="W9" s="702">
        <f t="shared" si="2"/>
        <v>100</v>
      </c>
      <c r="X9" s="703"/>
      <c r="Y9" s="3593"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105</v>
      </c>
      <c r="G10" s="414"/>
      <c r="H10" s="127">
        <f>ROUND(100/'数据-取费表'!G16,0)</f>
        <v>105</v>
      </c>
      <c r="I10" s="414"/>
      <c r="J10" s="127">
        <f>ROUND(100/'数据-取费表'!G16,0)</f>
        <v>105</v>
      </c>
      <c r="K10" s="620"/>
      <c r="L10" s="2719"/>
      <c r="M10" s="2720"/>
      <c r="N10" s="2720"/>
      <c r="O10" s="2772"/>
      <c r="P10" s="3718"/>
      <c r="Q10" s="1343" t="str">
        <f t="shared" si="6"/>
        <v>土地使用年限（年）</v>
      </c>
      <c r="R10" s="701" t="s">
        <v>14</v>
      </c>
      <c r="S10" s="702">
        <f t="shared" si="0"/>
        <v>105</v>
      </c>
      <c r="T10" s="701" t="s">
        <v>14</v>
      </c>
      <c r="U10" s="702">
        <f t="shared" si="1"/>
        <v>105</v>
      </c>
      <c r="V10" s="701" t="s">
        <v>14</v>
      </c>
      <c r="W10" s="702">
        <f t="shared" si="2"/>
        <v>105</v>
      </c>
      <c r="X10" s="703"/>
      <c r="Y10" s="3593"/>
      <c r="Z10" s="52" t="str">
        <f t="shared" si="7"/>
        <v>土地使用年限（年）</v>
      </c>
      <c r="AA10" s="704">
        <f t="shared" si="3"/>
        <v>0.95238095238095233</v>
      </c>
      <c r="AB10" s="704">
        <f t="shared" si="4"/>
        <v>0.95238095238095233</v>
      </c>
      <c r="AC10" s="704">
        <f t="shared" si="5"/>
        <v>0.95238095238095233</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3"/>
      <c r="P11" s="3718"/>
      <c r="Q11" s="1343" t="str">
        <f t="shared" si="6"/>
        <v>容积率</v>
      </c>
      <c r="R11" s="701" t="s">
        <v>14</v>
      </c>
      <c r="S11" s="702" t="e">
        <f t="shared" si="0"/>
        <v>#N/A</v>
      </c>
      <c r="T11" s="701" t="s">
        <v>14</v>
      </c>
      <c r="U11" s="702" t="e">
        <f t="shared" si="1"/>
        <v>#N/A</v>
      </c>
      <c r="V11" s="701" t="s">
        <v>14</v>
      </c>
      <c r="W11" s="702" t="e">
        <f t="shared" si="2"/>
        <v>#N/A</v>
      </c>
      <c r="X11" s="703"/>
      <c r="Y11" s="3593"/>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1"/>
      <c r="P12" s="3718"/>
      <c r="Q12" s="1343" t="str">
        <f t="shared" si="6"/>
        <v>配建</v>
      </c>
      <c r="R12" s="701" t="s">
        <v>14</v>
      </c>
      <c r="S12" s="702">
        <f t="shared" si="0"/>
        <v>100</v>
      </c>
      <c r="T12" s="701" t="s">
        <v>14</v>
      </c>
      <c r="U12" s="702">
        <f t="shared" si="1"/>
        <v>100</v>
      </c>
      <c r="V12" s="701" t="s">
        <v>14</v>
      </c>
      <c r="W12" s="702">
        <f t="shared" si="2"/>
        <v>100</v>
      </c>
      <c r="X12" s="703"/>
      <c r="Y12" s="359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3"/>
      <c r="P13" s="3718"/>
      <c r="Q13" s="1343">
        <f t="shared" si="6"/>
        <v>111</v>
      </c>
      <c r="R13" s="701" t="s">
        <v>14</v>
      </c>
      <c r="S13" s="702">
        <f t="shared" si="0"/>
        <v>100</v>
      </c>
      <c r="T13" s="701" t="s">
        <v>14</v>
      </c>
      <c r="U13" s="702">
        <f t="shared" si="1"/>
        <v>100</v>
      </c>
      <c r="V13" s="701" t="s">
        <v>14</v>
      </c>
      <c r="W13" s="702">
        <f t="shared" si="2"/>
        <v>100</v>
      </c>
      <c r="X13" s="703"/>
      <c r="Y13" s="359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3"/>
      <c r="P14" s="3718"/>
      <c r="Q14" s="1343">
        <f t="shared" si="6"/>
        <v>111</v>
      </c>
      <c r="R14" s="701" t="s">
        <v>14</v>
      </c>
      <c r="S14" s="702">
        <f t="shared" si="0"/>
        <v>100</v>
      </c>
      <c r="T14" s="701" t="s">
        <v>14</v>
      </c>
      <c r="U14" s="702">
        <f t="shared" si="1"/>
        <v>100</v>
      </c>
      <c r="V14" s="701" t="s">
        <v>14</v>
      </c>
      <c r="W14" s="702">
        <f t="shared" si="2"/>
        <v>100</v>
      </c>
      <c r="X14" s="703"/>
      <c r="Y14" s="3593"/>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3"/>
      <c r="P15" s="3720" t="s">
        <v>1690</v>
      </c>
      <c r="Q15" s="1352" t="str">
        <f t="shared" si="6"/>
        <v>居住社区成熟度</v>
      </c>
      <c r="R15" s="705" t="s">
        <v>14</v>
      </c>
      <c r="S15" s="706">
        <f t="shared" si="0"/>
        <v>100</v>
      </c>
      <c r="T15" s="705" t="s">
        <v>14</v>
      </c>
      <c r="U15" s="706">
        <f t="shared" si="1"/>
        <v>100</v>
      </c>
      <c r="V15" s="705" t="s">
        <v>14</v>
      </c>
      <c r="W15" s="706">
        <f t="shared" si="2"/>
        <v>100</v>
      </c>
      <c r="X15" s="1355"/>
      <c r="Y15" s="3720"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3"/>
      <c r="P16" s="3721"/>
      <c r="Q16" s="1352"/>
      <c r="R16" s="705"/>
      <c r="S16" s="706"/>
      <c r="T16" s="705"/>
      <c r="U16" s="706"/>
      <c r="V16" s="705"/>
      <c r="W16" s="706"/>
      <c r="X16" s="1355"/>
      <c r="Y16" s="3721"/>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3"/>
      <c r="P17" s="3721"/>
      <c r="Q17" s="1352" t="str">
        <f>B17</f>
        <v>商业繁华度</v>
      </c>
      <c r="R17" s="705" t="s">
        <v>14</v>
      </c>
      <c r="S17" s="706">
        <f>F17</f>
        <v>100</v>
      </c>
      <c r="T17" s="705" t="s">
        <v>14</v>
      </c>
      <c r="U17" s="706">
        <f>H17</f>
        <v>100</v>
      </c>
      <c r="V17" s="705" t="s">
        <v>14</v>
      </c>
      <c r="W17" s="706">
        <f>J17</f>
        <v>100</v>
      </c>
      <c r="X17" s="1355"/>
      <c r="Y17" s="372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3"/>
      <c r="P18" s="3721"/>
      <c r="Q18" s="1352"/>
      <c r="R18" s="705"/>
      <c r="S18" s="706"/>
      <c r="T18" s="705"/>
      <c r="U18" s="706"/>
      <c r="V18" s="705"/>
      <c r="W18" s="706"/>
      <c r="X18" s="1355"/>
      <c r="Y18" s="3721"/>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3"/>
      <c r="P19" s="3721"/>
      <c r="Q19" s="1352" t="str">
        <f>B19</f>
        <v>办公集聚程度</v>
      </c>
      <c r="R19" s="705" t="s">
        <v>14</v>
      </c>
      <c r="S19" s="706">
        <f>F19</f>
        <v>100</v>
      </c>
      <c r="T19" s="705" t="s">
        <v>14</v>
      </c>
      <c r="U19" s="706">
        <f>H19</f>
        <v>100</v>
      </c>
      <c r="V19" s="705" t="s">
        <v>14</v>
      </c>
      <c r="W19" s="706">
        <f>J19</f>
        <v>100</v>
      </c>
      <c r="X19" s="1355"/>
      <c r="Y19" s="372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3"/>
      <c r="P20" s="3721"/>
      <c r="Q20" s="1352"/>
      <c r="R20" s="705"/>
      <c r="S20" s="706"/>
      <c r="T20" s="705"/>
      <c r="U20" s="706"/>
      <c r="V20" s="705"/>
      <c r="W20" s="706"/>
      <c r="X20" s="1355"/>
      <c r="Y20" s="3721"/>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3"/>
      <c r="P21" s="3721"/>
      <c r="Q21" s="1352" t="str">
        <f>B21</f>
        <v>交通便捷度</v>
      </c>
      <c r="R21" s="705" t="s">
        <v>14</v>
      </c>
      <c r="S21" s="706">
        <f>F21</f>
        <v>100</v>
      </c>
      <c r="T21" s="705" t="s">
        <v>14</v>
      </c>
      <c r="U21" s="706">
        <f>H21</f>
        <v>100</v>
      </c>
      <c r="V21" s="705" t="s">
        <v>14</v>
      </c>
      <c r="W21" s="706">
        <f>J21</f>
        <v>100</v>
      </c>
      <c r="X21" s="1355"/>
      <c r="Y21" s="372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3"/>
      <c r="P22" s="3721"/>
      <c r="Q22" s="1352"/>
      <c r="R22" s="705"/>
      <c r="S22" s="706"/>
      <c r="T22" s="705"/>
      <c r="U22" s="706"/>
      <c r="V22" s="705"/>
      <c r="W22" s="706"/>
      <c r="X22" s="1355"/>
      <c r="Y22" s="3721"/>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3"/>
      <c r="P23" s="3721"/>
      <c r="Q23" s="1352" t="str">
        <f t="shared" ref="Q23:Q37" si="8">B23</f>
        <v>区域土地利用方向</v>
      </c>
      <c r="R23" s="705" t="s">
        <v>14</v>
      </c>
      <c r="S23" s="706">
        <f>F23</f>
        <v>100</v>
      </c>
      <c r="T23" s="705" t="s">
        <v>14</v>
      </c>
      <c r="U23" s="706">
        <f>H23</f>
        <v>100</v>
      </c>
      <c r="V23" s="705" t="s">
        <v>14</v>
      </c>
      <c r="W23" s="706">
        <f>J23</f>
        <v>100</v>
      </c>
      <c r="X23" s="1355"/>
      <c r="Y23" s="372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3"/>
      <c r="P24" s="3721"/>
      <c r="Q24" s="1352"/>
      <c r="R24" s="705"/>
      <c r="S24" s="706"/>
      <c r="T24" s="705"/>
      <c r="U24" s="706"/>
      <c r="V24" s="705"/>
      <c r="W24" s="706"/>
      <c r="X24" s="1355"/>
      <c r="Y24" s="3721"/>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3"/>
      <c r="P25" s="3721"/>
      <c r="Q25" s="1352" t="str">
        <f t="shared" si="8"/>
        <v>自然及人文环境状况</v>
      </c>
      <c r="R25" s="705" t="s">
        <v>14</v>
      </c>
      <c r="S25" s="706">
        <f>F25</f>
        <v>100</v>
      </c>
      <c r="T25" s="705" t="s">
        <v>14</v>
      </c>
      <c r="U25" s="706">
        <f>H25</f>
        <v>100</v>
      </c>
      <c r="V25" s="705" t="s">
        <v>14</v>
      </c>
      <c r="W25" s="706">
        <f>J25</f>
        <v>100</v>
      </c>
      <c r="X25" s="1355"/>
      <c r="Y25" s="372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3"/>
      <c r="P26" s="3721"/>
      <c r="Q26" s="1352"/>
      <c r="R26" s="705"/>
      <c r="S26" s="706"/>
      <c r="T26" s="705"/>
      <c r="U26" s="706"/>
      <c r="V26" s="705"/>
      <c r="W26" s="706"/>
      <c r="X26" s="1355"/>
      <c r="Y26" s="3721"/>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1"/>
      <c r="P27" s="3721"/>
      <c r="Q27" s="1343" t="str">
        <f t="shared" si="8"/>
        <v>公共配套设施</v>
      </c>
      <c r="R27" s="701" t="s">
        <v>14</v>
      </c>
      <c r="S27" s="702">
        <f>F27</f>
        <v>100</v>
      </c>
      <c r="T27" s="701" t="s">
        <v>14</v>
      </c>
      <c r="U27" s="702">
        <f>H27</f>
        <v>100</v>
      </c>
      <c r="V27" s="701" t="s">
        <v>14</v>
      </c>
      <c r="W27" s="702">
        <f>J27</f>
        <v>100</v>
      </c>
      <c r="X27" s="703"/>
      <c r="Y27" s="372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1"/>
      <c r="P28" s="3721"/>
      <c r="Q28" s="1343"/>
      <c r="R28" s="701"/>
      <c r="S28" s="702"/>
      <c r="T28" s="701"/>
      <c r="U28" s="702"/>
      <c r="V28" s="701"/>
      <c r="W28" s="702"/>
      <c r="X28" s="703"/>
      <c r="Y28" s="3721"/>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1"/>
      <c r="P29" s="3721"/>
      <c r="Q29" s="1343" t="str">
        <f t="shared" ref="Q29" si="9">B29</f>
        <v>基础设施水平</v>
      </c>
      <c r="R29" s="701" t="s">
        <v>14</v>
      </c>
      <c r="S29" s="702">
        <f>F29</f>
        <v>100</v>
      </c>
      <c r="T29" s="701" t="s">
        <v>14</v>
      </c>
      <c r="U29" s="702">
        <f>H29</f>
        <v>100</v>
      </c>
      <c r="V29" s="701" t="s">
        <v>14</v>
      </c>
      <c r="W29" s="702">
        <f>J29</f>
        <v>100</v>
      </c>
      <c r="X29" s="703"/>
      <c r="Y29" s="372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1"/>
      <c r="P30" s="3721"/>
      <c r="Q30" s="1343"/>
      <c r="R30" s="701"/>
      <c r="S30" s="702"/>
      <c r="T30" s="701"/>
      <c r="U30" s="702"/>
      <c r="V30" s="701"/>
      <c r="W30" s="702"/>
      <c r="X30" s="703"/>
      <c r="Y30" s="3721"/>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3"/>
      <c r="P31" s="372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1"/>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3"/>
      <c r="P32" s="3721"/>
      <c r="Q32" s="1352" t="str">
        <f t="shared" si="8"/>
        <v>毗邻道路的类型与等级</v>
      </c>
      <c r="R32" s="705" t="s">
        <v>14</v>
      </c>
      <c r="S32" s="706">
        <f t="shared" si="10"/>
        <v>100</v>
      </c>
      <c r="T32" s="705" t="s">
        <v>14</v>
      </c>
      <c r="U32" s="706">
        <f t="shared" si="11"/>
        <v>100</v>
      </c>
      <c r="V32" s="705" t="s">
        <v>14</v>
      </c>
      <c r="W32" s="706">
        <f t="shared" si="12"/>
        <v>100</v>
      </c>
      <c r="X32" s="1355"/>
      <c r="Y32" s="372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3"/>
      <c r="P33" s="3721"/>
      <c r="Q33" s="1352"/>
      <c r="R33" s="705"/>
      <c r="S33" s="706"/>
      <c r="T33" s="705"/>
      <c r="U33" s="706"/>
      <c r="V33" s="705"/>
      <c r="W33" s="706"/>
      <c r="X33" s="1355"/>
      <c r="Y33" s="3721"/>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3"/>
      <c r="P34" s="3721"/>
      <c r="Q34" s="1352" t="str">
        <f t="shared" si="8"/>
        <v>土地级别</v>
      </c>
      <c r="R34" s="705" t="s">
        <v>14</v>
      </c>
      <c r="S34" s="706">
        <f t="shared" si="10"/>
        <v>100</v>
      </c>
      <c r="T34" s="705" t="s">
        <v>14</v>
      </c>
      <c r="U34" s="706">
        <f t="shared" si="11"/>
        <v>100</v>
      </c>
      <c r="V34" s="705" t="s">
        <v>14</v>
      </c>
      <c r="W34" s="706">
        <f t="shared" si="12"/>
        <v>100</v>
      </c>
      <c r="X34" s="1355"/>
      <c r="Y34" s="372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3"/>
      <c r="P35" s="3721"/>
      <c r="Q35" s="1352">
        <f t="shared" si="8"/>
        <v>111</v>
      </c>
      <c r="R35" s="705" t="s">
        <v>14</v>
      </c>
      <c r="S35" s="706">
        <f t="shared" si="10"/>
        <v>100</v>
      </c>
      <c r="T35" s="705" t="s">
        <v>14</v>
      </c>
      <c r="U35" s="706">
        <f t="shared" si="11"/>
        <v>100</v>
      </c>
      <c r="V35" s="705" t="s">
        <v>14</v>
      </c>
      <c r="W35" s="706">
        <f t="shared" si="12"/>
        <v>100</v>
      </c>
      <c r="X35" s="1355"/>
      <c r="Y35" s="372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3"/>
      <c r="P36" s="3776" t="s">
        <v>1695</v>
      </c>
      <c r="Q36" s="1352">
        <f t="shared" si="8"/>
        <v>111</v>
      </c>
      <c r="R36" s="705" t="s">
        <v>14</v>
      </c>
      <c r="S36" s="706">
        <f t="shared" si="10"/>
        <v>100</v>
      </c>
      <c r="T36" s="705" t="s">
        <v>14</v>
      </c>
      <c r="U36" s="706">
        <f t="shared" si="11"/>
        <v>100</v>
      </c>
      <c r="V36" s="705" t="s">
        <v>14</v>
      </c>
      <c r="W36" s="706">
        <f t="shared" si="12"/>
        <v>100</v>
      </c>
      <c r="X36" s="1355"/>
      <c r="Y36" s="3725"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4"/>
      <c r="P37" s="3725"/>
      <c r="Q37" s="1352">
        <f t="shared" si="8"/>
        <v>111</v>
      </c>
      <c r="R37" s="708" t="s">
        <v>14</v>
      </c>
      <c r="S37" s="709">
        <f t="shared" si="10"/>
        <v>100</v>
      </c>
      <c r="T37" s="708" t="s">
        <v>14</v>
      </c>
      <c r="U37" s="709">
        <f t="shared" si="11"/>
        <v>100</v>
      </c>
      <c r="V37" s="708" t="s">
        <v>14</v>
      </c>
      <c r="W37" s="709">
        <f t="shared" si="12"/>
        <v>100</v>
      </c>
      <c r="X37" s="710"/>
      <c r="Y37" s="3725"/>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3"/>
      <c r="P38" s="3725"/>
      <c r="Q38" s="1352" t="str">
        <f>B38</f>
        <v>宗地面积</v>
      </c>
      <c r="R38" s="705" t="s">
        <v>14</v>
      </c>
      <c r="S38" s="706" t="e">
        <f t="shared" si="10"/>
        <v>#N/A</v>
      </c>
      <c r="T38" s="705" t="s">
        <v>14</v>
      </c>
      <c r="U38" s="706" t="e">
        <f t="shared" si="11"/>
        <v>#N/A</v>
      </c>
      <c r="V38" s="705" t="s">
        <v>14</v>
      </c>
      <c r="W38" s="706" t="e">
        <f t="shared" si="12"/>
        <v>#N/A</v>
      </c>
      <c r="X38" s="1355"/>
      <c r="Y38" s="3725"/>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3"/>
      <c r="P39" s="3725"/>
      <c r="Q39" s="1352" t="str">
        <f t="shared" ref="Q39:Q45" si="14">B39</f>
        <v>宗地形状</v>
      </c>
      <c r="R39" s="705" t="s">
        <v>14</v>
      </c>
      <c r="S39" s="706">
        <f t="shared" si="10"/>
        <v>100</v>
      </c>
      <c r="T39" s="705" t="s">
        <v>14</v>
      </c>
      <c r="U39" s="706">
        <f t="shared" si="11"/>
        <v>100</v>
      </c>
      <c r="V39" s="705" t="s">
        <v>14</v>
      </c>
      <c r="W39" s="706">
        <f t="shared" si="12"/>
        <v>100</v>
      </c>
      <c r="X39" s="1355"/>
      <c r="Y39" s="3725"/>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3"/>
      <c r="P40" s="3725"/>
      <c r="Q40" s="1352" t="str">
        <f t="shared" si="14"/>
        <v>临街宽度及深度</v>
      </c>
      <c r="R40" s="705" t="s">
        <v>14</v>
      </c>
      <c r="S40" s="706">
        <f t="shared" si="10"/>
        <v>100</v>
      </c>
      <c r="T40" s="705" t="s">
        <v>14</v>
      </c>
      <c r="U40" s="706">
        <f t="shared" si="11"/>
        <v>100</v>
      </c>
      <c r="V40" s="705" t="s">
        <v>14</v>
      </c>
      <c r="W40" s="706">
        <f t="shared" si="12"/>
        <v>100</v>
      </c>
      <c r="X40" s="1355"/>
      <c r="Y40" s="3725"/>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1"/>
      <c r="P41" s="3725"/>
      <c r="Q41" s="1352" t="str">
        <f t="shared" si="14"/>
        <v>宗地开发程度</v>
      </c>
      <c r="R41" s="701" t="s">
        <v>14</v>
      </c>
      <c r="S41" s="702">
        <f t="shared" si="10"/>
        <v>100</v>
      </c>
      <c r="T41" s="701" t="s">
        <v>14</v>
      </c>
      <c r="U41" s="702">
        <f t="shared" si="11"/>
        <v>100</v>
      </c>
      <c r="V41" s="701" t="s">
        <v>14</v>
      </c>
      <c r="W41" s="702">
        <f t="shared" si="12"/>
        <v>100</v>
      </c>
      <c r="X41" s="703"/>
      <c r="Y41" s="3725"/>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3"/>
      <c r="P42" s="3725" t="s">
        <v>1695</v>
      </c>
      <c r="Q42" s="1352" t="str">
        <f t="shared" si="14"/>
        <v>工程地质条件</v>
      </c>
      <c r="R42" s="705" t="s">
        <v>14</v>
      </c>
      <c r="S42" s="706">
        <f t="shared" si="10"/>
        <v>100</v>
      </c>
      <c r="T42" s="705" t="s">
        <v>14</v>
      </c>
      <c r="U42" s="706">
        <f t="shared" si="11"/>
        <v>100</v>
      </c>
      <c r="V42" s="705" t="s">
        <v>14</v>
      </c>
      <c r="W42" s="706">
        <f t="shared" si="12"/>
        <v>100</v>
      </c>
      <c r="X42" s="1355"/>
      <c r="Y42" s="3725"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3"/>
      <c r="P43" s="3725"/>
      <c r="Q43" s="1352">
        <f t="shared" si="14"/>
        <v>111</v>
      </c>
      <c r="R43" s="705" t="s">
        <v>14</v>
      </c>
      <c r="S43" s="706">
        <f t="shared" si="10"/>
        <v>100</v>
      </c>
      <c r="T43" s="705" t="s">
        <v>14</v>
      </c>
      <c r="U43" s="706">
        <f t="shared" si="11"/>
        <v>100</v>
      </c>
      <c r="V43" s="705" t="s">
        <v>14</v>
      </c>
      <c r="W43" s="706">
        <f t="shared" si="12"/>
        <v>100</v>
      </c>
      <c r="X43" s="1355"/>
      <c r="Y43" s="372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3"/>
      <c r="P44" s="3725"/>
      <c r="Q44" s="1352">
        <f t="shared" si="14"/>
        <v>111</v>
      </c>
      <c r="R44" s="705" t="s">
        <v>14</v>
      </c>
      <c r="S44" s="706">
        <f t="shared" si="10"/>
        <v>100</v>
      </c>
      <c r="T44" s="705" t="s">
        <v>14</v>
      </c>
      <c r="U44" s="706">
        <f t="shared" si="11"/>
        <v>100</v>
      </c>
      <c r="V44" s="705" t="s">
        <v>14</v>
      </c>
      <c r="W44" s="706">
        <f t="shared" si="12"/>
        <v>100</v>
      </c>
      <c r="X44" s="1355"/>
      <c r="Y44" s="372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4"/>
      <c r="P45" s="3725"/>
      <c r="Q45" s="1352">
        <f t="shared" si="14"/>
        <v>111</v>
      </c>
      <c r="R45" s="708" t="s">
        <v>14</v>
      </c>
      <c r="S45" s="709">
        <f t="shared" si="10"/>
        <v>100</v>
      </c>
      <c r="T45" s="708" t="s">
        <v>14</v>
      </c>
      <c r="U45" s="709">
        <f t="shared" si="11"/>
        <v>100</v>
      </c>
      <c r="V45" s="708" t="s">
        <v>14</v>
      </c>
      <c r="W45" s="709">
        <f t="shared" si="12"/>
        <v>100</v>
      </c>
      <c r="X45" s="710"/>
      <c r="Y45" s="3725"/>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4"/>
      <c r="M46" s="2725"/>
      <c r="N46" s="2716"/>
      <c r="O46" s="2725"/>
      <c r="P46" s="3718" t="str">
        <f>A46</f>
        <v>成交单价</v>
      </c>
      <c r="Q46" s="3718"/>
      <c r="R46" s="3749">
        <f>E46</f>
        <v>0</v>
      </c>
      <c r="S46" s="3749"/>
      <c r="T46" s="3749">
        <f>G46</f>
        <v>0</v>
      </c>
      <c r="U46" s="3749"/>
      <c r="V46" s="3749">
        <f>I46</f>
        <v>0</v>
      </c>
      <c r="W46" s="3749"/>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18" t="str">
        <f>A47</f>
        <v>比较价值（元/平方米）</v>
      </c>
      <c r="Q47" s="3718"/>
      <c r="R47" s="3778" t="e">
        <f>ROUND(PRODUCT(R46,AA7:AA45),0)</f>
        <v>#DIV/0!</v>
      </c>
      <c r="S47" s="3778"/>
      <c r="T47" s="3778" t="e">
        <f>ROUND(PRODUCT(T46,AB7:AB45),0)</f>
        <v>#DIV/0!</v>
      </c>
      <c r="U47" s="3778"/>
      <c r="V47" s="3778" t="e">
        <f>ROUND(PRODUCT(V46,AC7:AC45),0)</f>
        <v>#DIV/0!</v>
      </c>
      <c r="W47" s="3778"/>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4"/>
      <c r="M48" s="2725"/>
      <c r="N48" s="2725"/>
      <c r="O48" s="2725"/>
      <c r="P48" s="3715" t="str">
        <f>A48</f>
        <v>估价对象XX用房的比较价值（楼面单价，元/平方米）</v>
      </c>
      <c r="Q48" s="3716"/>
      <c r="R48" s="3779" t="e">
        <f>ROUND(IF(D47="简单平均",AVERAGE(R47:W47),R47*F47+T47*H47+V47*J47),0)</f>
        <v>#DIV/0!</v>
      </c>
      <c r="S48" s="3779"/>
      <c r="T48" s="3779"/>
      <c r="U48" s="3779"/>
      <c r="V48" s="3779"/>
      <c r="W48" s="377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33" t="s">
        <v>1886</v>
      </c>
      <c r="H55" s="3780"/>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16386.28</v>
      </c>
      <c r="F56" s="886" t="e">
        <f t="shared" ref="F56:F64" si="15">ROUND(B56*E56/10000,0)</f>
        <v>#DIV/0!</v>
      </c>
      <c r="G56" s="3729"/>
      <c r="H56" s="3718"/>
      <c r="I56" s="891">
        <v>1</v>
      </c>
      <c r="J56" s="894">
        <v>1</v>
      </c>
      <c r="K56" s="2728"/>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0.6</v>
      </c>
      <c r="D57" s="945">
        <v>0.25</v>
      </c>
      <c r="E57" s="642"/>
      <c r="F57" s="886" t="e">
        <f t="shared" si="15"/>
        <v>#DIV/0!</v>
      </c>
      <c r="G57" s="3005" t="s">
        <v>1891</v>
      </c>
      <c r="H57" s="887" t="str">
        <f>项目基本情况!B37</f>
        <v>三级</v>
      </c>
      <c r="I57" s="891">
        <f>SUMIF(修正!A57:A68,H57,修正!B57:B68)</f>
        <v>0.6</v>
      </c>
      <c r="J57" s="895"/>
      <c r="K57" s="2725"/>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0.3</v>
      </c>
      <c r="D58" s="945">
        <v>0.25</v>
      </c>
      <c r="E58" s="642"/>
      <c r="F58" s="886" t="e">
        <f t="shared" si="15"/>
        <v>#DIV/0!</v>
      </c>
      <c r="G58" s="3006"/>
      <c r="H58" s="887" t="str">
        <f>项目基本情况!B37</f>
        <v>三级</v>
      </c>
      <c r="I58" s="891">
        <f>SUMIF(修正!A57:A68,H58,修正!C57:C68)</f>
        <v>0.3</v>
      </c>
      <c r="J58" s="895"/>
      <c r="K58" s="2728"/>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0.25</v>
      </c>
      <c r="D59" s="945">
        <v>0.25</v>
      </c>
      <c r="E59" s="642"/>
      <c r="F59" s="886" t="e">
        <f t="shared" si="15"/>
        <v>#DIV/0!</v>
      </c>
      <c r="G59" s="3006"/>
      <c r="H59" s="887" t="str">
        <f>项目基本情况!B37</f>
        <v>三级</v>
      </c>
      <c r="I59" s="891">
        <f>SUMIF(修正!A57:A68,H59,修正!D57:D68)</f>
        <v>0.25</v>
      </c>
      <c r="J59" s="895"/>
      <c r="K59" s="2725"/>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5">
        <v>0.25</v>
      </c>
      <c r="E62" s="217">
        <f>'数据-汇总表'!E13</f>
        <v>18169.12</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5"/>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0.15</v>
      </c>
      <c r="D63" s="945">
        <v>0.25</v>
      </c>
      <c r="E63" s="217">
        <f>'数据-汇总表'!E14</f>
        <v>0</v>
      </c>
      <c r="F63" s="886" t="e">
        <f t="shared" si="15"/>
        <v>#DIV/0!</v>
      </c>
      <c r="G63" s="1987" t="s">
        <v>1891</v>
      </c>
      <c r="H63" s="887" t="str">
        <f>项目基本情况!B37</f>
        <v>三级</v>
      </c>
      <c r="I63" s="891">
        <f>SUMIF(修正!A57:A68,H63,修正!G57:G68)</f>
        <v>0.15</v>
      </c>
      <c r="J63" s="895"/>
      <c r="K63" s="2728"/>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34555.399999999994</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1797</v>
      </c>
      <c r="B68" s="690"/>
      <c r="C68" s="695"/>
      <c r="D68" s="695"/>
      <c r="E68" s="695"/>
      <c r="F68" s="696"/>
      <c r="G68" s="696"/>
      <c r="H68" s="695"/>
      <c r="I68" s="695"/>
      <c r="J68" s="940"/>
      <c r="K68" s="941"/>
      <c r="L68" s="942"/>
      <c r="M68" s="940"/>
      <c r="N68" s="2768"/>
      <c r="O68" s="2768"/>
      <c r="P68" s="2768"/>
      <c r="Q68" s="2739"/>
      <c r="R68" s="2725"/>
      <c r="S68" s="2725"/>
      <c r="T68" s="2725"/>
      <c r="U68" s="2725"/>
      <c r="V68" s="2725"/>
      <c r="W68" s="2725"/>
      <c r="X68" s="2725"/>
      <c r="Y68" s="2725"/>
      <c r="Z68" s="2725"/>
      <c r="AA68" s="2725"/>
      <c r="AB68" s="2725"/>
      <c r="AC68" s="2725"/>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1680</v>
      </c>
      <c r="B72" s="459"/>
      <c r="C72" s="471" t="s">
        <v>1775</v>
      </c>
      <c r="D72" s="472"/>
      <c r="E72" s="472"/>
      <c r="F72" s="472"/>
      <c r="G72" s="472"/>
      <c r="H72" s="472"/>
      <c r="I72" s="472"/>
      <c r="J72" s="472"/>
      <c r="K72" s="472"/>
      <c r="L72" s="473"/>
      <c r="M72" s="474"/>
      <c r="N72" s="2751"/>
      <c r="O72" s="2751"/>
      <c r="P72" s="2776"/>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9"/>
      <c r="Q73" s="2739"/>
      <c r="R73" s="2661"/>
      <c r="S73" s="2661"/>
      <c r="T73" s="2661"/>
      <c r="U73" s="2661"/>
      <c r="V73" s="2661"/>
      <c r="W73" s="2661"/>
      <c r="X73" s="2661"/>
      <c r="Y73" s="2661"/>
      <c r="Z73" s="2661"/>
      <c r="AA73" s="2661"/>
      <c r="AB73" s="2661"/>
      <c r="AC73" s="2661"/>
    </row>
    <row r="74" spans="1:29">
      <c r="A74" s="476" t="s">
        <v>1718</v>
      </c>
      <c r="B74" s="477" t="s">
        <v>1684</v>
      </c>
      <c r="C74" s="479"/>
      <c r="D74" s="479"/>
      <c r="E74" s="479"/>
      <c r="F74" s="479"/>
      <c r="G74" s="479"/>
      <c r="H74" s="479"/>
      <c r="I74" s="479"/>
      <c r="J74" s="479"/>
      <c r="K74" s="480"/>
      <c r="L74" s="481"/>
      <c r="M74" s="482"/>
      <c r="N74" s="2752"/>
      <c r="O74" s="2752"/>
      <c r="P74" s="2777"/>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3"/>
      <c r="O75" s="2753"/>
      <c r="P75" s="2777"/>
      <c r="Q75" s="2739"/>
      <c r="R75" s="2725"/>
      <c r="S75" s="2725"/>
      <c r="T75" s="2725"/>
      <c r="U75" s="2725"/>
      <c r="V75" s="2725"/>
      <c r="W75" s="2725"/>
      <c r="X75" s="2725"/>
      <c r="Y75" s="2725"/>
      <c r="Z75" s="2725"/>
      <c r="AA75" s="2725"/>
      <c r="AB75" s="2725"/>
      <c r="AC75" s="2725"/>
    </row>
    <row r="76" spans="1:29" ht="27.75" thickTop="1">
      <c r="A76" s="483"/>
      <c r="B76" s="487" t="s">
        <v>1687</v>
      </c>
      <c r="C76" s="488"/>
      <c r="D76" s="488"/>
      <c r="E76" s="488"/>
      <c r="F76" s="488"/>
      <c r="G76" s="488"/>
      <c r="H76" s="488"/>
      <c r="I76" s="488"/>
      <c r="J76" s="488"/>
      <c r="K76" s="489"/>
      <c r="L76" s="490"/>
      <c r="M76" s="491"/>
      <c r="N76" s="2752"/>
      <c r="O76" s="2752"/>
      <c r="P76" s="2777"/>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3"/>
      <c r="O77" s="2753"/>
      <c r="P77" s="2777"/>
      <c r="Q77" s="2739"/>
      <c r="R77" s="2725"/>
      <c r="S77" s="2725"/>
      <c r="T77" s="2725"/>
      <c r="U77" s="2725"/>
      <c r="V77" s="2725"/>
      <c r="W77" s="2725"/>
      <c r="X77" s="2725"/>
      <c r="Y77" s="2725"/>
      <c r="Z77" s="2725"/>
      <c r="AA77" s="2725"/>
      <c r="AB77" s="2725"/>
      <c r="AC77" s="2725"/>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2"/>
      <c r="O79" s="2752"/>
      <c r="P79" s="2777"/>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3"/>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9"/>
      <c r="R88" s="2725"/>
      <c r="S88" s="2725"/>
      <c r="T88" s="2725"/>
      <c r="U88" s="2725"/>
      <c r="V88" s="2725"/>
      <c r="W88" s="2725"/>
      <c r="X88" s="2725"/>
      <c r="Y88" s="2725"/>
      <c r="Z88" s="2725"/>
      <c r="AA88" s="2725"/>
      <c r="AB88" s="2725"/>
      <c r="AC88" s="2725"/>
    </row>
    <row r="89" spans="1:29" ht="15.7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9"/>
      <c r="R90" s="2725"/>
      <c r="S90" s="2725"/>
      <c r="T90" s="2725"/>
      <c r="U90" s="2725"/>
      <c r="V90" s="2725"/>
      <c r="W90" s="2725"/>
      <c r="X90" s="2725"/>
      <c r="Y90" s="2725"/>
      <c r="Z90" s="2725"/>
      <c r="AA90" s="2725"/>
      <c r="AB90" s="2725"/>
      <c r="AC90" s="2725"/>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9"/>
      <c r="R92" s="2725"/>
      <c r="S92" s="2725"/>
      <c r="T92" s="2725"/>
      <c r="U92" s="2725"/>
      <c r="V92" s="2725"/>
      <c r="W92" s="2725"/>
      <c r="X92" s="2725"/>
      <c r="Y92" s="2725"/>
      <c r="Z92" s="2725"/>
      <c r="AA92" s="2725"/>
      <c r="AB92" s="2725"/>
      <c r="AC92" s="2725"/>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9"/>
      <c r="R94" s="2725"/>
      <c r="S94" s="2725"/>
      <c r="T94" s="2725"/>
      <c r="U94" s="2725"/>
      <c r="V94" s="2725"/>
      <c r="W94" s="2725"/>
      <c r="X94" s="2725"/>
      <c r="Y94" s="2725"/>
      <c r="Z94" s="2725"/>
      <c r="AA94" s="2725"/>
      <c r="AB94" s="2725"/>
      <c r="AC94" s="2725"/>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9"/>
      <c r="R96" s="2661"/>
      <c r="S96" s="2661"/>
      <c r="T96" s="2661"/>
      <c r="U96" s="2661"/>
      <c r="V96" s="2661"/>
      <c r="W96" s="2661"/>
      <c r="X96" s="2661"/>
      <c r="Y96" s="2661"/>
      <c r="Z96" s="2661"/>
      <c r="AA96" s="2661"/>
      <c r="AB96" s="2661"/>
      <c r="AC96" s="2661"/>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9"/>
      <c r="R98" s="2661"/>
      <c r="S98" s="2661"/>
      <c r="T98" s="2661"/>
      <c r="U98" s="2661"/>
      <c r="V98" s="2661"/>
      <c r="W98" s="2661"/>
      <c r="X98" s="2661"/>
      <c r="Y98" s="2661"/>
      <c r="Z98" s="2661"/>
      <c r="AA98" s="2661"/>
      <c r="AB98" s="2661"/>
      <c r="AC98" s="2661"/>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9"/>
      <c r="R104" s="2725"/>
      <c r="S104" s="2725"/>
      <c r="T104" s="2725"/>
      <c r="U104" s="2725"/>
      <c r="V104" s="2725"/>
      <c r="W104" s="2725"/>
      <c r="X104" s="2725"/>
      <c r="Y104" s="2725"/>
      <c r="Z104" s="2725"/>
      <c r="AA104" s="2725"/>
      <c r="AB104" s="2725"/>
      <c r="AC104" s="2725"/>
    </row>
    <row r="105" spans="1:29" ht="27.75" thickTop="1">
      <c r="A105" s="483"/>
      <c r="B105" s="487" t="s">
        <v>1814</v>
      </c>
      <c r="C105" s="503"/>
      <c r="D105" s="503"/>
      <c r="E105" s="503"/>
      <c r="F105" s="503"/>
      <c r="G105" s="503"/>
      <c r="H105" s="532"/>
      <c r="I105" s="532"/>
      <c r="J105" s="532"/>
      <c r="K105" s="533"/>
      <c r="L105" s="534"/>
      <c r="M105" s="535"/>
      <c r="N105" s="2752"/>
      <c r="O105" s="2752"/>
      <c r="P105" s="2777"/>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9"/>
      <c r="R106" s="2725"/>
      <c r="S106" s="2725"/>
      <c r="T106" s="2725"/>
      <c r="U106" s="2725"/>
      <c r="V106" s="2725"/>
      <c r="W106" s="2725"/>
      <c r="X106" s="2725"/>
      <c r="Y106" s="2725"/>
      <c r="Z106" s="2725"/>
      <c r="AA106" s="2725"/>
      <c r="AB106" s="2725"/>
      <c r="AC106" s="2725"/>
    </row>
    <row r="107" spans="1:29" ht="15.75" thickTop="1">
      <c r="A107" s="483"/>
      <c r="B107" s="487" t="s">
        <v>1872</v>
      </c>
      <c r="C107" s="532"/>
      <c r="D107" s="532"/>
      <c r="E107" s="532"/>
      <c r="F107" s="532"/>
      <c r="G107" s="532"/>
      <c r="H107" s="532"/>
      <c r="I107" s="532"/>
      <c r="J107" s="532"/>
      <c r="K107" s="533"/>
      <c r="L107" s="534"/>
      <c r="M107" s="535"/>
      <c r="N107" s="2752"/>
      <c r="O107" s="2752"/>
      <c r="P107" s="2777"/>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2"/>
      <c r="O109" s="2752"/>
      <c r="P109" s="2777"/>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3"/>
      <c r="O110" s="2753"/>
      <c r="P110" s="2777"/>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2"/>
      <c r="O111" s="2752"/>
      <c r="P111" s="2777"/>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3"/>
      <c r="O112" s="2753"/>
      <c r="P112" s="2777"/>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2"/>
      <c r="O116" s="2752"/>
      <c r="P116" s="2777"/>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3"/>
      <c r="O117" s="2753"/>
      <c r="P117" s="2777"/>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2"/>
      <c r="O118" s="2752"/>
      <c r="P118" s="2777"/>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2"/>
      <c r="O120" s="2752"/>
      <c r="P120" s="2777"/>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2"/>
      <c r="O126" s="2752"/>
      <c r="P126" s="2777"/>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3"/>
      <c r="O127" s="2753"/>
      <c r="P127" s="2777"/>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2"/>
      <c r="O128" s="2752"/>
      <c r="P128" s="2777"/>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3"/>
      <c r="O129" s="2753"/>
      <c r="P129" s="2777"/>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22" sqref="I2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733" t="s">
        <v>1769</v>
      </c>
      <c r="D4" s="3734"/>
      <c r="E4" s="3735" t="s">
        <v>1770</v>
      </c>
      <c r="F4" s="3736"/>
      <c r="G4" s="3733" t="s">
        <v>1771</v>
      </c>
      <c r="H4" s="3734"/>
      <c r="I4" s="3733" t="s">
        <v>1772</v>
      </c>
      <c r="J4" s="3734"/>
      <c r="K4" s="559" t="s">
        <v>1773</v>
      </c>
      <c r="L4" s="2715"/>
      <c r="M4" s="2716"/>
      <c r="N4" s="2716"/>
      <c r="O4" s="2716"/>
      <c r="P4" s="3737" t="s">
        <v>1774</v>
      </c>
      <c r="Q4" s="3738"/>
      <c r="R4" s="3743" t="s">
        <v>1770</v>
      </c>
      <c r="S4" s="3744"/>
      <c r="T4" s="3743" t="s">
        <v>1771</v>
      </c>
      <c r="U4" s="3744"/>
      <c r="V4" s="3749" t="s">
        <v>1772</v>
      </c>
      <c r="W4" s="3749"/>
      <c r="X4" s="1355"/>
      <c r="Y4" s="3743" t="s">
        <v>1774</v>
      </c>
      <c r="Z4" s="3744"/>
      <c r="AA4" s="3730" t="s">
        <v>1770</v>
      </c>
      <c r="AB4" s="3731" t="s">
        <v>1771</v>
      </c>
      <c r="AC4" s="3730" t="s">
        <v>1772</v>
      </c>
    </row>
    <row r="5" spans="1:29" ht="15">
      <c r="A5" s="358"/>
      <c r="B5" s="359"/>
      <c r="C5" s="3752" t="s">
        <v>1672</v>
      </c>
      <c r="D5" s="3753"/>
      <c r="E5" s="3759" t="s">
        <v>1673</v>
      </c>
      <c r="F5" s="3760"/>
      <c r="G5" s="3752" t="s">
        <v>1674</v>
      </c>
      <c r="H5" s="3753"/>
      <c r="I5" s="3752" t="s">
        <v>1675</v>
      </c>
      <c r="J5" s="3753"/>
      <c r="K5" s="559"/>
      <c r="L5" s="2715"/>
      <c r="M5" s="2716"/>
      <c r="N5" s="2716"/>
      <c r="O5" s="2716"/>
      <c r="P5" s="3739"/>
      <c r="Q5" s="3740"/>
      <c r="R5" s="3745"/>
      <c r="S5" s="3746"/>
      <c r="T5" s="3745"/>
      <c r="U5" s="3746"/>
      <c r="V5" s="3749"/>
      <c r="W5" s="3749"/>
      <c r="X5" s="1355"/>
      <c r="Y5" s="3745"/>
      <c r="Z5" s="3746"/>
      <c r="AA5" s="3731"/>
      <c r="AB5" s="3731"/>
      <c r="AC5" s="3731"/>
    </row>
    <row r="6" spans="1:29" ht="15.75" thickBot="1">
      <c r="A6" s="360"/>
      <c r="B6" s="361"/>
      <c r="C6" s="3781" t="s">
        <v>1918</v>
      </c>
      <c r="D6" s="3782"/>
      <c r="E6" s="3783" t="s">
        <v>1918</v>
      </c>
      <c r="F6" s="3784"/>
      <c r="G6" s="3781" t="s">
        <v>1918</v>
      </c>
      <c r="H6" s="3782"/>
      <c r="I6" s="3781" t="s">
        <v>1918</v>
      </c>
      <c r="J6" s="3782"/>
      <c r="K6" s="559" t="s">
        <v>1677</v>
      </c>
      <c r="L6" s="2715"/>
      <c r="M6" s="2716"/>
      <c r="N6" s="2716"/>
      <c r="O6" s="2716"/>
      <c r="P6" s="3741"/>
      <c r="Q6" s="3742"/>
      <c r="R6" s="3745"/>
      <c r="S6" s="3746"/>
      <c r="T6" s="3747"/>
      <c r="U6" s="3748"/>
      <c r="V6" s="3749"/>
      <c r="W6" s="3749"/>
      <c r="X6" s="1355"/>
      <c r="Y6" s="3747"/>
      <c r="Z6" s="3748"/>
      <c r="AA6" s="3732"/>
      <c r="AB6" s="3732"/>
      <c r="AC6" s="3732"/>
    </row>
    <row r="7" spans="1:29" s="108" customFormat="1" ht="15.75" thickBot="1">
      <c r="A7" s="362" t="s">
        <v>1678</v>
      </c>
      <c r="B7" s="363"/>
      <c r="C7" s="364">
        <f>'数据-取费表'!B2</f>
        <v>44985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54" t="s">
        <v>1679</v>
      </c>
      <c r="Q7" s="3756"/>
      <c r="R7" s="701" t="s">
        <v>14</v>
      </c>
      <c r="S7" s="702">
        <f t="shared" ref="S7:S15" si="0">F7</f>
        <v>0</v>
      </c>
      <c r="T7" s="701" t="s">
        <v>14</v>
      </c>
      <c r="U7" s="702">
        <f t="shared" ref="U7:U15" si="1">H7</f>
        <v>0</v>
      </c>
      <c r="V7" s="701" t="s">
        <v>14</v>
      </c>
      <c r="W7" s="702">
        <f t="shared" ref="W7:W15" si="2">J7</f>
        <v>0</v>
      </c>
      <c r="X7" s="703"/>
      <c r="Y7" s="3754" t="s">
        <v>1679</v>
      </c>
      <c r="Z7" s="3755"/>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54" t="s">
        <v>1682</v>
      </c>
      <c r="Q8" s="3755"/>
      <c r="R8" s="701" t="s">
        <v>14</v>
      </c>
      <c r="S8" s="702">
        <f t="shared" si="0"/>
        <v>0</v>
      </c>
      <c r="T8" s="701" t="s">
        <v>14</v>
      </c>
      <c r="U8" s="702">
        <f t="shared" si="1"/>
        <v>0</v>
      </c>
      <c r="V8" s="701" t="s">
        <v>14</v>
      </c>
      <c r="W8" s="702">
        <f t="shared" si="2"/>
        <v>0</v>
      </c>
      <c r="X8" s="703"/>
      <c r="Y8" s="3754" t="s">
        <v>1682</v>
      </c>
      <c r="Z8" s="3755"/>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1"/>
      <c r="P9" s="3718" t="s">
        <v>1685</v>
      </c>
      <c r="Q9" s="1343" t="str">
        <f t="shared" ref="Q9:Q15" si="6">B9</f>
        <v>用途</v>
      </c>
      <c r="R9" s="701" t="s">
        <v>14</v>
      </c>
      <c r="S9" s="702">
        <f t="shared" si="0"/>
        <v>100</v>
      </c>
      <c r="T9" s="701" t="s">
        <v>14</v>
      </c>
      <c r="U9" s="702">
        <f t="shared" si="1"/>
        <v>100</v>
      </c>
      <c r="V9" s="701" t="s">
        <v>14</v>
      </c>
      <c r="W9" s="702">
        <f t="shared" si="2"/>
        <v>100</v>
      </c>
      <c r="X9" s="703"/>
      <c r="Y9" s="3593"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105</v>
      </c>
      <c r="G10" s="383"/>
      <c r="H10" s="127">
        <f>ROUND(100/'数据-取费表'!G16,0)</f>
        <v>105</v>
      </c>
      <c r="I10" s="383"/>
      <c r="J10" s="127">
        <f>ROUND(100/'数据-取费表'!G16,0)</f>
        <v>105</v>
      </c>
      <c r="K10" s="620"/>
      <c r="L10" s="2719"/>
      <c r="M10" s="2720"/>
      <c r="N10" s="2720"/>
      <c r="O10" s="2772"/>
      <c r="P10" s="3718"/>
      <c r="Q10" s="1343" t="str">
        <f t="shared" si="6"/>
        <v>土地使用年限（年）</v>
      </c>
      <c r="R10" s="701" t="s">
        <v>14</v>
      </c>
      <c r="S10" s="702">
        <f t="shared" si="0"/>
        <v>105</v>
      </c>
      <c r="T10" s="701" t="s">
        <v>14</v>
      </c>
      <c r="U10" s="702">
        <f t="shared" si="1"/>
        <v>105</v>
      </c>
      <c r="V10" s="701" t="s">
        <v>14</v>
      </c>
      <c r="W10" s="702">
        <f t="shared" si="2"/>
        <v>105</v>
      </c>
      <c r="X10" s="703"/>
      <c r="Y10" s="3593"/>
      <c r="Z10" s="52" t="str">
        <f t="shared" si="7"/>
        <v>土地使用年限（年）</v>
      </c>
      <c r="AA10" s="704">
        <f t="shared" si="3"/>
        <v>0.95238095238095233</v>
      </c>
      <c r="AB10" s="704">
        <f t="shared" si="4"/>
        <v>0.95238095238095233</v>
      </c>
      <c r="AC10" s="704">
        <f t="shared" si="5"/>
        <v>0.95238095238095233</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3"/>
      <c r="P11" s="3718"/>
      <c r="Q11" s="1343" t="str">
        <f t="shared" si="6"/>
        <v>容积率</v>
      </c>
      <c r="R11" s="701" t="s">
        <v>14</v>
      </c>
      <c r="S11" s="702" t="e">
        <f t="shared" si="0"/>
        <v>#N/A</v>
      </c>
      <c r="T11" s="701" t="s">
        <v>14</v>
      </c>
      <c r="U11" s="702" t="e">
        <f t="shared" si="1"/>
        <v>#N/A</v>
      </c>
      <c r="V11" s="701" t="s">
        <v>14</v>
      </c>
      <c r="W11" s="702" t="e">
        <f t="shared" si="2"/>
        <v>#N/A</v>
      </c>
      <c r="X11" s="703"/>
      <c r="Y11" s="359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1"/>
      <c r="P12" s="3718"/>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3"/>
      <c r="P13" s="3718"/>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3"/>
      <c r="P14" s="3718"/>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3"/>
      <c r="P15" s="3720" t="s">
        <v>1690</v>
      </c>
      <c r="Q15" s="1352" t="str">
        <f t="shared" si="6"/>
        <v>产业集聚程度</v>
      </c>
      <c r="R15" s="705" t="s">
        <v>14</v>
      </c>
      <c r="S15" s="706">
        <f t="shared" si="0"/>
        <v>100</v>
      </c>
      <c r="T15" s="705" t="s">
        <v>14</v>
      </c>
      <c r="U15" s="706">
        <f t="shared" si="1"/>
        <v>100</v>
      </c>
      <c r="V15" s="705" t="s">
        <v>14</v>
      </c>
      <c r="W15" s="706">
        <f t="shared" si="2"/>
        <v>100</v>
      </c>
      <c r="X15" s="1355"/>
      <c r="Y15" s="3720"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3"/>
      <c r="P16" s="3721"/>
      <c r="Q16" s="1352"/>
      <c r="R16" s="705"/>
      <c r="S16" s="706"/>
      <c r="T16" s="705"/>
      <c r="U16" s="706"/>
      <c r="V16" s="705"/>
      <c r="W16" s="706"/>
      <c r="X16" s="1355"/>
      <c r="Y16" s="3721"/>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3"/>
      <c r="P17" s="3721"/>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3"/>
      <c r="P18" s="3721"/>
      <c r="Q18" s="1352"/>
      <c r="R18" s="705"/>
      <c r="S18" s="706"/>
      <c r="T18" s="705"/>
      <c r="U18" s="706"/>
      <c r="V18" s="705"/>
      <c r="W18" s="706"/>
      <c r="X18" s="1355"/>
      <c r="Y18" s="3721"/>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3"/>
      <c r="P19" s="3721"/>
      <c r="Q19" s="1352" t="str">
        <f t="shared" ref="Q19:Q33" si="8">B19</f>
        <v>区域土地利用方向</v>
      </c>
      <c r="R19" s="705" t="s">
        <v>14</v>
      </c>
      <c r="S19" s="706">
        <f>F19</f>
        <v>100</v>
      </c>
      <c r="T19" s="705" t="s">
        <v>14</v>
      </c>
      <c r="U19" s="706">
        <f>H19</f>
        <v>100</v>
      </c>
      <c r="V19" s="705" t="s">
        <v>14</v>
      </c>
      <c r="W19" s="706">
        <f>J19</f>
        <v>100</v>
      </c>
      <c r="X19" s="1355"/>
      <c r="Y19" s="372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3"/>
      <c r="P20" s="3721"/>
      <c r="Q20" s="1352"/>
      <c r="R20" s="705"/>
      <c r="S20" s="706"/>
      <c r="T20" s="705"/>
      <c r="U20" s="706"/>
      <c r="V20" s="705"/>
      <c r="W20" s="706"/>
      <c r="X20" s="1355"/>
      <c r="Y20" s="3721"/>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3"/>
      <c r="P21" s="3721"/>
      <c r="Q21" s="1352" t="str">
        <f t="shared" si="8"/>
        <v>环境状况</v>
      </c>
      <c r="R21" s="705" t="s">
        <v>14</v>
      </c>
      <c r="S21" s="706">
        <f>F21</f>
        <v>100</v>
      </c>
      <c r="T21" s="705" t="s">
        <v>14</v>
      </c>
      <c r="U21" s="706">
        <f>H21</f>
        <v>100</v>
      </c>
      <c r="V21" s="705" t="s">
        <v>14</v>
      </c>
      <c r="W21" s="706">
        <f>J21</f>
        <v>100</v>
      </c>
      <c r="X21" s="1355"/>
      <c r="Y21" s="372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3"/>
      <c r="P22" s="3721"/>
      <c r="Q22" s="1352"/>
      <c r="R22" s="705"/>
      <c r="S22" s="706"/>
      <c r="T22" s="705"/>
      <c r="U22" s="706"/>
      <c r="V22" s="705"/>
      <c r="W22" s="706"/>
      <c r="X22" s="1355"/>
      <c r="Y22" s="3721"/>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1"/>
      <c r="P23" s="3721"/>
      <c r="Q23" s="1343" t="str">
        <f t="shared" si="8"/>
        <v>公共配套设施</v>
      </c>
      <c r="R23" s="701" t="s">
        <v>14</v>
      </c>
      <c r="S23" s="702">
        <f>F23</f>
        <v>100</v>
      </c>
      <c r="T23" s="701" t="s">
        <v>14</v>
      </c>
      <c r="U23" s="702">
        <f>H23</f>
        <v>100</v>
      </c>
      <c r="V23" s="701" t="s">
        <v>14</v>
      </c>
      <c r="W23" s="702">
        <f>J23</f>
        <v>100</v>
      </c>
      <c r="X23" s="703"/>
      <c r="Y23" s="372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1"/>
      <c r="P24" s="3721"/>
      <c r="Q24" s="1343"/>
      <c r="R24" s="701"/>
      <c r="S24" s="702"/>
      <c r="T24" s="701"/>
      <c r="U24" s="702"/>
      <c r="V24" s="701"/>
      <c r="W24" s="702"/>
      <c r="X24" s="703"/>
      <c r="Y24" s="3721"/>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1"/>
      <c r="P25" s="3721"/>
      <c r="Q25" s="1343" t="str">
        <f t="shared" ref="Q25" si="9">B25</f>
        <v>基础设施水平</v>
      </c>
      <c r="R25" s="701" t="s">
        <v>14</v>
      </c>
      <c r="S25" s="702">
        <f>F25</f>
        <v>100</v>
      </c>
      <c r="T25" s="701" t="s">
        <v>14</v>
      </c>
      <c r="U25" s="702">
        <f>H25</f>
        <v>100</v>
      </c>
      <c r="V25" s="701" t="s">
        <v>14</v>
      </c>
      <c r="W25" s="702">
        <f>J25</f>
        <v>100</v>
      </c>
      <c r="X25" s="703"/>
      <c r="Y25" s="372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1"/>
      <c r="P26" s="3721"/>
      <c r="Q26" s="1343"/>
      <c r="R26" s="701"/>
      <c r="S26" s="702"/>
      <c r="T26" s="701"/>
      <c r="U26" s="702"/>
      <c r="V26" s="701"/>
      <c r="W26" s="702"/>
      <c r="X26" s="703"/>
      <c r="Y26" s="3721"/>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3"/>
      <c r="P27" s="372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1"/>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3"/>
      <c r="P28" s="3721"/>
      <c r="Q28" s="1352" t="str">
        <f t="shared" si="8"/>
        <v>毗邻道路的类型与等级</v>
      </c>
      <c r="R28" s="705" t="s">
        <v>14</v>
      </c>
      <c r="S28" s="706">
        <f t="shared" si="10"/>
        <v>100</v>
      </c>
      <c r="T28" s="705" t="s">
        <v>14</v>
      </c>
      <c r="U28" s="706">
        <f t="shared" si="11"/>
        <v>100</v>
      </c>
      <c r="V28" s="705" t="s">
        <v>14</v>
      </c>
      <c r="W28" s="706">
        <f t="shared" si="12"/>
        <v>100</v>
      </c>
      <c r="X28" s="1355"/>
      <c r="Y28" s="372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3"/>
      <c r="P29" s="3721"/>
      <c r="Q29" s="1352"/>
      <c r="R29" s="705"/>
      <c r="S29" s="706"/>
      <c r="T29" s="705"/>
      <c r="U29" s="706"/>
      <c r="V29" s="705"/>
      <c r="W29" s="706"/>
      <c r="X29" s="1355"/>
      <c r="Y29" s="3721"/>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3"/>
      <c r="P30" s="3721"/>
      <c r="Q30" s="1352" t="str">
        <f t="shared" si="8"/>
        <v>土地级别</v>
      </c>
      <c r="R30" s="705" t="s">
        <v>14</v>
      </c>
      <c r="S30" s="706">
        <f t="shared" si="10"/>
        <v>100</v>
      </c>
      <c r="T30" s="705" t="s">
        <v>14</v>
      </c>
      <c r="U30" s="706">
        <f t="shared" si="11"/>
        <v>100</v>
      </c>
      <c r="V30" s="705" t="s">
        <v>14</v>
      </c>
      <c r="W30" s="706">
        <f t="shared" si="12"/>
        <v>100</v>
      </c>
      <c r="X30" s="1355"/>
      <c r="Y30" s="372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3"/>
      <c r="P31" s="3721"/>
      <c r="Q31" s="1352">
        <f t="shared" si="8"/>
        <v>111</v>
      </c>
      <c r="R31" s="705" t="s">
        <v>14</v>
      </c>
      <c r="S31" s="706">
        <f t="shared" si="10"/>
        <v>100</v>
      </c>
      <c r="T31" s="705" t="s">
        <v>14</v>
      </c>
      <c r="U31" s="706">
        <f t="shared" si="11"/>
        <v>100</v>
      </c>
      <c r="V31" s="705" t="s">
        <v>14</v>
      </c>
      <c r="W31" s="706">
        <f t="shared" si="12"/>
        <v>100</v>
      </c>
      <c r="X31" s="1355"/>
      <c r="Y31" s="372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3"/>
      <c r="P32" s="3776" t="s">
        <v>1695</v>
      </c>
      <c r="Q32" s="1352">
        <f t="shared" si="8"/>
        <v>111</v>
      </c>
      <c r="R32" s="705" t="s">
        <v>14</v>
      </c>
      <c r="S32" s="706">
        <f t="shared" si="10"/>
        <v>100</v>
      </c>
      <c r="T32" s="705" t="s">
        <v>14</v>
      </c>
      <c r="U32" s="706">
        <f t="shared" si="11"/>
        <v>100</v>
      </c>
      <c r="V32" s="705" t="s">
        <v>14</v>
      </c>
      <c r="W32" s="706">
        <f t="shared" si="12"/>
        <v>100</v>
      </c>
      <c r="X32" s="1355"/>
      <c r="Y32" s="3725"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4"/>
      <c r="P33" s="3725"/>
      <c r="Q33" s="1352">
        <f t="shared" si="8"/>
        <v>111</v>
      </c>
      <c r="R33" s="708" t="s">
        <v>14</v>
      </c>
      <c r="S33" s="709">
        <f t="shared" si="10"/>
        <v>100</v>
      </c>
      <c r="T33" s="708" t="s">
        <v>14</v>
      </c>
      <c r="U33" s="709">
        <f t="shared" si="11"/>
        <v>100</v>
      </c>
      <c r="V33" s="708" t="s">
        <v>14</v>
      </c>
      <c r="W33" s="709">
        <f t="shared" si="12"/>
        <v>100</v>
      </c>
      <c r="X33" s="710"/>
      <c r="Y33" s="3725"/>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3"/>
      <c r="P34" s="3725"/>
      <c r="Q34" s="1352" t="str">
        <f>B34</f>
        <v>宗地面积</v>
      </c>
      <c r="R34" s="705" t="s">
        <v>14</v>
      </c>
      <c r="S34" s="706" t="e">
        <f t="shared" si="10"/>
        <v>#N/A</v>
      </c>
      <c r="T34" s="705" t="s">
        <v>14</v>
      </c>
      <c r="U34" s="706" t="e">
        <f t="shared" si="11"/>
        <v>#N/A</v>
      </c>
      <c r="V34" s="705" t="s">
        <v>14</v>
      </c>
      <c r="W34" s="706" t="e">
        <f t="shared" si="12"/>
        <v>#N/A</v>
      </c>
      <c r="X34" s="1355"/>
      <c r="Y34" s="3725"/>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3"/>
      <c r="P35" s="3725"/>
      <c r="Q35" s="1352" t="str">
        <f t="shared" ref="Q35:Q40" si="14">B35</f>
        <v>宗地形状</v>
      </c>
      <c r="R35" s="705" t="s">
        <v>14</v>
      </c>
      <c r="S35" s="706">
        <f t="shared" si="10"/>
        <v>100</v>
      </c>
      <c r="T35" s="705" t="s">
        <v>14</v>
      </c>
      <c r="U35" s="706">
        <f t="shared" si="11"/>
        <v>100</v>
      </c>
      <c r="V35" s="705" t="s">
        <v>14</v>
      </c>
      <c r="W35" s="706">
        <f t="shared" si="12"/>
        <v>100</v>
      </c>
      <c r="X35" s="1355"/>
      <c r="Y35" s="3725"/>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1"/>
      <c r="P36" s="3725"/>
      <c r="Q36" s="1352" t="str">
        <f t="shared" si="14"/>
        <v>宗地开发程度</v>
      </c>
      <c r="R36" s="701" t="s">
        <v>14</v>
      </c>
      <c r="S36" s="702">
        <f t="shared" si="10"/>
        <v>100</v>
      </c>
      <c r="T36" s="701" t="s">
        <v>14</v>
      </c>
      <c r="U36" s="702">
        <f t="shared" si="11"/>
        <v>100</v>
      </c>
      <c r="V36" s="701" t="s">
        <v>14</v>
      </c>
      <c r="W36" s="702">
        <f t="shared" si="12"/>
        <v>100</v>
      </c>
      <c r="X36" s="703"/>
      <c r="Y36" s="3725"/>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3"/>
      <c r="P37" s="3725" t="s">
        <v>1695</v>
      </c>
      <c r="Q37" s="1352" t="str">
        <f t="shared" si="14"/>
        <v>工程地质条件</v>
      </c>
      <c r="R37" s="705" t="s">
        <v>14</v>
      </c>
      <c r="S37" s="706">
        <f t="shared" si="10"/>
        <v>100</v>
      </c>
      <c r="T37" s="705" t="s">
        <v>14</v>
      </c>
      <c r="U37" s="706">
        <f t="shared" si="11"/>
        <v>100</v>
      </c>
      <c r="V37" s="705" t="s">
        <v>14</v>
      </c>
      <c r="W37" s="706">
        <f t="shared" si="12"/>
        <v>100</v>
      </c>
      <c r="X37" s="1355"/>
      <c r="Y37" s="3725"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3"/>
      <c r="P38" s="3725"/>
      <c r="Q38" s="1352">
        <f t="shared" si="14"/>
        <v>111</v>
      </c>
      <c r="R38" s="705" t="s">
        <v>14</v>
      </c>
      <c r="S38" s="706">
        <f t="shared" si="10"/>
        <v>100</v>
      </c>
      <c r="T38" s="705" t="s">
        <v>14</v>
      </c>
      <c r="U38" s="706">
        <f t="shared" si="11"/>
        <v>100</v>
      </c>
      <c r="V38" s="705" t="s">
        <v>14</v>
      </c>
      <c r="W38" s="706">
        <f t="shared" si="12"/>
        <v>100</v>
      </c>
      <c r="X38" s="1355"/>
      <c r="Y38" s="372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3"/>
      <c r="P39" s="3725"/>
      <c r="Q39" s="1352">
        <f t="shared" si="14"/>
        <v>111</v>
      </c>
      <c r="R39" s="705" t="s">
        <v>14</v>
      </c>
      <c r="S39" s="706">
        <f t="shared" si="10"/>
        <v>100</v>
      </c>
      <c r="T39" s="705" t="s">
        <v>14</v>
      </c>
      <c r="U39" s="706">
        <f t="shared" si="11"/>
        <v>100</v>
      </c>
      <c r="V39" s="705" t="s">
        <v>14</v>
      </c>
      <c r="W39" s="706">
        <f t="shared" si="12"/>
        <v>100</v>
      </c>
      <c r="X39" s="1355"/>
      <c r="Y39" s="372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4"/>
      <c r="P40" s="3725"/>
      <c r="Q40" s="1352">
        <f t="shared" si="14"/>
        <v>111</v>
      </c>
      <c r="R40" s="708" t="s">
        <v>14</v>
      </c>
      <c r="S40" s="709">
        <f t="shared" si="10"/>
        <v>100</v>
      </c>
      <c r="T40" s="708" t="s">
        <v>14</v>
      </c>
      <c r="U40" s="709">
        <f t="shared" si="11"/>
        <v>100</v>
      </c>
      <c r="V40" s="708" t="s">
        <v>14</v>
      </c>
      <c r="W40" s="709">
        <f t="shared" si="12"/>
        <v>100</v>
      </c>
      <c r="X40" s="710"/>
      <c r="Y40" s="3725"/>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4"/>
      <c r="M41" s="2716"/>
      <c r="N41" s="2716"/>
      <c r="O41" s="2725"/>
      <c r="P41" s="3718" t="str">
        <f>A41</f>
        <v>成交单价</v>
      </c>
      <c r="Q41" s="3718"/>
      <c r="R41" s="3749">
        <f>E41</f>
        <v>0</v>
      </c>
      <c r="S41" s="3749"/>
      <c r="T41" s="3749">
        <f>G41</f>
        <v>0</v>
      </c>
      <c r="U41" s="3749"/>
      <c r="V41" s="3749">
        <f>I41</f>
        <v>0</v>
      </c>
      <c r="W41" s="3749"/>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18" t="str">
        <f>A42</f>
        <v>比较价值（元/平方米）</v>
      </c>
      <c r="Q42" s="3718"/>
      <c r="R42" s="3778" t="e">
        <f>ROUND(PRODUCT(R41,AA7:AA40),0)</f>
        <v>#DIV/0!</v>
      </c>
      <c r="S42" s="3778"/>
      <c r="T42" s="3778" t="e">
        <f>ROUND(PRODUCT(T41,AB7:AB40),0)</f>
        <v>#DIV/0!</v>
      </c>
      <c r="U42" s="3778"/>
      <c r="V42" s="3778" t="e">
        <f>ROUND(PRODUCT(V41,AC7:AC40),0)</f>
        <v>#DIV/0!</v>
      </c>
      <c r="W42" s="3778"/>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4"/>
      <c r="M43" s="2716"/>
      <c r="N43" s="2716"/>
      <c r="O43" s="2725"/>
      <c r="P43" s="3715" t="str">
        <f>A43</f>
        <v>估价对象XX用房的比较价值（楼面单价，元/平方米）</v>
      </c>
      <c r="Q43" s="3716"/>
      <c r="R43" s="3779" t="e">
        <f>ROUND(IF(D42="简单平均",AVERAGE(R42:W42),R42*F42+T42*H42+V42*J42),0)</f>
        <v>#DIV/0!</v>
      </c>
      <c r="S43" s="3779"/>
      <c r="T43" s="3779"/>
      <c r="U43" s="3779"/>
      <c r="V43" s="3779"/>
      <c r="W43" s="377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1880</v>
      </c>
      <c r="B50" s="633" t="s">
        <v>1881</v>
      </c>
      <c r="C50" s="1983" t="s">
        <v>1882</v>
      </c>
      <c r="D50" s="1984" t="s">
        <v>1883</v>
      </c>
      <c r="E50" s="634" t="s">
        <v>1884</v>
      </c>
      <c r="F50" s="635" t="s">
        <v>1885</v>
      </c>
      <c r="G50" s="3733" t="s">
        <v>1886</v>
      </c>
      <c r="H50" s="3780"/>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16386.28</v>
      </c>
      <c r="F51" s="639" t="e">
        <f t="shared" ref="F51:F60" si="15">ROUND(B51*E51/10000,0)</f>
        <v>#DIV/0!</v>
      </c>
      <c r="G51" s="3729"/>
      <c r="H51" s="3718"/>
      <c r="I51" s="773">
        <v>1</v>
      </c>
      <c r="J51" s="773">
        <v>1</v>
      </c>
      <c r="K51" s="2728"/>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0.6</v>
      </c>
      <c r="D52" s="945">
        <v>0.25</v>
      </c>
      <c r="E52" s="642"/>
      <c r="F52" s="639" t="e">
        <f t="shared" si="15"/>
        <v>#DIV/0!</v>
      </c>
      <c r="G52" s="3005" t="s">
        <v>1891</v>
      </c>
      <c r="H52" s="887" t="str">
        <f>项目基本情况!B37</f>
        <v>三级</v>
      </c>
      <c r="I52" s="773">
        <f>SUMIF(修正!A57:A68,H52,修正!B57:B68)</f>
        <v>0.6</v>
      </c>
      <c r="J52" s="774"/>
      <c r="K52" s="2725"/>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0.3</v>
      </c>
      <c r="D53" s="945">
        <v>0.25</v>
      </c>
      <c r="E53" s="642"/>
      <c r="F53" s="639" t="e">
        <f t="shared" si="15"/>
        <v>#DIV/0!</v>
      </c>
      <c r="G53" s="3006"/>
      <c r="H53" s="887" t="str">
        <f>项目基本情况!B37</f>
        <v>三级</v>
      </c>
      <c r="I53" s="773">
        <f>SUMIF(修正!A57:A68,H53,修正!C57:C68)</f>
        <v>0.3</v>
      </c>
      <c r="J53" s="774"/>
      <c r="K53" s="2728"/>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0.25</v>
      </c>
      <c r="D54" s="945">
        <v>0.25</v>
      </c>
      <c r="E54" s="642"/>
      <c r="F54" s="639" t="e">
        <f t="shared" si="15"/>
        <v>#DIV/0!</v>
      </c>
      <c r="G54" s="3006"/>
      <c r="H54" s="887" t="str">
        <f>项目基本情况!B37</f>
        <v>三级</v>
      </c>
      <c r="I54" s="773">
        <f>SUMIF(修正!A57:A68,H54,修正!D57:D68)</f>
        <v>0.25</v>
      </c>
      <c r="J54" s="774"/>
      <c r="K54" s="2725"/>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8"/>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5">
        <v>0.25</v>
      </c>
      <c r="E58" s="217">
        <f>'数据-汇总表'!E13</f>
        <v>18169.12</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5"/>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0.15</v>
      </c>
      <c r="D59" s="945">
        <v>0.25</v>
      </c>
      <c r="E59" s="217">
        <f>'数据-汇总表'!E14</f>
        <v>0</v>
      </c>
      <c r="F59" s="639" t="e">
        <f t="shared" si="15"/>
        <v>#DIV/0!</v>
      </c>
      <c r="G59" s="1987" t="s">
        <v>1891</v>
      </c>
      <c r="H59" s="887" t="str">
        <f>项目基本情况!B37</f>
        <v>三级</v>
      </c>
      <c r="I59" s="773">
        <f>SUMIF(修正!A57:A68,H59,修正!G57:G68)</f>
        <v>0.15</v>
      </c>
      <c r="J59" s="774"/>
      <c r="K59" s="2728"/>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20453.91</v>
      </c>
      <c r="F61" s="645" t="e">
        <f>IF(B41="楼面地价",SUM(F51:F60),ROUND(C43*E61/10000,0))</f>
        <v>#DIV/0!</v>
      </c>
      <c r="G61" s="939"/>
      <c r="H61" s="939"/>
      <c r="I61" s="939"/>
      <c r="J61" s="939"/>
      <c r="K61" s="2730"/>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1797</v>
      </c>
      <c r="B64" s="690"/>
      <c r="C64" s="695"/>
      <c r="D64" s="695"/>
      <c r="E64" s="695"/>
      <c r="F64" s="696"/>
      <c r="G64" s="696"/>
      <c r="H64" s="695"/>
      <c r="I64" s="695"/>
      <c r="J64" s="695"/>
      <c r="K64" s="697"/>
      <c r="L64" s="698"/>
      <c r="M64" s="695"/>
      <c r="N64" s="695"/>
      <c r="O64" s="940"/>
      <c r="P64" s="2768"/>
      <c r="Q64" s="2739"/>
      <c r="R64" s="2725"/>
      <c r="S64" s="2725"/>
      <c r="T64" s="2725"/>
      <c r="U64" s="2725"/>
      <c r="V64" s="2725"/>
      <c r="W64" s="2725"/>
      <c r="X64" s="2725"/>
      <c r="Y64" s="2725"/>
      <c r="Z64" s="2725"/>
      <c r="AA64" s="2725"/>
      <c r="AB64" s="2725"/>
      <c r="AC64" s="2725"/>
      <c r="AD64" s="2725"/>
      <c r="AE64" s="2725"/>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1680</v>
      </c>
      <c r="B68" s="459"/>
      <c r="C68" s="471" t="s">
        <v>1775</v>
      </c>
      <c r="D68" s="472"/>
      <c r="E68" s="472"/>
      <c r="F68" s="472"/>
      <c r="G68" s="472"/>
      <c r="H68" s="472"/>
      <c r="I68" s="472"/>
      <c r="J68" s="472"/>
      <c r="K68" s="472"/>
      <c r="L68" s="473"/>
      <c r="M68" s="474"/>
      <c r="N68" s="2751"/>
      <c r="O68" s="2751"/>
      <c r="P68" s="2776"/>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9"/>
      <c r="Q69" s="2739"/>
      <c r="R69" s="2661"/>
      <c r="S69" s="2661"/>
      <c r="T69" s="2661"/>
      <c r="U69" s="2661"/>
      <c r="V69" s="2661"/>
      <c r="W69" s="2661"/>
      <c r="X69" s="2661"/>
      <c r="Y69" s="2661"/>
      <c r="Z69" s="2661"/>
      <c r="AA69" s="2661"/>
      <c r="AB69" s="2661"/>
      <c r="AC69" s="2661"/>
      <c r="AD69" s="2661"/>
      <c r="AE69" s="2661"/>
    </row>
    <row r="70" spans="1:31">
      <c r="A70" s="476" t="s">
        <v>1718</v>
      </c>
      <c r="B70" s="477" t="s">
        <v>1684</v>
      </c>
      <c r="C70" s="479"/>
      <c r="D70" s="479"/>
      <c r="E70" s="479"/>
      <c r="F70" s="479"/>
      <c r="G70" s="479"/>
      <c r="H70" s="479"/>
      <c r="I70" s="479"/>
      <c r="J70" s="479"/>
      <c r="K70" s="480"/>
      <c r="L70" s="481"/>
      <c r="M70" s="482"/>
      <c r="N70" s="2752"/>
      <c r="O70" s="2752"/>
      <c r="P70" s="2777"/>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3"/>
      <c r="O71" s="2753"/>
      <c r="P71" s="2777"/>
      <c r="Q71" s="2739"/>
      <c r="R71" s="2725"/>
      <c r="S71" s="2725"/>
      <c r="T71" s="2725"/>
      <c r="U71" s="2725"/>
      <c r="V71" s="2725"/>
      <c r="W71" s="2725"/>
      <c r="X71" s="2725"/>
      <c r="Y71" s="2725"/>
      <c r="Z71" s="2725"/>
      <c r="AA71" s="2725"/>
      <c r="AB71" s="2725"/>
      <c r="AC71" s="2725"/>
      <c r="AD71" s="2725"/>
      <c r="AE71" s="2725"/>
    </row>
    <row r="72" spans="1:31" ht="27.75" thickTop="1">
      <c r="A72" s="483"/>
      <c r="B72" s="487" t="s">
        <v>1687</v>
      </c>
      <c r="C72" s="488"/>
      <c r="D72" s="488"/>
      <c r="E72" s="488"/>
      <c r="F72" s="488"/>
      <c r="G72" s="488"/>
      <c r="H72" s="488"/>
      <c r="I72" s="488"/>
      <c r="J72" s="488"/>
      <c r="K72" s="489"/>
      <c r="L72" s="490"/>
      <c r="M72" s="491"/>
      <c r="N72" s="2752"/>
      <c r="O72" s="2752"/>
      <c r="P72" s="2777"/>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3"/>
      <c r="O73" s="2753"/>
      <c r="P73" s="2777"/>
      <c r="Q73" s="2739"/>
      <c r="R73" s="2725"/>
      <c r="S73" s="2725"/>
      <c r="T73" s="2725"/>
      <c r="U73" s="2725"/>
      <c r="V73" s="2725"/>
      <c r="W73" s="2725"/>
      <c r="X73" s="2725"/>
      <c r="Y73" s="2725"/>
      <c r="Z73" s="2725"/>
      <c r="AA73" s="2725"/>
      <c r="AB73" s="2725"/>
      <c r="AC73" s="2725"/>
      <c r="AD73" s="2725"/>
      <c r="AE73" s="2725"/>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2"/>
      <c r="O75" s="2752"/>
      <c r="P75" s="2777"/>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3"/>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9"/>
      <c r="R84" s="2725"/>
      <c r="S84" s="2725"/>
      <c r="T84" s="2725"/>
      <c r="U84" s="2725"/>
      <c r="V84" s="2725"/>
      <c r="W84" s="2725"/>
      <c r="X84" s="2725"/>
      <c r="Y84" s="2725"/>
      <c r="Z84" s="2725"/>
      <c r="AA84" s="2725"/>
      <c r="AB84" s="2725"/>
      <c r="AC84" s="2725"/>
      <c r="AD84" s="2725"/>
      <c r="AE84" s="2725"/>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9"/>
      <c r="R96" s="2725"/>
      <c r="S96" s="2725"/>
      <c r="T96" s="2725"/>
      <c r="U96" s="2725"/>
      <c r="V96" s="2725"/>
      <c r="W96" s="2725"/>
      <c r="X96" s="2725"/>
      <c r="Y96" s="2725"/>
      <c r="Z96" s="2725"/>
      <c r="AA96" s="2725"/>
      <c r="AB96" s="2725"/>
      <c r="AC96" s="2725"/>
      <c r="AD96" s="2725"/>
      <c r="AE96" s="2725"/>
    </row>
    <row r="97" spans="1:31" ht="27.75" thickTop="1">
      <c r="A97" s="483"/>
      <c r="B97" s="487" t="s">
        <v>1814</v>
      </c>
      <c r="C97" s="503"/>
      <c r="D97" s="503"/>
      <c r="E97" s="503"/>
      <c r="F97" s="503"/>
      <c r="G97" s="503"/>
      <c r="H97" s="532"/>
      <c r="I97" s="532"/>
      <c r="J97" s="532"/>
      <c r="K97" s="533"/>
      <c r="L97" s="534"/>
      <c r="M97" s="535"/>
      <c r="N97" s="2752"/>
      <c r="O97" s="2752"/>
      <c r="P97" s="2777"/>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9"/>
      <c r="R98" s="2725"/>
      <c r="S98" s="2725"/>
      <c r="T98" s="2725"/>
      <c r="U98" s="2725"/>
      <c r="V98" s="2725"/>
      <c r="W98" s="2725"/>
      <c r="X98" s="2725"/>
      <c r="Y98" s="2725"/>
      <c r="Z98" s="2725"/>
      <c r="AA98" s="2725"/>
      <c r="AB98" s="2725"/>
      <c r="AC98" s="2725"/>
      <c r="AD98" s="2725"/>
      <c r="AE98" s="2725"/>
    </row>
    <row r="99" spans="1:31" ht="15.75" thickTop="1">
      <c r="A99" s="483"/>
      <c r="B99" s="487" t="s">
        <v>1872</v>
      </c>
      <c r="C99" s="532"/>
      <c r="D99" s="532"/>
      <c r="E99" s="532"/>
      <c r="F99" s="532"/>
      <c r="G99" s="532"/>
      <c r="H99" s="532"/>
      <c r="I99" s="532"/>
      <c r="J99" s="532"/>
      <c r="K99" s="533"/>
      <c r="L99" s="534"/>
      <c r="M99" s="535"/>
      <c r="N99" s="2752"/>
      <c r="O99" s="2752"/>
      <c r="P99" s="2777"/>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2"/>
      <c r="O101" s="2752"/>
      <c r="P101" s="2777"/>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3"/>
      <c r="O102" s="2753"/>
      <c r="P102" s="2777"/>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2"/>
      <c r="O103" s="2752"/>
      <c r="P103" s="2777"/>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3"/>
      <c r="O104" s="2753"/>
      <c r="P104" s="2777"/>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2"/>
      <c r="O108" s="2752"/>
      <c r="P108" s="2777"/>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3"/>
      <c r="O109" s="2753"/>
      <c r="P109" s="2777"/>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2"/>
      <c r="O110" s="2752"/>
      <c r="P110" s="2777"/>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2"/>
      <c r="O116" s="2752"/>
      <c r="P116" s="2777"/>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3"/>
      <c r="O117" s="2753"/>
      <c r="P117" s="2777"/>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2"/>
      <c r="O118" s="2752"/>
      <c r="P118" s="2777"/>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3"/>
      <c r="O119" s="2753"/>
      <c r="P119" s="2777"/>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C22" sqref="C22:Q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88" t="s">
        <v>2083</v>
      </c>
      <c r="D1" s="3789"/>
      <c r="E1" s="3789"/>
      <c r="F1" s="3789"/>
      <c r="G1" s="3789"/>
      <c r="H1" s="3789"/>
      <c r="I1" s="3789"/>
      <c r="J1" s="3789"/>
      <c r="K1" s="3789"/>
      <c r="L1" s="3789"/>
      <c r="M1" s="3789"/>
      <c r="N1" s="3789"/>
      <c r="O1" s="3789"/>
      <c r="P1" s="3789"/>
      <c r="Q1" s="3789"/>
      <c r="R1" s="3789"/>
      <c r="S1" s="3790"/>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85" t="s">
        <v>27</v>
      </c>
      <c r="D22" s="3786"/>
      <c r="E22" s="3786"/>
      <c r="F22" s="3786"/>
      <c r="G22" s="3786"/>
      <c r="H22" s="3786"/>
      <c r="I22" s="3786"/>
      <c r="J22" s="3786"/>
      <c r="K22" s="3786"/>
      <c r="L22" s="3786"/>
      <c r="M22" s="3786"/>
      <c r="N22" s="3786"/>
      <c r="O22" s="3786"/>
      <c r="P22" s="3786"/>
      <c r="Q22" s="3787"/>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2"/>
      <c r="G1" s="2792"/>
      <c r="H1" s="2792"/>
      <c r="I1" s="2792"/>
      <c r="J1" s="2792"/>
      <c r="K1" s="2792"/>
      <c r="L1" s="2792"/>
      <c r="M1" s="2792"/>
      <c r="N1" s="2792"/>
      <c r="O1" s="2792"/>
      <c r="P1" s="2792"/>
    </row>
    <row r="2" spans="1:16" ht="15.75">
      <c r="A2" s="2145" t="s">
        <v>2072</v>
      </c>
      <c r="B2" s="2602">
        <f ca="1">SUMIF(B6:B13,"&lt;&gt;#ref!",B6:B13)</f>
        <v>62713</v>
      </c>
      <c r="C2" s="2145" t="s">
        <v>2073</v>
      </c>
      <c r="D2" s="2145" t="s">
        <v>2074</v>
      </c>
      <c r="E2" s="2612">
        <f ca="1">SUMIF(E6:E13,"&lt;&gt;#ref!",E6:E13)</f>
        <v>24709.989999999998</v>
      </c>
      <c r="F2" s="2792"/>
      <c r="G2" s="2792"/>
      <c r="H2" s="2792"/>
      <c r="I2" s="2792"/>
      <c r="J2" s="2792"/>
      <c r="K2" s="2792"/>
      <c r="L2" s="2792"/>
      <c r="M2" s="2792"/>
      <c r="N2" s="2792"/>
      <c r="O2" s="2792"/>
      <c r="P2" s="2792"/>
    </row>
    <row r="3" spans="1:16" ht="15.75">
      <c r="A3" s="2145" t="s">
        <v>2075</v>
      </c>
      <c r="B3" s="2602">
        <f ca="1">ROUND(B2*10000/E2,0)</f>
        <v>25380</v>
      </c>
      <c r="C3" s="2145"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2076</v>
      </c>
      <c r="B5" s="2610" t="s">
        <v>2077</v>
      </c>
      <c r="C5" s="2146"/>
      <c r="D5" s="2792"/>
      <c r="E5" s="2611" t="s">
        <v>2078</v>
      </c>
      <c r="F5" s="2792"/>
      <c r="G5" s="2792"/>
      <c r="H5" s="2792"/>
      <c r="I5" s="2792"/>
      <c r="J5" s="2792"/>
      <c r="K5" s="2792"/>
      <c r="L5" s="2792"/>
      <c r="M5" s="2792"/>
      <c r="N5" s="2792"/>
      <c r="O5" s="2792"/>
      <c r="P5" s="2792"/>
    </row>
    <row r="6" spans="1:16" ht="15.75">
      <c r="A6" s="2609" t="s">
        <v>2079</v>
      </c>
      <c r="B6" s="2602">
        <f ca="1">SUMIF(INDIRECT("'"&amp;A6&amp;"'"&amp;"!A:A"),"总价",INDIRECT("'"&amp;A6&amp;"'"&amp;"!B:B"))</f>
        <v>62713</v>
      </c>
      <c r="C6" s="2145" t="s">
        <v>2073</v>
      </c>
      <c r="D6" s="2792"/>
      <c r="E6" s="2612">
        <f ca="1">SUMIF(INDIRECT("'"&amp;A6&amp;"'"&amp;"!C:C"),"建筑面积",INDIRECT("'"&amp;A6&amp;"'"&amp;"!D:D"))</f>
        <v>24709.989999999998</v>
      </c>
      <c r="F6" s="2792"/>
      <c r="G6" s="2792"/>
      <c r="H6" s="2792"/>
      <c r="I6" s="2792"/>
      <c r="J6" s="2792"/>
      <c r="K6" s="2792"/>
      <c r="L6" s="2792"/>
      <c r="M6" s="2792"/>
      <c r="N6" s="2792"/>
      <c r="O6" s="2792"/>
      <c r="P6" s="2792"/>
    </row>
    <row r="7" spans="1:16" ht="15.75">
      <c r="A7" s="2609"/>
      <c r="B7" s="2602" t="e">
        <f ca="1">SUMIF(INDIRECT("'"&amp;A7&amp;"'"&amp;"!A:A"),"总价",INDIRECT("'"&amp;A7&amp;"'"&amp;"!B:B"))</f>
        <v>#REF!</v>
      </c>
      <c r="C7" s="2145" t="s">
        <v>2073</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2073</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2073</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2073</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2073</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2073</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2073</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V36" sqref="V3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24709.989999999998</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62713</v>
      </c>
      <c r="C2" s="1999" t="s">
        <v>1934</v>
      </c>
      <c r="D2" s="2000" t="s">
        <v>1935</v>
      </c>
      <c r="E2" s="3421" t="s">
        <v>673</v>
      </c>
      <c r="F2" s="2000" t="s">
        <v>1936</v>
      </c>
      <c r="G2" s="2001" t="str">
        <f>IF(E2="商业",项目基本情况!B37,IF(E2="办公",项目基本情况!C37,IF(E2="住宅",项目基本情况!D37,IF(E2="工业",项目基本情况!E37,项目基本情况!F37))))</f>
        <v>三级</v>
      </c>
      <c r="H2" s="2000" t="s">
        <v>1937</v>
      </c>
      <c r="I2" s="2001" t="str">
        <f>IF(E2="商业",项目基本情况!B38,IF(E2="办公",项目基本情况!C38,IF(E2="住宅",项目基本情况!D38,IF(E2="工业",项目基本情况!E38,项目基本情况!F38))))</f>
        <v>Ⅲ—09</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34218</v>
      </c>
      <c r="U2" s="1213">
        <v>6532.61</v>
      </c>
      <c r="V2" s="3360">
        <f>ROUND(T2*U2/10000,0)</f>
        <v>22353</v>
      </c>
      <c r="W2" s="1216"/>
      <c r="X2" s="1216"/>
      <c r="Y2" s="1216"/>
      <c r="Z2" s="1216"/>
      <c r="AA2" s="1216"/>
      <c r="AB2" s="1216"/>
      <c r="AC2" s="1217"/>
      <c r="AD2" s="1218"/>
      <c r="AE2" s="1218"/>
      <c r="AF2" s="1218"/>
      <c r="AG2" s="1218"/>
      <c r="AH2" s="1218"/>
      <c r="AI2" s="1218"/>
      <c r="AJ2" s="1219"/>
    </row>
    <row r="3" spans="1:36" ht="15.75">
      <c r="A3" s="203" t="s">
        <v>1939</v>
      </c>
      <c r="B3" s="204">
        <f>ROUND(B2*10000/D1,0)</f>
        <v>25380</v>
      </c>
      <c r="C3" s="1999" t="s">
        <v>1940</v>
      </c>
      <c r="D3" s="2000" t="s">
        <v>1941</v>
      </c>
      <c r="E3" s="3419" t="s">
        <v>3406</v>
      </c>
      <c r="F3" s="2004" t="s">
        <v>3450</v>
      </c>
      <c r="G3" s="752">
        <f>IF(F3="宗地容积率",'数据-汇总表'!I4,IF(F3="估价对象容积率",'数据-汇总表'!I6,'数据-汇总表'!I7))</f>
        <v>1</v>
      </c>
      <c r="H3" s="170" t="s">
        <v>1942</v>
      </c>
      <c r="I3" s="775"/>
      <c r="J3" s="2002" t="s">
        <v>1943</v>
      </c>
      <c r="K3" s="1119"/>
      <c r="L3" s="2003" t="s">
        <v>1944</v>
      </c>
      <c r="M3" s="864">
        <f>SUMPRODUCT((区片价!B30:B54=I2)*(区片价!C3:G3=E2)*(区片价!C30:G54))</f>
        <v>23120</v>
      </c>
      <c r="N3" s="866">
        <f>SUMPRODUCT((因素修正幅度!B30:B54=I2)*(因素修正幅度!C3:G3=E2)*(因素修正幅度!C30:G54))</f>
        <v>9.7000000000000003E-2</v>
      </c>
      <c r="O3" s="1119"/>
      <c r="P3" s="1119"/>
      <c r="Q3" s="1119"/>
      <c r="R3" s="1212">
        <v>2</v>
      </c>
      <c r="S3" s="3360">
        <f>ROUND(SUMPRODUCT((B106:B110=R3)*(C105:N105=G2)*(C106:N110)),4)</f>
        <v>1.1838</v>
      </c>
      <c r="T3" s="3360">
        <f t="shared" si="0"/>
        <v>26970</v>
      </c>
      <c r="U3" s="1213">
        <v>6073.28</v>
      </c>
      <c r="V3" s="3360">
        <f t="shared" ref="V3:V16" si="1">ROUND(T3*U3/10000,0)</f>
        <v>16380</v>
      </c>
      <c r="W3" s="1216"/>
      <c r="X3" s="1216"/>
      <c r="Y3" s="1216"/>
      <c r="Z3" s="1216"/>
      <c r="AA3" s="1216"/>
      <c r="AB3" s="1216"/>
      <c r="AC3" s="1217"/>
      <c r="AD3" s="1218"/>
      <c r="AE3" s="1218"/>
      <c r="AF3" s="1218"/>
      <c r="AG3" s="1218"/>
      <c r="AH3" s="1218"/>
      <c r="AI3" s="1218"/>
      <c r="AJ3" s="1219"/>
    </row>
    <row r="4" spans="1:36" ht="15.75">
      <c r="A4" s="3798"/>
      <c r="B4" s="3799"/>
      <c r="C4" s="3799"/>
      <c r="D4" s="3800"/>
      <c r="E4" s="3800"/>
      <c r="F4" s="3800"/>
      <c r="G4" s="3800"/>
      <c r="H4" s="3800"/>
      <c r="I4" s="3800"/>
      <c r="J4" s="3801"/>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22794</v>
      </c>
      <c r="U4" s="1213">
        <v>3812.12</v>
      </c>
      <c r="V4" s="3360">
        <f t="shared" si="1"/>
        <v>8689</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23094</v>
      </c>
      <c r="D5" s="1339">
        <f>ROUND(C6*C17+C20,0)</f>
        <v>23094</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20104</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23120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19320</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3243</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1954</v>
      </c>
      <c r="X7" s="1214" t="str">
        <f>G2</f>
        <v>三级</v>
      </c>
      <c r="Y7" s="1214" t="s">
        <v>1955</v>
      </c>
      <c r="Z7" s="1215">
        <f>G3</f>
        <v>1</v>
      </c>
      <c r="AA7" s="1216"/>
      <c r="AB7" s="1216"/>
      <c r="AC7" s="1217"/>
      <c r="AD7" s="1218"/>
      <c r="AE7" s="1218"/>
      <c r="AF7" s="1218"/>
      <c r="AG7" s="1218"/>
      <c r="AH7" s="1218"/>
      <c r="AI7" s="1218"/>
      <c r="AJ7" s="1219"/>
    </row>
    <row r="8" spans="1:36" ht="25.5">
      <c r="A8" s="3298"/>
      <c r="B8" s="170" t="s">
        <v>1956</v>
      </c>
      <c r="C8" s="2026" t="s">
        <v>3407</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95" t="s">
        <v>1959</v>
      </c>
      <c r="X8" s="3796"/>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97"/>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9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3248</v>
      </c>
      <c r="B13" s="2034" t="s">
        <v>1981</v>
      </c>
      <c r="C13" s="755">
        <f>ROUND(C16*D16*E16*F16*G16*H16*I16*J16,4)</f>
        <v>0</v>
      </c>
      <c r="D13" s="2035" t="s">
        <v>1982</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1984</v>
      </c>
      <c r="C14" s="2041" t="s">
        <v>1985</v>
      </c>
      <c r="D14" s="1350" t="s">
        <v>1986</v>
      </c>
      <c r="E14" s="27" t="s">
        <v>1987</v>
      </c>
      <c r="F14" s="3311" t="s">
        <v>3249</v>
      </c>
      <c r="G14" s="3311" t="s">
        <v>3249</v>
      </c>
      <c r="H14" s="3311" t="s">
        <v>3249</v>
      </c>
      <c r="I14" s="3311" t="s">
        <v>3249</v>
      </c>
      <c r="J14" s="3311" t="s">
        <v>3249</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3250</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3254</v>
      </c>
      <c r="E18" s="3328"/>
      <c r="F18" s="3323" t="s">
        <v>3257</v>
      </c>
      <c r="G18" s="3327">
        <f>ROUND(1-(1/(POWER(1+G24,E18))),4)</f>
        <v>0</v>
      </c>
      <c r="H18" s="3323" t="s">
        <v>3259</v>
      </c>
      <c r="I18" s="3327">
        <f>ROUND(1-(1/(POWER(1+G24,J24))),4)</f>
        <v>0.88249999999999995</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3255</v>
      </c>
      <c r="E19" s="3337"/>
      <c r="F19" s="3338" t="s">
        <v>3258</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802" t="s">
        <v>3260</v>
      </c>
      <c r="B20" s="167" t="s">
        <v>1993</v>
      </c>
      <c r="C20" s="3324">
        <f>ROUND(IF(F21="与级别开发程度一致",0,(G21-E21)/C21),0)</f>
        <v>-26</v>
      </c>
      <c r="D20" s="3340" t="s">
        <v>1997</v>
      </c>
      <c r="E20" s="3341"/>
      <c r="F20" s="3808" t="s">
        <v>1994</v>
      </c>
      <c r="G20" s="3809"/>
      <c r="H20" s="3325" t="s">
        <v>3409</v>
      </c>
      <c r="I20" s="3325" t="s">
        <v>3410</v>
      </c>
      <c r="J20" s="3326" t="s">
        <v>3411</v>
      </c>
      <c r="K20" s="2047" t="s">
        <v>3412</v>
      </c>
      <c r="L20" s="2047" t="s">
        <v>3413</v>
      </c>
      <c r="M20" s="2047" t="s">
        <v>3414</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803"/>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3408</v>
      </c>
      <c r="G21" s="2157">
        <f>SUM(H21:O21)</f>
        <v>250</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1999</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2001</v>
      </c>
      <c r="E23" s="761">
        <v>44197</v>
      </c>
      <c r="F23" s="2054" t="s">
        <v>2002</v>
      </c>
      <c r="G23" s="762">
        <f>'数据-取费表'!B2</f>
        <v>44985</v>
      </c>
      <c r="H23" s="3342" t="s">
        <v>3262</v>
      </c>
      <c r="I23" s="3343" t="str">
        <f>IF(H23="季度增幅（自定义）",SUMIF(N25:N28,E2,O25:O28),"")</f>
        <v/>
      </c>
      <c r="J23" s="3445" t="s">
        <v>3261</v>
      </c>
      <c r="K23" s="1125"/>
      <c r="L23" s="2055" t="s">
        <v>2003</v>
      </c>
      <c r="M23" s="1328">
        <f>ROUND(SUMIF(地价!B2:G2,E2,地价!B16:G16),0)</f>
        <v>350</v>
      </c>
      <c r="N23" s="2056" t="s">
        <v>2004</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0.95189999999999997</v>
      </c>
      <c r="D24" s="2060" t="s">
        <v>2006</v>
      </c>
      <c r="E24" s="1335">
        <f>存贷款利率!E22/100</f>
        <v>4.3499999999999997E-2</v>
      </c>
      <c r="F24" s="2060" t="s">
        <v>1998</v>
      </c>
      <c r="G24" s="768">
        <f>SUMIF(M30:Q30,E2,M33:Q33)</f>
        <v>5.5E-2</v>
      </c>
      <c r="H24" s="2060" t="s">
        <v>2007</v>
      </c>
      <c r="I24" s="769">
        <f>SUMIF('数据-取费表'!C6:C15,E2,'数据-取费表'!F6:F15)/COUNTIF('数据-取费表'!C6:C15,E2)</f>
        <v>34.24</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3415</v>
      </c>
      <c r="C25" s="771">
        <f>IF(B25="容积率修正",IF(G3&lt;10,D26,J26),C27)</f>
        <v>0</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3263</v>
      </c>
      <c r="D26" s="1352">
        <f>IF(E26=G26,F26,IF(G3&lt;10,ROUND(F26+(H26-F26)*(G3-E26)/(G26-E26),4),"——"))</f>
        <v>1.2299</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3344" t="s">
        <v>3264</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1.0109999999999999</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62713</v>
      </c>
      <c r="D30" s="2083"/>
      <c r="E30" s="2046"/>
      <c r="F30" s="2084"/>
      <c r="G30" s="2046"/>
      <c r="H30" s="2046"/>
      <c r="I30" s="2046"/>
      <c r="J30" s="2085"/>
      <c r="K30" s="1119"/>
      <c r="L30" s="3350" t="s">
        <v>1935</v>
      </c>
      <c r="M30" s="3351" t="s">
        <v>1989</v>
      </c>
      <c r="N30" s="3351" t="s">
        <v>1990</v>
      </c>
      <c r="O30" s="3351" t="s">
        <v>1991</v>
      </c>
      <c r="P30" s="3351" t="s">
        <v>1992</v>
      </c>
      <c r="Q30" s="3354"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3824</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0</v>
      </c>
      <c r="D33" s="2098"/>
      <c r="E33" s="773">
        <f>ROUND(C33*D33/10000,0)</f>
        <v>0</v>
      </c>
      <c r="F33" s="3345" t="s">
        <v>3266</v>
      </c>
      <c r="G33" s="2099"/>
      <c r="H33" s="2099"/>
      <c r="I33" s="2099"/>
      <c r="J33" s="2100"/>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3267</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3271</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06"/>
      <c r="B37" s="2113" t="s">
        <v>2035</v>
      </c>
      <c r="C37" s="175">
        <f>ROUND(D5*C22*C23*C24*C28*F37,0)</f>
        <v>13670</v>
      </c>
      <c r="D37" s="2098">
        <f>面积表!B33</f>
        <v>6540.87</v>
      </c>
      <c r="E37" s="171">
        <f>ROUND(C37*D37/10000,0)</f>
        <v>8941</v>
      </c>
      <c r="F37" s="171">
        <f>SUMIF(修正!A57:A68,G2,修正!B57:B68)</f>
        <v>0.6</v>
      </c>
      <c r="G37" s="171">
        <f>ROUND(IF(E2="工业",C37*$M$42,C37*$M$41),0)</f>
        <v>3418</v>
      </c>
      <c r="H37" s="171">
        <f>D37</f>
        <v>6540.87</v>
      </c>
      <c r="I37" s="171">
        <f>ROUND(G37*H37/10000,0)</f>
        <v>2236</v>
      </c>
      <c r="J37" s="3011"/>
      <c r="K37" s="3358" t="s">
        <v>3272</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07"/>
      <c r="B38" s="2041" t="s">
        <v>2036</v>
      </c>
      <c r="C38" s="175">
        <f>ROUND(D5*C22*C23*C24*C28*F38,0)</f>
        <v>6835</v>
      </c>
      <c r="D38" s="2098"/>
      <c r="E38" s="171">
        <f t="shared" ref="E38:E42" si="4">ROUND(C38*D38/10000,0)</f>
        <v>0</v>
      </c>
      <c r="F38" s="171">
        <f>SUMIF(修正!A57:A68,G2,修正!C57:C68)</f>
        <v>0.3</v>
      </c>
      <c r="G38" s="171">
        <f>ROUND(IF(E2="工业",C38*$M$42,C38*$M$41),0)</f>
        <v>1709</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7"/>
      <c r="B39" s="2041" t="s">
        <v>3265</v>
      </c>
      <c r="C39" s="175">
        <f>ROUND(D5*C22*C23*C24*C28*F39,0)</f>
        <v>5696</v>
      </c>
      <c r="D39" s="2098"/>
      <c r="E39" s="171">
        <f t="shared" si="4"/>
        <v>0</v>
      </c>
      <c r="F39" s="171">
        <f>SUMIF(修正!A57:A68,G2,修正!D57:D68)</f>
        <v>0.25</v>
      </c>
      <c r="G39" s="171">
        <f>ROUND(IF(E2="工业",C39*$M$42,C39*$M$41),0)</f>
        <v>1424</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5696</v>
      </c>
      <c r="D40" s="2098"/>
      <c r="E40" s="171">
        <f t="shared" si="4"/>
        <v>0</v>
      </c>
      <c r="F40" s="175">
        <f>SUMIF(修正!A57:A68,G2,修正!E57:E68)</f>
        <v>0.25</v>
      </c>
      <c r="G40" s="171">
        <f>ROUND(IF(E2="工业",C40*$M$42,C40*$M$41),0)</f>
        <v>1424</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5824</v>
      </c>
      <c r="D41" s="2098"/>
      <c r="E41" s="171">
        <f t="shared" si="4"/>
        <v>0</v>
      </c>
      <c r="F41" s="175">
        <f>SUMIF(修正!A57:A68,G2,修正!F57:F68)</f>
        <v>0.25</v>
      </c>
      <c r="G41" s="171">
        <f>ROUND(IF(E2="工业",C41*$M$42,C41*$M$41),0)</f>
        <v>1456</v>
      </c>
      <c r="H41" s="171">
        <f t="shared" si="5"/>
        <v>0</v>
      </c>
      <c r="I41" s="171">
        <f t="shared" si="6"/>
        <v>0</v>
      </c>
      <c r="J41" s="2114"/>
      <c r="L41" s="3359" t="s">
        <v>3273</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3495</v>
      </c>
      <c r="D42" s="2103">
        <f>'数据-汇总表'!G20</f>
        <v>18169.12</v>
      </c>
      <c r="E42" s="187">
        <f t="shared" si="4"/>
        <v>6350</v>
      </c>
      <c r="F42" s="767">
        <f>SUMIF(修正!A57:A68,G2,修正!G57:G68)</f>
        <v>0.15</v>
      </c>
      <c r="G42" s="187">
        <f>ROUND(IF(E2="工业",C42*$M$42,C42*$M$41),0)</f>
        <v>874</v>
      </c>
      <c r="H42" s="187">
        <f t="shared" si="5"/>
        <v>18169.12</v>
      </c>
      <c r="I42" s="187">
        <f t="shared" si="6"/>
        <v>1588</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0.97340000000000004</v>
      </c>
      <c r="D44" s="171" t="s">
        <v>1998</v>
      </c>
      <c r="E44" s="2153">
        <f>G24</f>
        <v>5.5E-2</v>
      </c>
      <c r="F44" s="171" t="s">
        <v>2007</v>
      </c>
      <c r="G44" s="183">
        <f>项目基本情况!F15</f>
        <v>44.25</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1.0109999999999999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t="s">
        <v>3417</v>
      </c>
      <c r="D50" s="1065">
        <f t="shared" ref="D50:D58" si="7">SUMIF($J$49:$N$49,C50,J50:N50)</f>
        <v>0</v>
      </c>
      <c r="E50" s="744">
        <f>ROUND(SUM(D50:D58),4)</f>
        <v>1.0999999999999999E-2</v>
      </c>
      <c r="F50" s="1814">
        <f>IF(E2="商业",SUMIF(L1:L12,G2,N1:N12),"——")</f>
        <v>9.7000000000000003E-2</v>
      </c>
      <c r="G50" s="1063">
        <v>1.4500000000000001E-2</v>
      </c>
      <c r="H50" s="1066">
        <f t="shared" ref="H50:H58" si="8">IFERROR(ROUNDDOWN($F$50*I50/2,4),"——")</f>
        <v>1.4500000000000001E-2</v>
      </c>
      <c r="I50" s="3366">
        <v>0.3</v>
      </c>
      <c r="J50" s="1064">
        <f t="shared" ref="J50:J58" si="9">K50+$G50</f>
        <v>2.9000000000000001E-2</v>
      </c>
      <c r="K50" s="1064">
        <f t="shared" ref="K50:K58" si="10">$L50+$G50</f>
        <v>1.4500000000000001E-2</v>
      </c>
      <c r="L50" s="1064">
        <v>0</v>
      </c>
      <c r="M50" s="1064">
        <f t="shared" ref="M50:N58" si="11">L50-$G50</f>
        <v>-1.4500000000000001E-2</v>
      </c>
      <c r="N50" s="1064">
        <f t="shared" si="11"/>
        <v>-2.9000000000000001E-2</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t="s">
        <v>3417</v>
      </c>
      <c r="D51" s="1065">
        <f t="shared" si="7"/>
        <v>0</v>
      </c>
      <c r="E51" s="745"/>
      <c r="F51" s="1814"/>
      <c r="G51" s="1063">
        <v>1.06E-2</v>
      </c>
      <c r="H51" s="1066">
        <f t="shared" si="8"/>
        <v>1.06E-2</v>
      </c>
      <c r="I51" s="3366">
        <v>0.22</v>
      </c>
      <c r="J51" s="1064">
        <f t="shared" si="9"/>
        <v>2.12E-2</v>
      </c>
      <c r="K51" s="1064">
        <f t="shared" si="10"/>
        <v>1.06E-2</v>
      </c>
      <c r="L51" s="1064">
        <v>0</v>
      </c>
      <c r="M51" s="1064">
        <f t="shared" si="11"/>
        <v>-1.06E-2</v>
      </c>
      <c r="N51" s="1064">
        <f t="shared" si="11"/>
        <v>-2.12E-2</v>
      </c>
      <c r="AA51" s="1120"/>
      <c r="AB51" s="1120"/>
      <c r="AC51" s="1120"/>
      <c r="AD51" s="1120"/>
      <c r="AE51" s="1120"/>
      <c r="AF51" s="1120"/>
      <c r="AG51" s="1120"/>
      <c r="AH51" s="1120"/>
      <c r="AI51" s="1120"/>
      <c r="AJ51" s="1120"/>
      <c r="AK51" s="1120"/>
    </row>
    <row r="52" spans="1:37" s="1119" customFormat="1" ht="36">
      <c r="A52" s="3368" t="s">
        <v>3275</v>
      </c>
      <c r="B52" s="2134">
        <f>估价对象房地状况!C19</f>
        <v>0</v>
      </c>
      <c r="C52" s="2044" t="s">
        <v>3417</v>
      </c>
      <c r="D52" s="1065">
        <f t="shared" si="7"/>
        <v>0</v>
      </c>
      <c r="E52" s="745"/>
      <c r="F52" s="1814"/>
      <c r="G52" s="1063">
        <v>5.7999999999999996E-3</v>
      </c>
      <c r="H52" s="1066">
        <f t="shared" si="8"/>
        <v>5.7999999999999996E-3</v>
      </c>
      <c r="I52" s="3366">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3417</v>
      </c>
      <c r="D53" s="1065">
        <f t="shared" si="7"/>
        <v>0</v>
      </c>
      <c r="E53" s="745"/>
      <c r="F53" s="1814"/>
      <c r="G53" s="1063">
        <v>2.3999999999999998E-3</v>
      </c>
      <c r="H53" s="1066">
        <f t="shared" si="8"/>
        <v>2.3999999999999998E-3</v>
      </c>
      <c r="I53" s="3366">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3417</v>
      </c>
      <c r="D54" s="1065">
        <f t="shared" si="7"/>
        <v>0</v>
      </c>
      <c r="E54" s="745"/>
      <c r="F54" s="1814"/>
      <c r="G54" s="1063">
        <v>3.8E-3</v>
      </c>
      <c r="H54" s="1066">
        <f t="shared" si="8"/>
        <v>3.8E-3</v>
      </c>
      <c r="I54" s="3366">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2056</v>
      </c>
      <c r="B55" s="2136" t="s">
        <v>2057</v>
      </c>
      <c r="C55" s="2044" t="s">
        <v>3418</v>
      </c>
      <c r="D55" s="1065">
        <f t="shared" si="7"/>
        <v>2.3999999999999998E-3</v>
      </c>
      <c r="E55" s="745"/>
      <c r="F55" s="1814"/>
      <c r="G55" s="1063">
        <v>2.3999999999999998E-3</v>
      </c>
      <c r="H55" s="1066">
        <f t="shared" si="8"/>
        <v>2.3999999999999998E-3</v>
      </c>
      <c r="I55" s="3366">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t="s">
        <v>3418</v>
      </c>
      <c r="D56" s="1065">
        <f t="shared" si="7"/>
        <v>2.3999999999999998E-3</v>
      </c>
      <c r="E56" s="745"/>
      <c r="F56" s="1814"/>
      <c r="G56" s="1063">
        <v>2.3999999999999998E-3</v>
      </c>
      <c r="H56" s="1066">
        <f t="shared" si="8"/>
        <v>2.3999999999999998E-3</v>
      </c>
      <c r="I56" s="3366">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t="s">
        <v>3418</v>
      </c>
      <c r="D57" s="1065">
        <f t="shared" si="7"/>
        <v>3.8E-3</v>
      </c>
      <c r="E57" s="745"/>
      <c r="F57" s="1814"/>
      <c r="G57" s="1063">
        <v>3.8E-3</v>
      </c>
      <c r="H57" s="1066">
        <f t="shared" si="8"/>
        <v>3.8E-3</v>
      </c>
      <c r="I57" s="3366">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t="s">
        <v>3418</v>
      </c>
      <c r="D58" s="1065">
        <f t="shared" si="7"/>
        <v>2.3999999999999998E-3</v>
      </c>
      <c r="E58" s="746"/>
      <c r="F58" s="1814"/>
      <c r="G58" s="1063">
        <v>2.3999999999999998E-3</v>
      </c>
      <c r="H58" s="1066">
        <f t="shared" si="8"/>
        <v>2.3999999999999998E-3</v>
      </c>
      <c r="I58" s="3367">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3275</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3275</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3276</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2614</v>
      </c>
      <c r="B91" s="3377">
        <f>1+E93</f>
        <v>1</v>
      </c>
      <c r="C91" s="3370"/>
      <c r="D91" s="3371"/>
      <c r="E91" s="1814"/>
      <c r="F91" s="1814"/>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3279</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3275</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3280</v>
      </c>
      <c r="B96" s="3384" t="s">
        <v>3291</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3281</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3282</v>
      </c>
      <c r="B98" s="3385" t="s">
        <v>3292</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3283</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3284</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3285</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04" t="s">
        <v>3300</v>
      </c>
      <c r="B103" s="3804"/>
      <c r="C103" s="3804"/>
      <c r="D103" s="3804"/>
      <c r="E103" s="3804"/>
      <c r="F103" s="3804"/>
      <c r="G103" s="3804"/>
      <c r="H103" s="3804"/>
      <c r="I103" s="3804"/>
      <c r="J103" s="3804"/>
      <c r="K103" s="3389"/>
      <c r="L103" s="3389"/>
      <c r="M103" s="3389"/>
      <c r="N103" s="3389"/>
    </row>
    <row r="104" spans="1:14">
      <c r="A104" s="3805" t="s">
        <v>3301</v>
      </c>
      <c r="B104" s="3805" t="s">
        <v>3302</v>
      </c>
      <c r="C104" s="3390" t="s">
        <v>3303</v>
      </c>
      <c r="D104" s="3391"/>
      <c r="E104" s="3391"/>
      <c r="F104" s="3391"/>
      <c r="G104" s="3391"/>
      <c r="H104" s="3391"/>
      <c r="I104" s="3391"/>
      <c r="J104" s="3392"/>
      <c r="K104" s="3393"/>
      <c r="L104" s="3393"/>
      <c r="M104" s="3393"/>
      <c r="N104" s="3393"/>
    </row>
    <row r="105" spans="1:14">
      <c r="A105" s="3805"/>
      <c r="B105" s="3805"/>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91"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9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9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9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9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92"/>
      <c r="B111" s="3394" t="s">
        <v>3274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93"/>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94" t="s">
        <v>3317</v>
      </c>
      <c r="B113" s="3794"/>
      <c r="C113" s="3794"/>
      <c r="D113" s="3794"/>
      <c r="E113" s="3794"/>
      <c r="F113" s="3794"/>
      <c r="G113" s="3794"/>
      <c r="H113" s="3794"/>
      <c r="I113" s="3794"/>
      <c r="J113" s="379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1</v>
      </c>
      <c r="C116" s="3399" t="s">
        <v>3319</v>
      </c>
      <c r="D116" s="3400">
        <f>SUMPRODUCT((A118:A122=F116)*(B117:M117=H116)*B118:M122)</f>
        <v>0.93500000000000005</v>
      </c>
      <c r="E116" s="2000" t="s">
        <v>3320</v>
      </c>
      <c r="F116" s="3401" t="str">
        <f>E2</f>
        <v>商业</v>
      </c>
      <c r="G116" s="2000" t="s">
        <v>3321</v>
      </c>
      <c r="H116" s="3401" t="str">
        <f>G2</f>
        <v>三级</v>
      </c>
      <c r="I116" s="2000"/>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5">I118</f>
        <v>0.8306</v>
      </c>
      <c r="K118" s="3387">
        <f t="shared" si="35"/>
        <v>0.8306</v>
      </c>
      <c r="L118" s="3387">
        <f t="shared" si="35"/>
        <v>0.8306</v>
      </c>
      <c r="M118" s="3410">
        <f t="shared" si="35"/>
        <v>0.8306</v>
      </c>
      <c r="N118" s="3397"/>
    </row>
    <row r="119" spans="1:14">
      <c r="A119" s="3409" t="s">
        <v>3335</v>
      </c>
      <c r="B119" s="3387">
        <f>ROUND(0.993-0.0112*B116,4)</f>
        <v>0.98180000000000001</v>
      </c>
      <c r="C119" s="3387">
        <f>B119</f>
        <v>0.98180000000000001</v>
      </c>
      <c r="D119" s="3387">
        <f>ROUND(0.9415-0.0142*B116,4)</f>
        <v>0.92730000000000001</v>
      </c>
      <c r="E119" s="3387">
        <f t="shared" ref="E119:H120" si="36">D119</f>
        <v>0.92730000000000001</v>
      </c>
      <c r="F119" s="3387">
        <f t="shared" si="36"/>
        <v>0.92730000000000001</v>
      </c>
      <c r="G119" s="3387">
        <f t="shared" si="36"/>
        <v>0.92730000000000001</v>
      </c>
      <c r="H119" s="3387">
        <f t="shared" si="36"/>
        <v>0.92730000000000001</v>
      </c>
      <c r="I119" s="3387">
        <f>ROUND(0.838-0.0182*B116,4)</f>
        <v>0.81979999999999997</v>
      </c>
      <c r="J119" s="3387">
        <f t="shared" si="35"/>
        <v>0.81979999999999997</v>
      </c>
      <c r="K119" s="3387">
        <f t="shared" si="35"/>
        <v>0.81979999999999997</v>
      </c>
      <c r="L119" s="3387">
        <f t="shared" si="35"/>
        <v>0.81979999999999997</v>
      </c>
      <c r="M119" s="3410">
        <f t="shared" si="35"/>
        <v>0.81979999999999997</v>
      </c>
      <c r="N119" s="3397"/>
    </row>
    <row r="120" spans="1:14">
      <c r="A120" s="3409" t="s">
        <v>3336</v>
      </c>
      <c r="B120" s="3387">
        <f>ROUND(0.9448-0.0115*B116,4)</f>
        <v>0.93330000000000002</v>
      </c>
      <c r="C120" s="3387">
        <f>B120</f>
        <v>0.93330000000000002</v>
      </c>
      <c r="D120" s="3387">
        <f>ROUND(0.937-0.0145*B116,4)</f>
        <v>0.92249999999999999</v>
      </c>
      <c r="E120" s="3387">
        <f t="shared" si="36"/>
        <v>0.92249999999999999</v>
      </c>
      <c r="F120" s="3387">
        <f t="shared" si="36"/>
        <v>0.92249999999999999</v>
      </c>
      <c r="G120" s="3387">
        <f t="shared" si="36"/>
        <v>0.92249999999999999</v>
      </c>
      <c r="H120" s="3387">
        <f t="shared" si="36"/>
        <v>0.92249999999999999</v>
      </c>
      <c r="I120" s="3387">
        <f>ROUND(0.7965-0.0185*B116,4)</f>
        <v>0.77800000000000002</v>
      </c>
      <c r="J120" s="3387">
        <f t="shared" si="35"/>
        <v>0.77800000000000002</v>
      </c>
      <c r="K120" s="3387">
        <f t="shared" si="35"/>
        <v>0.77800000000000002</v>
      </c>
      <c r="L120" s="3387">
        <f t="shared" si="35"/>
        <v>0.77800000000000002</v>
      </c>
      <c r="M120" s="3410">
        <f t="shared" si="35"/>
        <v>0.77800000000000002</v>
      </c>
      <c r="N120" s="3397"/>
    </row>
    <row r="121" spans="1:14" ht="13.5" thickBot="1">
      <c r="A121" s="3411" t="s">
        <v>3337</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5"/>
        <v>0.57150000000000001</v>
      </c>
      <c r="K121" s="3412">
        <f t="shared" si="35"/>
        <v>0.57150000000000001</v>
      </c>
      <c r="L121" s="3412">
        <f t="shared" si="35"/>
        <v>0.57150000000000001</v>
      </c>
      <c r="M121" s="3413">
        <f t="shared" si="35"/>
        <v>0.57150000000000001</v>
      </c>
      <c r="N121" s="3397"/>
    </row>
    <row r="122" spans="1:14">
      <c r="A122" s="3414" t="s">
        <v>2614</v>
      </c>
      <c r="B122" s="3387">
        <f>ROUND(0.9404-0.0106*B116,4)</f>
        <v>0.92979999999999996</v>
      </c>
      <c r="C122" s="3387">
        <f>B122</f>
        <v>0.92979999999999996</v>
      </c>
      <c r="D122" s="3387">
        <f>ROUND(0.8955-0.0135*B116,4)</f>
        <v>0.88200000000000001</v>
      </c>
      <c r="E122" s="3387">
        <f t="shared" ref="E122:H122" si="37">D122</f>
        <v>0.88200000000000001</v>
      </c>
      <c r="F122" s="3387">
        <f t="shared" si="37"/>
        <v>0.88200000000000001</v>
      </c>
      <c r="G122" s="3387">
        <f t="shared" si="37"/>
        <v>0.88200000000000001</v>
      </c>
      <c r="H122" s="3387">
        <f t="shared" si="37"/>
        <v>0.88200000000000001</v>
      </c>
      <c r="I122" s="3387">
        <f>ROUND(0.7632-0.0166*B116,4)</f>
        <v>0.74660000000000004</v>
      </c>
      <c r="J122" s="3387">
        <f t="shared" si="35"/>
        <v>0.74660000000000004</v>
      </c>
      <c r="K122" s="3387">
        <f t="shared" si="35"/>
        <v>0.74660000000000004</v>
      </c>
      <c r="L122" s="3387">
        <f t="shared" si="35"/>
        <v>0.74660000000000004</v>
      </c>
      <c r="M122" s="3410">
        <f t="shared" si="35"/>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819" t="s">
        <v>2609</v>
      </c>
      <c r="B20" s="3814" t="s">
        <v>2630</v>
      </c>
      <c r="C20" s="3102" t="s">
        <v>2441</v>
      </c>
      <c r="D20" s="3103"/>
      <c r="E20" s="3104">
        <v>1</v>
      </c>
      <c r="F20" s="3105" t="s">
        <v>2442</v>
      </c>
      <c r="G20" s="3105"/>
    </row>
    <row r="21" spans="1:13" ht="19.5" customHeight="1">
      <c r="A21" s="3820"/>
      <c r="B21" s="3813"/>
      <c r="C21" s="3106" t="s">
        <v>2443</v>
      </c>
      <c r="D21" s="3107"/>
      <c r="E21" s="3108">
        <v>1</v>
      </c>
      <c r="F21" s="3105" t="s">
        <v>2444</v>
      </c>
      <c r="G21" s="3105"/>
    </row>
    <row r="22" spans="1:13" ht="19.5" customHeight="1">
      <c r="A22" s="3820"/>
      <c r="B22" s="3813"/>
      <c r="C22" s="3106" t="s">
        <v>2445</v>
      </c>
      <c r="D22" s="3107"/>
      <c r="E22" s="3108">
        <v>0.9</v>
      </c>
      <c r="F22" s="3105" t="s">
        <v>2446</v>
      </c>
      <c r="G22" s="3105"/>
    </row>
    <row r="23" spans="1:13" ht="19.5" customHeight="1">
      <c r="A23" s="3820"/>
      <c r="B23" s="3813"/>
      <c r="C23" s="3106" t="s">
        <v>2447</v>
      </c>
      <c r="D23" s="3107"/>
      <c r="E23" s="3108">
        <v>0.9</v>
      </c>
      <c r="F23" s="3105" t="s">
        <v>2448</v>
      </c>
      <c r="G23" s="3105"/>
    </row>
    <row r="24" spans="1:13" ht="19.5" customHeight="1">
      <c r="A24" s="3820"/>
      <c r="B24" s="3813"/>
      <c r="C24" s="3106" t="s">
        <v>2449</v>
      </c>
      <c r="D24" s="3107"/>
      <c r="E24" s="3108">
        <v>0.8</v>
      </c>
      <c r="F24" s="3105" t="s">
        <v>2450</v>
      </c>
      <c r="G24" s="3105"/>
    </row>
    <row r="25" spans="1:13" ht="19.5" customHeight="1" thickBot="1">
      <c r="A25" s="3821"/>
      <c r="B25" s="3815"/>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816" t="s">
        <v>2633</v>
      </c>
      <c r="B27" s="3814" t="s">
        <v>2614</v>
      </c>
      <c r="C27" s="3102" t="s">
        <v>2454</v>
      </c>
      <c r="D27" s="3103"/>
      <c r="E27" s="3104">
        <v>1</v>
      </c>
      <c r="F27" s="3105" t="s">
        <v>2455</v>
      </c>
      <c r="G27" s="3105"/>
    </row>
    <row r="28" spans="1:13" ht="19.5" customHeight="1">
      <c r="A28" s="3817"/>
      <c r="B28" s="3813"/>
      <c r="C28" s="3106" t="s">
        <v>2456</v>
      </c>
      <c r="D28" s="3107"/>
      <c r="E28" s="3108">
        <v>1</v>
      </c>
      <c r="F28" s="3105" t="s">
        <v>2457</v>
      </c>
      <c r="G28" s="3105"/>
    </row>
    <row r="29" spans="1:13" ht="19.5" customHeight="1">
      <c r="A29" s="3817"/>
      <c r="B29" s="3813"/>
      <c r="C29" s="3106" t="s">
        <v>2458</v>
      </c>
      <c r="D29" s="3107"/>
      <c r="E29" s="3108">
        <v>0.8</v>
      </c>
      <c r="F29" s="3105" t="s">
        <v>2459</v>
      </c>
      <c r="G29" s="3105"/>
    </row>
    <row r="30" spans="1:13" ht="19.5" customHeight="1">
      <c r="A30" s="3817"/>
      <c r="B30" s="3813"/>
      <c r="C30" s="3106" t="s">
        <v>2460</v>
      </c>
      <c r="D30" s="3107"/>
      <c r="E30" s="3108">
        <v>0.8</v>
      </c>
      <c r="F30" s="3105" t="s">
        <v>2461</v>
      </c>
      <c r="G30" s="3105"/>
    </row>
    <row r="31" spans="1:13" ht="19.5" customHeight="1">
      <c r="A31" s="3817"/>
      <c r="B31" s="3813"/>
      <c r="C31" s="3106" t="s">
        <v>2462</v>
      </c>
      <c r="D31" s="3107"/>
      <c r="E31" s="3108">
        <v>0.8</v>
      </c>
      <c r="F31" s="3105" t="s">
        <v>2463</v>
      </c>
      <c r="G31" s="3105"/>
    </row>
    <row r="32" spans="1:13" ht="19.5" customHeight="1">
      <c r="A32" s="3817"/>
      <c r="B32" s="3813"/>
      <c r="C32" s="3106" t="s">
        <v>2464</v>
      </c>
      <c r="D32" s="3107"/>
      <c r="E32" s="3108">
        <v>0.7</v>
      </c>
      <c r="F32" s="3105" t="s">
        <v>2465</v>
      </c>
      <c r="G32" s="3105"/>
    </row>
    <row r="33" spans="1:7" ht="19.5" customHeight="1">
      <c r="A33" s="3817"/>
      <c r="B33" s="3813"/>
      <c r="C33" s="3106" t="s">
        <v>2466</v>
      </c>
      <c r="D33" s="3107"/>
      <c r="E33" s="3108">
        <v>0.8</v>
      </c>
      <c r="F33" s="3105" t="s">
        <v>2467</v>
      </c>
      <c r="G33" s="3105"/>
    </row>
    <row r="34" spans="1:7" ht="19.5" customHeight="1">
      <c r="A34" s="3817"/>
      <c r="B34" s="3813"/>
      <c r="C34" s="3106" t="s">
        <v>2468</v>
      </c>
      <c r="D34" s="3107"/>
      <c r="E34" s="3108">
        <v>0.6</v>
      </c>
      <c r="F34" s="3105" t="s">
        <v>2469</v>
      </c>
      <c r="G34" s="3105"/>
    </row>
    <row r="35" spans="1:7" ht="19.5" customHeight="1">
      <c r="A35" s="3817"/>
      <c r="B35" s="3813"/>
      <c r="C35" s="3106" t="s">
        <v>2470</v>
      </c>
      <c r="D35" s="3107"/>
      <c r="E35" s="3108">
        <v>0.2</v>
      </c>
      <c r="F35" s="3105" t="s">
        <v>2471</v>
      </c>
      <c r="G35" s="3105"/>
    </row>
    <row r="36" spans="1:7" ht="19.5" customHeight="1">
      <c r="A36" s="3817"/>
      <c r="B36" s="3813"/>
      <c r="C36" s="3106" t="s">
        <v>2472</v>
      </c>
      <c r="D36" s="3107"/>
      <c r="E36" s="3108">
        <v>0.2</v>
      </c>
      <c r="F36" s="3105" t="s">
        <v>2473</v>
      </c>
      <c r="G36" s="3105"/>
    </row>
    <row r="37" spans="1:7" ht="19.5" customHeight="1">
      <c r="A37" s="3817"/>
      <c r="B37" s="3811" t="s">
        <v>2634</v>
      </c>
      <c r="C37" s="3106" t="s">
        <v>2474</v>
      </c>
      <c r="D37" s="3107"/>
      <c r="E37" s="3108">
        <v>0.6</v>
      </c>
      <c r="F37" s="3105" t="s">
        <v>2475</v>
      </c>
      <c r="G37" s="3105"/>
    </row>
    <row r="38" spans="1:7" ht="19.5" customHeight="1">
      <c r="A38" s="3817"/>
      <c r="B38" s="3813"/>
      <c r="C38" s="3106" t="s">
        <v>2476</v>
      </c>
      <c r="D38" s="3107"/>
      <c r="E38" s="3108">
        <v>0.6</v>
      </c>
      <c r="F38" s="3105" t="s">
        <v>2477</v>
      </c>
      <c r="G38" s="3105"/>
    </row>
    <row r="39" spans="1:7" ht="19.5" customHeight="1" thickBot="1">
      <c r="A39" s="3818"/>
      <c r="B39" s="3815"/>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819" t="s">
        <v>2612</v>
      </c>
      <c r="B41" s="3814" t="s">
        <v>2636</v>
      </c>
      <c r="C41" s="3102" t="s">
        <v>2481</v>
      </c>
      <c r="D41" s="3103"/>
      <c r="E41" s="3104">
        <v>1</v>
      </c>
      <c r="F41" s="3105" t="s">
        <v>2482</v>
      </c>
      <c r="G41" s="3105"/>
    </row>
    <row r="42" spans="1:7" ht="19.5" customHeight="1">
      <c r="A42" s="3820"/>
      <c r="B42" s="3813"/>
      <c r="C42" s="3106" t="s">
        <v>2483</v>
      </c>
      <c r="D42" s="3107"/>
      <c r="E42" s="3108">
        <v>1</v>
      </c>
      <c r="F42" s="3105" t="s">
        <v>2484</v>
      </c>
      <c r="G42" s="3105"/>
    </row>
    <row r="43" spans="1:7" ht="19.5" customHeight="1">
      <c r="A43" s="3820"/>
      <c r="B43" s="3812"/>
      <c r="C43" s="3106" t="s">
        <v>2485</v>
      </c>
      <c r="D43" s="3107"/>
      <c r="E43" s="3108">
        <v>1.5</v>
      </c>
      <c r="F43" s="3105" t="s">
        <v>2486</v>
      </c>
      <c r="G43" s="3105"/>
    </row>
    <row r="44" spans="1:7" ht="19.5" customHeight="1">
      <c r="A44" s="3820"/>
      <c r="B44" s="3117" t="s">
        <v>2637</v>
      </c>
      <c r="C44" s="3106" t="s">
        <v>2638</v>
      </c>
      <c r="D44" s="3107"/>
      <c r="E44" s="3108">
        <v>2</v>
      </c>
      <c r="F44" s="3105" t="s">
        <v>2487</v>
      </c>
      <c r="G44" s="3105"/>
    </row>
    <row r="45" spans="1:7" ht="19.5" customHeight="1">
      <c r="A45" s="3820"/>
      <c r="B45" s="3811" t="s">
        <v>2639</v>
      </c>
      <c r="C45" s="3106" t="s">
        <v>2488</v>
      </c>
      <c r="D45" s="3107"/>
      <c r="E45" s="3108">
        <v>1</v>
      </c>
      <c r="F45" s="3105" t="s">
        <v>2489</v>
      </c>
      <c r="G45" s="3105"/>
    </row>
    <row r="46" spans="1:7" ht="19.5" customHeight="1">
      <c r="A46" s="3820"/>
      <c r="B46" s="3813"/>
      <c r="C46" s="3106" t="s">
        <v>2490</v>
      </c>
      <c r="D46" s="3107"/>
      <c r="E46" s="3108">
        <v>1</v>
      </c>
      <c r="F46" s="3105" t="s">
        <v>2491</v>
      </c>
      <c r="G46" s="3105"/>
    </row>
    <row r="47" spans="1:7" ht="19.5" customHeight="1">
      <c r="A47" s="3820"/>
      <c r="B47" s="3813"/>
      <c r="C47" s="3106" t="s">
        <v>2492</v>
      </c>
      <c r="D47" s="3107"/>
      <c r="E47" s="3108">
        <v>1</v>
      </c>
      <c r="F47" s="3105" t="s">
        <v>2493</v>
      </c>
      <c r="G47" s="3105"/>
    </row>
    <row r="48" spans="1:7" ht="19.5" customHeight="1">
      <c r="A48" s="3820"/>
      <c r="B48" s="3813"/>
      <c r="C48" s="3106" t="s">
        <v>2494</v>
      </c>
      <c r="D48" s="3107"/>
      <c r="E48" s="3108">
        <v>1</v>
      </c>
      <c r="F48" s="3105" t="s">
        <v>2495</v>
      </c>
      <c r="G48" s="3105"/>
    </row>
    <row r="49" spans="1:7" ht="19.5" customHeight="1">
      <c r="A49" s="3820"/>
      <c r="B49" s="3813"/>
      <c r="C49" s="3106" t="s">
        <v>2496</v>
      </c>
      <c r="D49" s="3107"/>
      <c r="E49" s="3108">
        <v>1</v>
      </c>
      <c r="F49" s="3105" t="s">
        <v>2497</v>
      </c>
      <c r="G49" s="3105"/>
    </row>
    <row r="50" spans="1:7" ht="19.5" customHeight="1">
      <c r="A50" s="3820"/>
      <c r="B50" s="3813"/>
      <c r="C50" s="3106" t="s">
        <v>2498</v>
      </c>
      <c r="D50" s="3107"/>
      <c r="E50" s="3108">
        <v>1</v>
      </c>
      <c r="F50" s="3105" t="s">
        <v>2499</v>
      </c>
      <c r="G50" s="3105"/>
    </row>
    <row r="51" spans="1:7" ht="19.5" customHeight="1" thickBot="1">
      <c r="A51" s="3821"/>
      <c r="B51" s="3815"/>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811" t="s">
        <v>2653</v>
      </c>
      <c r="C73" s="3091" t="s">
        <v>2654</v>
      </c>
      <c r="D73" s="3091" t="s">
        <v>2655</v>
      </c>
      <c r="E73" s="3117">
        <v>0.2</v>
      </c>
      <c r="F73" s="3117">
        <v>25</v>
      </c>
    </row>
    <row r="74" spans="1:7" ht="24">
      <c r="A74" s="3117">
        <v>2</v>
      </c>
      <c r="B74" s="3813"/>
      <c r="C74" s="3091" t="s">
        <v>2656</v>
      </c>
      <c r="D74" s="3091" t="s">
        <v>2657</v>
      </c>
      <c r="E74" s="3117">
        <v>0.2</v>
      </c>
      <c r="F74" s="3117">
        <v>25</v>
      </c>
    </row>
    <row r="75" spans="1:7" ht="24">
      <c r="A75" s="3117">
        <v>3</v>
      </c>
      <c r="B75" s="3813"/>
      <c r="C75" s="3091" t="s">
        <v>2658</v>
      </c>
      <c r="D75" s="3091" t="s">
        <v>2659</v>
      </c>
      <c r="E75" s="3117">
        <v>0.2</v>
      </c>
      <c r="F75" s="3117">
        <v>25</v>
      </c>
    </row>
    <row r="76" spans="1:7" ht="13.5">
      <c r="A76" s="3117">
        <v>4</v>
      </c>
      <c r="B76" s="3813"/>
      <c r="C76" s="3091" t="s">
        <v>2660</v>
      </c>
      <c r="D76" s="3091" t="s">
        <v>2661</v>
      </c>
      <c r="E76" s="3117">
        <v>0.15</v>
      </c>
      <c r="F76" s="3117">
        <v>20</v>
      </c>
    </row>
    <row r="77" spans="1:7" ht="24">
      <c r="A77" s="3117">
        <v>5</v>
      </c>
      <c r="B77" s="3813"/>
      <c r="C77" s="3091" t="s">
        <v>2662</v>
      </c>
      <c r="D77" s="3091" t="s">
        <v>2663</v>
      </c>
      <c r="E77" s="3117">
        <v>0.15</v>
      </c>
      <c r="F77" s="3117">
        <v>20</v>
      </c>
    </row>
    <row r="78" spans="1:7" ht="24">
      <c r="A78" s="3117">
        <v>6</v>
      </c>
      <c r="B78" s="3813"/>
      <c r="C78" s="3091" t="s">
        <v>2664</v>
      </c>
      <c r="D78" s="3091" t="s">
        <v>2665</v>
      </c>
      <c r="E78" s="3117">
        <v>0.15</v>
      </c>
      <c r="F78" s="3117">
        <v>20</v>
      </c>
    </row>
    <row r="79" spans="1:7" ht="24">
      <c r="A79" s="3117">
        <v>7</v>
      </c>
      <c r="B79" s="3813"/>
      <c r="C79" s="3091" t="s">
        <v>2666</v>
      </c>
      <c r="D79" s="3091" t="s">
        <v>2667</v>
      </c>
      <c r="E79" s="3117">
        <v>0.15</v>
      </c>
      <c r="F79" s="3117">
        <v>20</v>
      </c>
    </row>
    <row r="80" spans="1:7" ht="24">
      <c r="A80" s="3117">
        <v>8</v>
      </c>
      <c r="B80" s="3813"/>
      <c r="C80" s="3091" t="s">
        <v>2668</v>
      </c>
      <c r="D80" s="3091" t="s">
        <v>2669</v>
      </c>
      <c r="E80" s="3117">
        <v>0.1</v>
      </c>
      <c r="F80" s="3117">
        <v>15</v>
      </c>
    </row>
    <row r="81" spans="1:6" ht="24">
      <c r="A81" s="3117">
        <v>9</v>
      </c>
      <c r="B81" s="3813"/>
      <c r="C81" s="3091" t="s">
        <v>2670</v>
      </c>
      <c r="D81" s="3091" t="s">
        <v>2671</v>
      </c>
      <c r="E81" s="3117">
        <v>0.1</v>
      </c>
      <c r="F81" s="3117">
        <v>15</v>
      </c>
    </row>
    <row r="82" spans="1:6" ht="24">
      <c r="A82" s="3117">
        <v>10</v>
      </c>
      <c r="B82" s="3813"/>
      <c r="C82" s="3091" t="s">
        <v>2672</v>
      </c>
      <c r="D82" s="3091" t="s">
        <v>2673</v>
      </c>
      <c r="E82" s="3117">
        <v>0.1</v>
      </c>
      <c r="F82" s="3117">
        <v>15</v>
      </c>
    </row>
    <row r="83" spans="1:6" ht="24">
      <c r="A83" s="3117">
        <v>11</v>
      </c>
      <c r="B83" s="3813"/>
      <c r="C83" s="3091" t="s">
        <v>2674</v>
      </c>
      <c r="D83" s="3091" t="s">
        <v>2675</v>
      </c>
      <c r="E83" s="3117">
        <v>0.1</v>
      </c>
      <c r="F83" s="3117">
        <v>15</v>
      </c>
    </row>
    <row r="84" spans="1:6" ht="24">
      <c r="A84" s="3117">
        <v>12</v>
      </c>
      <c r="B84" s="3813"/>
      <c r="C84" s="3091" t="s">
        <v>2676</v>
      </c>
      <c r="D84" s="3091" t="s">
        <v>2677</v>
      </c>
      <c r="E84" s="3117">
        <v>0.1</v>
      </c>
      <c r="F84" s="3117">
        <v>15</v>
      </c>
    </row>
    <row r="85" spans="1:6" ht="13.5">
      <c r="A85" s="3117">
        <v>13</v>
      </c>
      <c r="B85" s="3813"/>
      <c r="C85" s="3091" t="s">
        <v>2678</v>
      </c>
      <c r="D85" s="3091" t="s">
        <v>2679</v>
      </c>
      <c r="E85" s="3117">
        <v>0.1</v>
      </c>
      <c r="F85" s="3117">
        <v>15</v>
      </c>
    </row>
    <row r="86" spans="1:6" ht="13.5">
      <c r="A86" s="3117">
        <v>14</v>
      </c>
      <c r="B86" s="3813"/>
      <c r="C86" s="3091" t="s">
        <v>2680</v>
      </c>
      <c r="D86" s="3091" t="s">
        <v>2681</v>
      </c>
      <c r="E86" s="3117">
        <v>0.1</v>
      </c>
      <c r="F86" s="3117">
        <v>15</v>
      </c>
    </row>
    <row r="87" spans="1:6" ht="13.5">
      <c r="A87" s="3117">
        <v>15</v>
      </c>
      <c r="B87" s="3813"/>
      <c r="C87" s="3091" t="s">
        <v>2682</v>
      </c>
      <c r="D87" s="3091" t="s">
        <v>2683</v>
      </c>
      <c r="E87" s="3117">
        <v>0.1</v>
      </c>
      <c r="F87" s="3117">
        <v>15</v>
      </c>
    </row>
    <row r="88" spans="1:6" ht="24">
      <c r="A88" s="3117">
        <v>16</v>
      </c>
      <c r="B88" s="3813"/>
      <c r="C88" s="3091" t="s">
        <v>2684</v>
      </c>
      <c r="D88" s="3091" t="s">
        <v>2685</v>
      </c>
      <c r="E88" s="3117">
        <v>0.1</v>
      </c>
      <c r="F88" s="3117">
        <v>15</v>
      </c>
    </row>
    <row r="89" spans="1:6" ht="24">
      <c r="A89" s="3117">
        <v>17</v>
      </c>
      <c r="B89" s="3812"/>
      <c r="C89" s="3091" t="s">
        <v>2686</v>
      </c>
      <c r="D89" s="3091" t="s">
        <v>2687</v>
      </c>
      <c r="E89" s="3117">
        <v>0.1</v>
      </c>
      <c r="F89" s="3117">
        <v>15</v>
      </c>
    </row>
    <row r="90" spans="1:6" ht="13.5">
      <c r="A90" s="3117">
        <v>18</v>
      </c>
      <c r="B90" s="3811" t="s">
        <v>2688</v>
      </c>
      <c r="C90" s="3091" t="s">
        <v>2689</v>
      </c>
      <c r="D90" s="3091" t="s">
        <v>2690</v>
      </c>
      <c r="E90" s="3117">
        <v>0.2</v>
      </c>
      <c r="F90" s="3117">
        <v>25</v>
      </c>
    </row>
    <row r="91" spans="1:6" ht="24">
      <c r="A91" s="3117">
        <v>19</v>
      </c>
      <c r="B91" s="3813"/>
      <c r="C91" s="3091" t="s">
        <v>2691</v>
      </c>
      <c r="D91" s="3091" t="s">
        <v>2692</v>
      </c>
      <c r="E91" s="3117">
        <v>0.2</v>
      </c>
      <c r="F91" s="3117">
        <v>25</v>
      </c>
    </row>
    <row r="92" spans="1:6" ht="13.5">
      <c r="A92" s="3117">
        <v>20</v>
      </c>
      <c r="B92" s="3813"/>
      <c r="C92" s="3091" t="s">
        <v>2693</v>
      </c>
      <c r="D92" s="3091" t="s">
        <v>2694</v>
      </c>
      <c r="E92" s="3117">
        <v>0.15</v>
      </c>
      <c r="F92" s="3117">
        <v>20</v>
      </c>
    </row>
    <row r="93" spans="1:6" ht="13.5">
      <c r="A93" s="3117">
        <v>21</v>
      </c>
      <c r="B93" s="3813"/>
      <c r="C93" s="3091" t="s">
        <v>2695</v>
      </c>
      <c r="D93" s="3091" t="s">
        <v>2696</v>
      </c>
      <c r="E93" s="3117">
        <v>0.15</v>
      </c>
      <c r="F93" s="3117">
        <v>20</v>
      </c>
    </row>
    <row r="94" spans="1:6" ht="13.5">
      <c r="A94" s="3117">
        <v>22</v>
      </c>
      <c r="B94" s="3813"/>
      <c r="C94" s="3091" t="s">
        <v>2697</v>
      </c>
      <c r="D94" s="3091" t="s">
        <v>2698</v>
      </c>
      <c r="E94" s="3117">
        <v>0.15</v>
      </c>
      <c r="F94" s="3117">
        <v>20</v>
      </c>
    </row>
    <row r="95" spans="1:6" ht="36">
      <c r="A95" s="3117">
        <v>23</v>
      </c>
      <c r="B95" s="3813"/>
      <c r="C95" s="3091" t="s">
        <v>2699</v>
      </c>
      <c r="D95" s="3091" t="s">
        <v>2700</v>
      </c>
      <c r="E95" s="3117">
        <v>0.15</v>
      </c>
      <c r="F95" s="3117">
        <v>20</v>
      </c>
    </row>
    <row r="96" spans="1:6" ht="13.5">
      <c r="A96" s="3117">
        <v>24</v>
      </c>
      <c r="B96" s="3813"/>
      <c r="C96" s="3091" t="s">
        <v>2701</v>
      </c>
      <c r="D96" s="3091" t="s">
        <v>2702</v>
      </c>
      <c r="E96" s="3117">
        <v>0.1</v>
      </c>
      <c r="F96" s="3117">
        <v>15</v>
      </c>
    </row>
    <row r="97" spans="1:6" ht="13.5">
      <c r="A97" s="3117">
        <v>25</v>
      </c>
      <c r="B97" s="3813"/>
      <c r="C97" s="3091" t="s">
        <v>2703</v>
      </c>
      <c r="D97" s="3091" t="s">
        <v>2704</v>
      </c>
      <c r="E97" s="3117">
        <v>0.1</v>
      </c>
      <c r="F97" s="3117">
        <v>15</v>
      </c>
    </row>
    <row r="98" spans="1:6" ht="24">
      <c r="A98" s="3117">
        <v>26</v>
      </c>
      <c r="B98" s="3813"/>
      <c r="C98" s="3091" t="s">
        <v>2705</v>
      </c>
      <c r="D98" s="3091" t="s">
        <v>2706</v>
      </c>
      <c r="E98" s="3117">
        <v>0.1</v>
      </c>
      <c r="F98" s="3117">
        <v>15</v>
      </c>
    </row>
    <row r="99" spans="1:6" ht="24">
      <c r="A99" s="3117">
        <v>27</v>
      </c>
      <c r="B99" s="3813"/>
      <c r="C99" s="3091" t="s">
        <v>2707</v>
      </c>
      <c r="D99" s="3091" t="s">
        <v>2708</v>
      </c>
      <c r="E99" s="3117">
        <v>0.1</v>
      </c>
      <c r="F99" s="3117">
        <v>15</v>
      </c>
    </row>
    <row r="100" spans="1:6" ht="13.5">
      <c r="A100" s="3117">
        <v>28</v>
      </c>
      <c r="B100" s="3813"/>
      <c r="C100" s="3091" t="s">
        <v>2709</v>
      </c>
      <c r="D100" s="3091" t="s">
        <v>2710</v>
      </c>
      <c r="E100" s="3117">
        <v>0.1</v>
      </c>
      <c r="F100" s="3117">
        <v>15</v>
      </c>
    </row>
    <row r="101" spans="1:6" ht="13.5">
      <c r="A101" s="3117">
        <v>29</v>
      </c>
      <c r="B101" s="3813"/>
      <c r="C101" s="3091" t="s">
        <v>2711</v>
      </c>
      <c r="D101" s="3091" t="s">
        <v>2712</v>
      </c>
      <c r="E101" s="3117">
        <v>0.1</v>
      </c>
      <c r="F101" s="3117">
        <v>15</v>
      </c>
    </row>
    <row r="102" spans="1:6" ht="13.5">
      <c r="A102" s="3117">
        <v>30</v>
      </c>
      <c r="B102" s="3813"/>
      <c r="C102" s="3091" t="s">
        <v>2713</v>
      </c>
      <c r="D102" s="3091" t="s">
        <v>2714</v>
      </c>
      <c r="E102" s="3117">
        <v>0.1</v>
      </c>
      <c r="F102" s="3117">
        <v>15</v>
      </c>
    </row>
    <row r="103" spans="1:6" ht="24">
      <c r="A103" s="3117">
        <v>31</v>
      </c>
      <c r="B103" s="3813"/>
      <c r="C103" s="3091" t="s">
        <v>2715</v>
      </c>
      <c r="D103" s="3091" t="s">
        <v>2716</v>
      </c>
      <c r="E103" s="3117">
        <v>0.1</v>
      </c>
      <c r="F103" s="3117">
        <v>15</v>
      </c>
    </row>
    <row r="104" spans="1:6" ht="24">
      <c r="A104" s="3117">
        <v>32</v>
      </c>
      <c r="B104" s="3813"/>
      <c r="C104" s="3091" t="s">
        <v>2717</v>
      </c>
      <c r="D104" s="3091" t="s">
        <v>2718</v>
      </c>
      <c r="E104" s="3117">
        <v>0.1</v>
      </c>
      <c r="F104" s="3117">
        <v>15</v>
      </c>
    </row>
    <row r="105" spans="1:6" ht="24">
      <c r="A105" s="3117">
        <v>33</v>
      </c>
      <c r="B105" s="3813"/>
      <c r="C105" s="3091" t="s">
        <v>2719</v>
      </c>
      <c r="D105" s="3091" t="s">
        <v>2720</v>
      </c>
      <c r="E105" s="3117">
        <v>0.1</v>
      </c>
      <c r="F105" s="3117">
        <v>15</v>
      </c>
    </row>
    <row r="106" spans="1:6" ht="24">
      <c r="A106" s="3117">
        <v>34</v>
      </c>
      <c r="B106" s="3812"/>
      <c r="C106" s="3091" t="s">
        <v>2721</v>
      </c>
      <c r="D106" s="3091" t="s">
        <v>2722</v>
      </c>
      <c r="E106" s="3117">
        <v>0.1</v>
      </c>
      <c r="F106" s="3117">
        <v>15</v>
      </c>
    </row>
    <row r="107" spans="1:6" ht="24">
      <c r="A107" s="3117">
        <v>35</v>
      </c>
      <c r="B107" s="3811" t="s">
        <v>2723</v>
      </c>
      <c r="C107" s="3117" t="s">
        <v>2724</v>
      </c>
      <c r="D107" s="3091" t="s">
        <v>2725</v>
      </c>
      <c r="E107" s="3117">
        <v>0.15</v>
      </c>
      <c r="F107" s="3117">
        <v>20</v>
      </c>
    </row>
    <row r="108" spans="1:6" ht="13.5">
      <c r="A108" s="3117">
        <v>36</v>
      </c>
      <c r="B108" s="3813"/>
      <c r="C108" s="3117" t="s">
        <v>2726</v>
      </c>
      <c r="D108" s="3091" t="s">
        <v>2727</v>
      </c>
      <c r="E108" s="3117">
        <v>0.15</v>
      </c>
      <c r="F108" s="3117">
        <v>20</v>
      </c>
    </row>
    <row r="109" spans="1:6" ht="13.5">
      <c r="A109" s="3117">
        <v>37</v>
      </c>
      <c r="B109" s="3813"/>
      <c r="C109" s="3117" t="s">
        <v>2728</v>
      </c>
      <c r="D109" s="3091" t="s">
        <v>2729</v>
      </c>
      <c r="E109" s="3117">
        <v>0.15</v>
      </c>
      <c r="F109" s="3117">
        <v>20</v>
      </c>
    </row>
    <row r="110" spans="1:6" ht="13.5">
      <c r="A110" s="3117">
        <v>38</v>
      </c>
      <c r="B110" s="3813"/>
      <c r="C110" s="3117" t="s">
        <v>2730</v>
      </c>
      <c r="D110" s="3091" t="s">
        <v>2731</v>
      </c>
      <c r="E110" s="3117">
        <v>0.1</v>
      </c>
      <c r="F110" s="3117">
        <v>15</v>
      </c>
    </row>
    <row r="111" spans="1:6" ht="24">
      <c r="A111" s="3117">
        <v>39</v>
      </c>
      <c r="B111" s="3813"/>
      <c r="C111" s="3117" t="s">
        <v>2732</v>
      </c>
      <c r="D111" s="3091" t="s">
        <v>2733</v>
      </c>
      <c r="E111" s="3117">
        <v>0.1</v>
      </c>
      <c r="F111" s="3117">
        <v>15</v>
      </c>
    </row>
    <row r="112" spans="1:6" ht="24">
      <c r="A112" s="3117">
        <v>40</v>
      </c>
      <c r="B112" s="3812"/>
      <c r="C112" s="3117" t="s">
        <v>2734</v>
      </c>
      <c r="D112" s="3091" t="s">
        <v>2735</v>
      </c>
      <c r="E112" s="3117">
        <v>0.1</v>
      </c>
      <c r="F112" s="3117">
        <v>15</v>
      </c>
    </row>
    <row r="113" spans="1:6" ht="13.5">
      <c r="A113" s="3117">
        <v>41</v>
      </c>
      <c r="B113" s="3810" t="s">
        <v>2736</v>
      </c>
      <c r="C113" s="3117" t="s">
        <v>2737</v>
      </c>
      <c r="D113" s="3091" t="s">
        <v>2738</v>
      </c>
      <c r="E113" s="3117">
        <v>0.1</v>
      </c>
      <c r="F113" s="3117">
        <v>15</v>
      </c>
    </row>
    <row r="114" spans="1:6" ht="13.5">
      <c r="A114" s="3117">
        <v>42</v>
      </c>
      <c r="B114" s="3810"/>
      <c r="C114" s="3117" t="s">
        <v>2739</v>
      </c>
      <c r="D114" s="3091" t="s">
        <v>2740</v>
      </c>
      <c r="E114" s="3117">
        <v>0.1</v>
      </c>
      <c r="F114" s="3117">
        <v>15</v>
      </c>
    </row>
    <row r="115" spans="1:6" ht="24">
      <c r="A115" s="3117">
        <v>43</v>
      </c>
      <c r="B115" s="3810"/>
      <c r="C115" s="3117" t="s">
        <v>2741</v>
      </c>
      <c r="D115" s="3091" t="s">
        <v>2742</v>
      </c>
      <c r="E115" s="3117">
        <v>0.1</v>
      </c>
      <c r="F115" s="3117">
        <v>15</v>
      </c>
    </row>
    <row r="116" spans="1:6" ht="13.5">
      <c r="A116" s="3117">
        <v>44</v>
      </c>
      <c r="B116" s="3811" t="s">
        <v>2743</v>
      </c>
      <c r="C116" s="3117" t="s">
        <v>2744</v>
      </c>
      <c r="D116" s="3091" t="s">
        <v>2745</v>
      </c>
      <c r="E116" s="3117">
        <v>0.1</v>
      </c>
      <c r="F116" s="3117">
        <v>15</v>
      </c>
    </row>
    <row r="117" spans="1:6" ht="24">
      <c r="A117" s="3117">
        <v>45</v>
      </c>
      <c r="B117" s="3812"/>
      <c r="C117" s="3091" t="s">
        <v>2746</v>
      </c>
      <c r="D117" s="3091" t="s">
        <v>2747</v>
      </c>
      <c r="E117" s="3117">
        <v>0.1</v>
      </c>
      <c r="F117" s="3117">
        <v>15</v>
      </c>
    </row>
    <row r="118" spans="1:6" ht="24">
      <c r="A118" s="3117">
        <v>46</v>
      </c>
      <c r="B118" s="3811" t="s">
        <v>2748</v>
      </c>
      <c r="C118" s="3117" t="s">
        <v>2749</v>
      </c>
      <c r="D118" s="3091" t="s">
        <v>2750</v>
      </c>
      <c r="E118" s="3117">
        <v>0.1</v>
      </c>
      <c r="F118" s="3117">
        <v>15</v>
      </c>
    </row>
    <row r="119" spans="1:6" ht="24">
      <c r="A119" s="3117">
        <v>47</v>
      </c>
      <c r="B119" s="3812"/>
      <c r="C119" s="3117" t="s">
        <v>2751</v>
      </c>
      <c r="D119" s="3091" t="s">
        <v>2752</v>
      </c>
      <c r="E119" s="3117">
        <v>0.1</v>
      </c>
      <c r="F119" s="3117">
        <v>15</v>
      </c>
    </row>
    <row r="120" spans="1:6" ht="13.5">
      <c r="A120" s="3117">
        <v>48</v>
      </c>
      <c r="B120" s="3811" t="s">
        <v>2753</v>
      </c>
      <c r="C120" s="3117" t="s">
        <v>2754</v>
      </c>
      <c r="D120" s="3091" t="s">
        <v>2755</v>
      </c>
      <c r="E120" s="3117">
        <v>0.1</v>
      </c>
      <c r="F120" s="3117">
        <v>15</v>
      </c>
    </row>
    <row r="121" spans="1:6" ht="13.5">
      <c r="A121" s="3117">
        <v>49</v>
      </c>
      <c r="B121" s="3812"/>
      <c r="C121" s="3117" t="s">
        <v>2756</v>
      </c>
      <c r="D121" s="3091" t="s">
        <v>2757</v>
      </c>
      <c r="E121" s="3117">
        <v>0.1</v>
      </c>
      <c r="F121" s="3117">
        <v>15</v>
      </c>
    </row>
    <row r="122" spans="1:6" ht="24">
      <c r="A122" s="3117">
        <v>50</v>
      </c>
      <c r="B122" s="3810" t="s">
        <v>2758</v>
      </c>
      <c r="C122" s="3117" t="s">
        <v>2759</v>
      </c>
      <c r="D122" s="3091" t="s">
        <v>2760</v>
      </c>
      <c r="E122" s="3117">
        <v>0.1</v>
      </c>
      <c r="F122" s="3117">
        <v>15</v>
      </c>
    </row>
    <row r="123" spans="1:6" ht="24">
      <c r="A123" s="3117">
        <v>51</v>
      </c>
      <c r="B123" s="3810"/>
      <c r="C123" s="3117" t="s">
        <v>2761</v>
      </c>
      <c r="D123" s="3091" t="s">
        <v>2762</v>
      </c>
      <c r="E123" s="3117">
        <v>0.1</v>
      </c>
      <c r="F123" s="3117">
        <v>15</v>
      </c>
    </row>
    <row r="124" spans="1:6" ht="24">
      <c r="A124" s="3117">
        <v>52</v>
      </c>
      <c r="B124" s="3810" t="s">
        <v>2763</v>
      </c>
      <c r="C124" s="3117" t="s">
        <v>2764</v>
      </c>
      <c r="D124" s="3091" t="s">
        <v>2765</v>
      </c>
      <c r="E124" s="3117">
        <v>0.1</v>
      </c>
      <c r="F124" s="3117">
        <v>15</v>
      </c>
    </row>
    <row r="125" spans="1:6" ht="24">
      <c r="A125" s="3117">
        <v>53</v>
      </c>
      <c r="B125" s="3810"/>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810" t="s">
        <v>2771</v>
      </c>
      <c r="C127" s="3117" t="s">
        <v>2772</v>
      </c>
      <c r="D127" s="3091" t="s">
        <v>2773</v>
      </c>
      <c r="E127" s="3117">
        <v>0.1</v>
      </c>
      <c r="F127" s="3117">
        <v>15</v>
      </c>
    </row>
    <row r="128" spans="1:6" ht="13.5">
      <c r="A128" s="3117">
        <v>56</v>
      </c>
      <c r="B128" s="3810"/>
      <c r="C128" s="3117" t="s">
        <v>2774</v>
      </c>
      <c r="D128" s="3091" t="s">
        <v>2775</v>
      </c>
      <c r="E128" s="3117">
        <v>0.1</v>
      </c>
      <c r="F128" s="3117">
        <v>15</v>
      </c>
    </row>
    <row r="129" spans="1:6" ht="24">
      <c r="A129" s="3117">
        <v>57</v>
      </c>
      <c r="B129" s="3810"/>
      <c r="C129" s="3117" t="s">
        <v>2776</v>
      </c>
      <c r="D129" s="3091" t="s">
        <v>2777</v>
      </c>
      <c r="E129" s="3117">
        <v>0.1</v>
      </c>
      <c r="F129" s="3117">
        <v>15</v>
      </c>
    </row>
    <row r="130" spans="1:6" ht="24">
      <c r="A130" s="3117">
        <v>58</v>
      </c>
      <c r="B130" s="3810" t="s">
        <v>2778</v>
      </c>
      <c r="C130" s="3117" t="s">
        <v>2779</v>
      </c>
      <c r="D130" s="3091" t="s">
        <v>2780</v>
      </c>
      <c r="E130" s="3117">
        <v>0.1</v>
      </c>
      <c r="F130" s="3117">
        <v>15</v>
      </c>
    </row>
    <row r="131" spans="1:6" ht="13.5">
      <c r="A131" s="3117">
        <v>59</v>
      </c>
      <c r="B131" s="3810"/>
      <c r="C131" s="3117" t="s">
        <v>2781</v>
      </c>
      <c r="D131" s="3091" t="s">
        <v>2782</v>
      </c>
      <c r="E131" s="3117">
        <v>0.1</v>
      </c>
      <c r="F131" s="3117">
        <v>15</v>
      </c>
    </row>
    <row r="132" spans="1:6" ht="13.5">
      <c r="A132" s="3117">
        <v>60</v>
      </c>
      <c r="B132" s="3811" t="s">
        <v>2783</v>
      </c>
      <c r="C132" s="3117" t="s">
        <v>2784</v>
      </c>
      <c r="D132" s="3091" t="s">
        <v>2785</v>
      </c>
      <c r="E132" s="3117">
        <v>0.1</v>
      </c>
      <c r="F132" s="3117">
        <v>15</v>
      </c>
    </row>
    <row r="133" spans="1:6" ht="13.5">
      <c r="A133" s="3117">
        <v>61</v>
      </c>
      <c r="B133" s="3812"/>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810" t="s">
        <v>2791</v>
      </c>
      <c r="C135" s="3117" t="s">
        <v>2792</v>
      </c>
      <c r="D135" s="3091" t="s">
        <v>2793</v>
      </c>
      <c r="E135" s="3117">
        <v>0.1</v>
      </c>
      <c r="F135" s="3117">
        <v>15</v>
      </c>
    </row>
    <row r="136" spans="1:6" ht="13.5">
      <c r="A136" s="3117">
        <v>64</v>
      </c>
      <c r="B136" s="3810"/>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93"/>
      <c r="B4" s="3507" t="s">
        <v>917</v>
      </c>
      <c r="C4" s="3507"/>
      <c r="D4" s="3507"/>
      <c r="E4" s="1493"/>
    </row>
    <row r="5" spans="1:5" ht="16.5" thickTop="1">
      <c r="A5" s="1491"/>
      <c r="B5" s="3505" t="s">
        <v>909</v>
      </c>
      <c r="C5" s="1494" t="s">
        <v>910</v>
      </c>
      <c r="D5" s="850">
        <f ca="1">结果表!H101</f>
        <v>99266</v>
      </c>
      <c r="E5" s="1491"/>
    </row>
    <row r="6" spans="1:5" ht="15.75">
      <c r="A6" s="1491"/>
      <c r="B6" s="3505"/>
      <c r="C6" s="1494" t="s">
        <v>911</v>
      </c>
      <c r="D6" s="850" t="str">
        <f ca="1">NUMBERSTRING(INT(D5*10000),2)&amp;"元整"</f>
        <v>玖亿玖仟贰佰陆拾陆万元整</v>
      </c>
      <c r="E6" s="1491"/>
    </row>
    <row r="7" spans="1:5" ht="15.75">
      <c r="A7" s="1491"/>
      <c r="B7" s="3510"/>
      <c r="C7" s="1495" t="s">
        <v>912</v>
      </c>
      <c r="D7" s="851">
        <f ca="1">结果表!H102</f>
        <v>19105</v>
      </c>
      <c r="E7" s="1491"/>
    </row>
    <row r="8" spans="1:5" ht="15.75">
      <c r="A8" s="1491"/>
      <c r="B8" s="3511" t="str">
        <f>结果表!E103</f>
        <v>2.估价师知悉的法定优先受偿款</v>
      </c>
      <c r="C8" s="1496" t="s">
        <v>913</v>
      </c>
      <c r="D8" s="851">
        <f>结果表!H103</f>
        <v>0</v>
      </c>
      <c r="E8" s="1491"/>
    </row>
    <row r="9" spans="1:5" ht="15.75">
      <c r="A9" s="1491"/>
      <c r="B9" s="351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04" t="str">
        <f>结果表!E107</f>
        <v>3.房地产抵押价值</v>
      </c>
      <c r="C13" s="1499" t="s">
        <v>910</v>
      </c>
      <c r="D13" s="853">
        <f ca="1">结果表!H107</f>
        <v>99266</v>
      </c>
      <c r="E13" s="1491"/>
    </row>
    <row r="14" spans="1:5" ht="15.75">
      <c r="A14" s="1491"/>
      <c r="B14" s="3505"/>
      <c r="C14" s="1494" t="s">
        <v>911</v>
      </c>
      <c r="D14" s="850" t="str">
        <f ca="1">NUMBERSTRING(INT(D13*10000),2)&amp;"元整"</f>
        <v>玖亿玖仟贰佰陆拾陆万元整</v>
      </c>
      <c r="E14" s="1491"/>
    </row>
    <row r="15" spans="1:5" ht="15">
      <c r="A15" s="1491"/>
      <c r="B15" s="3510"/>
      <c r="C15" s="1495" t="s">
        <v>921</v>
      </c>
      <c r="D15" s="859">
        <f ca="1">结果表!H108</f>
        <v>19105</v>
      </c>
      <c r="E15" s="1491"/>
    </row>
    <row r="16" spans="1:5" ht="15">
      <c r="A16" s="1491"/>
      <c r="B16" s="3511" t="str">
        <f>结果表!E109</f>
        <v>——</v>
      </c>
      <c r="C16" s="1499" t="s">
        <v>922</v>
      </c>
      <c r="D16" s="1500" t="str">
        <f>结果表!H109</f>
        <v>——</v>
      </c>
      <c r="E16" s="1491"/>
    </row>
    <row r="17" spans="1:5" ht="15.75">
      <c r="A17" s="1491"/>
      <c r="B17" s="3512"/>
      <c r="C17" s="1494" t="s">
        <v>923</v>
      </c>
      <c r="D17" s="850" t="e">
        <f>NUMBERSTRING(INT(D16*10000),2)&amp;"元整"</f>
        <v>#VALUE!</v>
      </c>
      <c r="E17" s="1491"/>
    </row>
    <row r="18" spans="1:5" ht="15">
      <c r="A18" s="1491"/>
      <c r="B18" s="3513"/>
      <c r="C18" s="1495" t="s">
        <v>912</v>
      </c>
      <c r="D18" s="859" t="str">
        <f>结果表!H110</f>
        <v>——</v>
      </c>
      <c r="E18" s="1491"/>
    </row>
    <row r="19" spans="1:5" ht="15.75">
      <c r="A19" s="1491"/>
      <c r="B19" s="3504" t="str">
        <f>结果表!E111</f>
        <v>4.抵押净值</v>
      </c>
      <c r="C19" s="1499" t="s">
        <v>910</v>
      </c>
      <c r="D19" s="851">
        <f ca="1">结果表!H111</f>
        <v>42086</v>
      </c>
      <c r="E19" s="1491"/>
    </row>
    <row r="20" spans="1:5" ht="15.75">
      <c r="A20" s="1491"/>
      <c r="B20" s="3505"/>
      <c r="C20" s="1494" t="s">
        <v>923</v>
      </c>
      <c r="D20" s="850" t="str">
        <f ca="1">NUMBERSTRING(INT(D19*10000),2)&amp;"元整"</f>
        <v>肆亿贰仟零捌拾陆万元整</v>
      </c>
      <c r="E20" s="1491"/>
    </row>
    <row r="21" spans="1:5" ht="15.75" thickBot="1">
      <c r="A21" s="1491"/>
      <c r="B21" s="3506"/>
      <c r="C21" s="1501" t="s">
        <v>921</v>
      </c>
      <c r="D21" s="860">
        <f ca="1">结果表!H112</f>
        <v>8100</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1.2158</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1.1565000000000001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57889</v>
      </c>
      <c r="C2" s="2" t="s">
        <v>106</v>
      </c>
      <c r="D2" s="199"/>
      <c r="E2" s="199"/>
      <c r="F2" s="199"/>
      <c r="G2" s="199"/>
    </row>
    <row r="3" spans="1:7" s="200" customFormat="1" ht="18" customHeight="1" thickBot="1">
      <c r="A3" s="203" t="s">
        <v>58</v>
      </c>
      <c r="B3" s="204">
        <f ca="1">ROUND(B2*10000/'数据-汇总表'!E3,0)</f>
        <v>11142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1039</v>
      </c>
      <c r="D10" s="845">
        <f>'数据-汇总表'!E6</f>
        <v>51957.049999999996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1039</v>
      </c>
      <c r="D19" s="849">
        <f>'数据-汇总表'!E3</f>
        <v>51957.049999999996</v>
      </c>
      <c r="E19" s="211">
        <f>'数据-取费表'!B31</f>
        <v>200</v>
      </c>
      <c r="F19" s="231"/>
      <c r="G19" s="1" t="s">
        <v>436</v>
      </c>
    </row>
    <row r="20" spans="1:7" s="214" customFormat="1" ht="13.5" customHeight="1">
      <c r="A20" s="777" t="s">
        <v>419</v>
      </c>
      <c r="B20" s="210" t="s">
        <v>77</v>
      </c>
      <c r="C20" s="232">
        <f>ROUND((C5+C19)*F20,0)</f>
        <v>433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1852</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88</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2871</v>
      </c>
      <c r="D27" s="235">
        <f>C29</f>
        <v>2.5999999999999999E-3</v>
      </c>
      <c r="E27" s="236" t="s">
        <v>99</v>
      </c>
      <c r="F27" s="246">
        <f>'数据-取费表'!Q16</f>
        <v>0.13</v>
      </c>
      <c r="G27" s="247" t="s">
        <v>431</v>
      </c>
    </row>
    <row r="28" spans="1:7" s="214" customFormat="1" ht="13.5" customHeight="1">
      <c r="A28" s="780" t="s">
        <v>349</v>
      </c>
      <c r="B28" s="248" t="s">
        <v>424</v>
      </c>
      <c r="C28" s="249">
        <f>ROUND((C5+C19+C20)*F27*'数据-取费表'!B21/'数据-取费表'!B20,0)</f>
        <v>2871</v>
      </c>
      <c r="D28" s="235"/>
      <c r="E28" s="236"/>
      <c r="F28" s="246"/>
      <c r="G28" s="247"/>
    </row>
    <row r="29" spans="1:7" s="214" customFormat="1" ht="13.5" customHeight="1">
      <c r="A29" s="780" t="s">
        <v>347</v>
      </c>
      <c r="B29" s="248" t="s">
        <v>425</v>
      </c>
      <c r="C29" s="238">
        <f>ROUND(C21*F27*'数据-取费表'!B21/'数据-取费表'!B20,4)</f>
        <v>2.5999999999999999E-3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29033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28187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25979</v>
      </c>
      <c r="D34" s="217"/>
      <c r="E34" s="220"/>
      <c r="F34" s="257">
        <f>IF('数据-取费表'!B24=0,1,'数据-取费表'!N16)</f>
        <v>1</v>
      </c>
      <c r="G34" s="219" t="s">
        <v>89</v>
      </c>
    </row>
    <row r="35" spans="1:7" ht="13.5" customHeight="1">
      <c r="A35" s="780" t="s">
        <v>351</v>
      </c>
      <c r="B35" s="215" t="s">
        <v>33</v>
      </c>
      <c r="C35" s="220">
        <f>ROUND(C34*F35,0)</f>
        <v>779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1039</v>
      </c>
      <c r="D37" s="217">
        <f>'数据-汇总表'!E3</f>
        <v>51957.049999999996</v>
      </c>
      <c r="E37" s="249">
        <f>'数据-取费表'!B35</f>
        <v>200</v>
      </c>
      <c r="F37" s="259"/>
      <c r="G37" s="261" t="s">
        <v>92</v>
      </c>
    </row>
    <row r="38" spans="1:7" ht="13.5" customHeight="1">
      <c r="A38" s="780" t="s">
        <v>354</v>
      </c>
      <c r="B38" s="215" t="s">
        <v>36</v>
      </c>
      <c r="C38" s="220">
        <f>ROUND(C34*F38,0)</f>
        <v>390</v>
      </c>
      <c r="D38" s="220"/>
      <c r="E38" s="220"/>
      <c r="F38" s="259">
        <f>'数据-取费表'!B36</f>
        <v>1.4999999999999999E-2</v>
      </c>
      <c r="G38" s="219" t="s">
        <v>90</v>
      </c>
    </row>
    <row r="39" spans="1:7" s="214" customFormat="1" ht="13.5" customHeight="1">
      <c r="A39" s="777" t="s">
        <v>338</v>
      </c>
      <c r="B39" s="210" t="s">
        <v>77</v>
      </c>
      <c r="C39" s="232">
        <f>ROUND(C33*F20,0)</f>
        <v>564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1193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1170</v>
      </c>
      <c r="D42" s="238"/>
      <c r="E42" s="238"/>
      <c r="F42" s="239"/>
      <c r="G42" s="3686" t="s">
        <v>94</v>
      </c>
    </row>
    <row r="43" spans="1:7" ht="13.5" customHeight="1">
      <c r="A43" s="780" t="s">
        <v>347</v>
      </c>
      <c r="B43" s="215" t="s">
        <v>426</v>
      </c>
      <c r="C43" s="238">
        <f ca="1">ROUND(IF('数据-取费表'!B22&lt;=1,C39*F22*'数据-取费表'!B21/2,C39*(POWER((1+F22),'数据-取费表'!B21/2)-1)),0)</f>
        <v>23</v>
      </c>
      <c r="D43" s="238"/>
      <c r="E43" s="238"/>
      <c r="F43" s="239"/>
      <c r="G43" s="3687"/>
    </row>
    <row r="44" spans="1:7" ht="13.5" customHeight="1">
      <c r="A44" s="780" t="s">
        <v>348</v>
      </c>
      <c r="B44" s="215" t="s">
        <v>428</v>
      </c>
      <c r="C44" s="238">
        <f ca="1">ROUND(IF('数据-取费表'!B22&lt;=1,C40*F22*'数据-取费表'!B21/2,C40*(POWER((1+F22),'数据-取费表'!B21/2)-1)),4)</f>
        <v>8.0000000000000004E-4</v>
      </c>
      <c r="D44" s="238"/>
      <c r="E44" s="238"/>
      <c r="F44" s="239"/>
      <c r="G44" s="3688"/>
    </row>
    <row r="45" spans="1:7" s="214" customFormat="1" ht="13.5" customHeight="1">
      <c r="A45" s="777" t="s">
        <v>341</v>
      </c>
      <c r="B45" s="244" t="s">
        <v>85</v>
      </c>
      <c r="C45" s="245">
        <f>C46</f>
        <v>3738</v>
      </c>
      <c r="D45" s="235">
        <f>C47</f>
        <v>2.5999999999999999E-3</v>
      </c>
      <c r="E45" s="236" t="s">
        <v>102</v>
      </c>
      <c r="F45" s="246"/>
      <c r="G45" s="247" t="s">
        <v>434</v>
      </c>
    </row>
    <row r="46" spans="1:7" s="214" customFormat="1" ht="13.5" customHeight="1">
      <c r="A46" s="780" t="s">
        <v>349</v>
      </c>
      <c r="B46" s="248" t="s">
        <v>427</v>
      </c>
      <c r="C46" s="249">
        <f>ROUND((C33+C39)*F27,0)</f>
        <v>3738</v>
      </c>
      <c r="D46" s="263"/>
      <c r="E46" s="236"/>
      <c r="F46" s="246"/>
      <c r="G46" s="247"/>
    </row>
    <row r="47" spans="1:7" s="214" customFormat="1" ht="13.5" customHeight="1">
      <c r="A47" s="780" t="s">
        <v>347</v>
      </c>
      <c r="B47" s="248" t="s">
        <v>429</v>
      </c>
      <c r="C47" s="238">
        <f>ROUND(C40*F27,4)</f>
        <v>2.5999999999999999E-3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36481</v>
      </c>
      <c r="D49" s="232"/>
      <c r="E49" s="232"/>
      <c r="F49" s="264"/>
      <c r="G49" s="234" t="s">
        <v>435</v>
      </c>
    </row>
    <row r="50" spans="1:7" s="258" customFormat="1" ht="24">
      <c r="A50" s="777" t="s">
        <v>344</v>
      </c>
      <c r="B50" s="210" t="s">
        <v>97</v>
      </c>
      <c r="C50" s="232"/>
      <c r="D50" s="232"/>
      <c r="E50" s="232"/>
      <c r="F50" s="264">
        <f>IF('数据-取费表'!B24=0,'数据-取费表'!N16,1)</f>
        <v>0.79100000000000004</v>
      </c>
      <c r="G50" s="247" t="s">
        <v>98</v>
      </c>
    </row>
    <row r="51" spans="1:7" ht="16.5" customHeight="1">
      <c r="A51" s="777" t="s">
        <v>345</v>
      </c>
      <c r="B51" s="210" t="s">
        <v>105</v>
      </c>
      <c r="C51" s="232">
        <f ca="1">ROUND(C49*F50,0)</f>
        <v>28856</v>
      </c>
      <c r="D51" s="232"/>
      <c r="E51" s="232"/>
      <c r="F51" s="264"/>
      <c r="G51" s="234" t="s">
        <v>37</v>
      </c>
    </row>
    <row r="52" spans="1:7" s="208" customFormat="1" ht="16.5" thickBot="1">
      <c r="A52" s="265" t="s">
        <v>38</v>
      </c>
      <c r="B52" s="266"/>
      <c r="C52" s="267">
        <f ca="1">C31+C51</f>
        <v>57889</v>
      </c>
      <c r="D52" s="266"/>
      <c r="E52" s="266"/>
      <c r="F52" s="266"/>
      <c r="G52" s="268"/>
    </row>
    <row r="55" spans="1:7" ht="15">
      <c r="B55" s="270" t="s">
        <v>39</v>
      </c>
      <c r="C55" s="271"/>
    </row>
    <row r="56" spans="1:7">
      <c r="B56" s="273" t="s">
        <v>40</v>
      </c>
      <c r="C56" s="274">
        <f ca="1">ROUND(C51/C52,3)</f>
        <v>0.498</v>
      </c>
    </row>
    <row r="57" spans="1:7">
      <c r="B57" s="273" t="s">
        <v>41</v>
      </c>
      <c r="C57" s="275">
        <f ca="1">1-C56</f>
        <v>0.502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4" t="s">
        <v>2845</v>
      </c>
      <c r="B1" s="3824"/>
      <c r="C1" s="3824"/>
      <c r="D1" s="3824"/>
      <c r="E1" s="3824"/>
      <c r="F1" s="3824"/>
      <c r="G1" s="3825"/>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822" t="s">
        <v>2872</v>
      </c>
      <c r="B3" s="3229"/>
      <c r="C3" s="3230" t="s">
        <v>2813</v>
      </c>
      <c r="D3" s="3230" t="s">
        <v>2873</v>
      </c>
      <c r="E3" s="3230" t="s">
        <v>2815</v>
      </c>
      <c r="F3" s="3230" t="s">
        <v>2874</v>
      </c>
      <c r="G3" s="3230" t="s">
        <v>2633</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823"/>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6" t="s">
        <v>3187</v>
      </c>
      <c r="B1" s="3826"/>
    </row>
    <row r="2" spans="1:7" ht="14.25" thickBot="1">
      <c r="A2" s="3254"/>
      <c r="B2" s="3254"/>
    </row>
    <row r="3" spans="1:7" ht="14.25" thickBot="1">
      <c r="A3" s="3254"/>
      <c r="B3" s="3254"/>
      <c r="C3" s="3255" t="s">
        <v>2813</v>
      </c>
      <c r="D3" s="3255" t="s">
        <v>2873</v>
      </c>
      <c r="E3" s="3255" t="s">
        <v>2815</v>
      </c>
      <c r="F3" s="3255" t="s">
        <v>2874</v>
      </c>
      <c r="G3" s="3255" t="s">
        <v>2633</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27" t="s">
        <v>3238</v>
      </c>
      <c r="B1" s="3827"/>
      <c r="C1" s="3827"/>
      <c r="D1" s="3827"/>
      <c r="E1" s="3827"/>
      <c r="F1" s="3828"/>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0">
        <f>基准地价修正!G23</f>
        <v>44985</v>
      </c>
      <c r="B1" s="3209" t="s">
        <v>2844</v>
      </c>
      <c r="C1" s="3210"/>
      <c r="D1" s="3210"/>
      <c r="E1" s="3210"/>
      <c r="F1" s="3210"/>
      <c r="G1" s="3210"/>
      <c r="H1" s="3210"/>
      <c r="I1" s="3210"/>
      <c r="J1" s="3164"/>
      <c r="K1" s="3210" t="s">
        <v>454</v>
      </c>
      <c r="L1" s="3210"/>
      <c r="M1" s="3210"/>
      <c r="N1" s="3210"/>
      <c r="O1" s="3210"/>
      <c r="P1" s="3210"/>
      <c r="Q1" s="3164"/>
      <c r="R1" s="3829" t="s">
        <v>456</v>
      </c>
      <c r="S1" s="3830"/>
      <c r="T1" s="3830"/>
      <c r="U1" s="3830"/>
      <c r="V1" s="3830"/>
      <c r="W1" s="3830"/>
      <c r="X1" s="3164"/>
      <c r="Y1" s="3829" t="s">
        <v>457</v>
      </c>
      <c r="Z1" s="3830"/>
      <c r="AA1" s="3830"/>
      <c r="AB1" s="3830"/>
      <c r="AC1" s="3830"/>
      <c r="AD1" s="3830"/>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3375</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3376</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3374</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2822</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2823</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ROUND(IF([2]项目基本情况!B8="出让",SUMPRODUCT(PRODUCT(1+K9:K16)),SUMPRODUCT(PRODUCT(1+K9:K15))),4)</f>
        <v>1.0565</v>
      </c>
      <c r="S9" s="3191">
        <f>ROUND(IF([2]项目基本情况!B8="出让",SUMPRODUCT(PRODUCT(1+L9:L16)),SUMPRODUCT(PRODUCT(1+L9:L15))),4)</f>
        <v>1.0250999999999999</v>
      </c>
      <c r="T9" s="3191">
        <f>ROUND(IF([2]项目基本情况!B8="出让",SUMPRODUCT(PRODUCT(1+M9:M16)),SUMPRODUCT(PRODUCT(1+M9:M15))),4)</f>
        <v>1.0145</v>
      </c>
      <c r="U9" s="3191">
        <f>ROUND(IF([2]项目基本情况!B8="出让",SUMPRODUCT(PRODUCT(1+N9:N16)),SUMPRODUCT(PRODUCT(1+N9:N15))),4)</f>
        <v>1.0618000000000001</v>
      </c>
      <c r="V9" s="3191">
        <f>ROUND(IF([2]项目基本情况!B8="出让",SUMPRODUCT(PRODUCT(1+O9:O16)),SUMPRODUCT(PRODUCT(1+O9:O15))),4)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3372</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829" t="s">
        <v>2832</v>
      </c>
      <c r="S21" s="3830"/>
      <c r="T21" s="3830"/>
      <c r="U21" s="3830"/>
      <c r="V21" s="3830"/>
      <c r="W21" s="3830"/>
      <c r="X21" s="3164"/>
      <c r="Y21" s="3829" t="s">
        <v>2833</v>
      </c>
      <c r="Z21" s="3830"/>
      <c r="AA21" s="3830"/>
      <c r="AB21" s="3830"/>
      <c r="AC21" s="3830"/>
      <c r="AD21" s="3830"/>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3375</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1.0286999999999999</v>
      </c>
      <c r="T25" s="3182">
        <f>ROUND(IF([2]项目基本情况!$B$8="出让",SUMPRODUCT(PRODUCT(1+M25:M$36)),SUMPRODUCT(PRODUCT(1+M25:M$35))),4)</f>
        <v>1.0164</v>
      </c>
      <c r="U25" s="3182">
        <f>ROUND(IF([2]项目基本情况!$B$8="出让",SUMPRODUCT(PRODUCT(1+N25:N$36)),SUMPRODUCT(PRODUCT(1+N25:N$35))),4)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3376</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1.0286999999999999</v>
      </c>
      <c r="T26" s="3182">
        <f>ROUND(IF([2]项目基本情况!$B$8="出让",SUMPRODUCT(PRODUCT(1+M26:M$36)),SUMPRODUCT(PRODUCT(1+M26:M$35))),4)</f>
        <v>1.0164</v>
      </c>
      <c r="U26" s="3182">
        <f>ROUND(IF([2]项目基本情况!$B$8="出让",SUMPRODUCT(PRODUCT(1+N26:N$36)),SUMPRODUCT(PRODUCT(1+N26:N$35))),4)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3374</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1.0286999999999999</v>
      </c>
      <c r="T27" s="3182">
        <f>ROUND(IF([2]项目基本情况!$B$8="出让",SUMPRODUCT(PRODUCT(1+M27:M$36)),SUMPRODUCT(PRODUCT(1+M27:M$35))),4)</f>
        <v>1.0164</v>
      </c>
      <c r="U27" s="3182">
        <f>ROUND(IF([2]项目基本情况!$B$8="出让",SUMPRODUCT(PRODUCT(1+N27:N$36)),SUMPRODUCT(PRODUCT(1+N27:N$35))),4)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2822</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ROUND(IF([2]项目基本情况!$B$8="出让",SUMPRODUCT(PRODUCT(1+L28:L$36)),SUMPRODUCT(PRODUCT(1+L28:L$35))),4)</f>
        <v>1.0286999999999999</v>
      </c>
      <c r="T28" s="3182">
        <f>ROUND(IF([2]项目基本情况!$B$8="出让",SUMPRODUCT(PRODUCT(1+M28:M$36)),SUMPRODUCT(PRODUCT(1+M28:M$35))),4)</f>
        <v>1.0164</v>
      </c>
      <c r="U28" s="3182">
        <f>ROUND(IF([2]项目基本情况!$B$8="出让",SUMPRODUCT(PRODUCT(1+N28:N$36)),SUMPRODUCT(PRODUCT(1+N28:N$35))),4)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3370</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ROUND(IF([2]项目基本情况!$B$8="出让",SUMPRODUCT(PRODUCT(1+L29:L$36)),SUMPRODUCT(PRODUCT(1+L29:L$35))),4)</f>
        <v>1.0286999999999999</v>
      </c>
      <c r="T29" s="3191">
        <f>ROUND(IF([2]项目基本情况!$B$8="出让",SUMPRODUCT(PRODUCT(1+M29:M$36)),SUMPRODUCT(PRODUCT(1+M29:M$35))),4)</f>
        <v>1.0164</v>
      </c>
      <c r="U29" s="3191">
        <f>ROUND(IF([2]项目基本情况!$B$8="出让",SUMPRODUCT(PRODUCT(1+N29:N$36)),SUMPRODUCT(PRODUCT(1+N29:N$35))),4)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3371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36" t="s">
        <v>452</v>
      </c>
      <c r="C1" s="3836"/>
      <c r="D1" s="3836"/>
      <c r="E1" s="3836"/>
      <c r="F1" s="3836"/>
      <c r="G1" s="3835" t="s">
        <v>453</v>
      </c>
      <c r="H1" s="3835"/>
      <c r="I1" s="3835"/>
      <c r="J1" s="3835"/>
      <c r="K1" s="3835"/>
      <c r="L1" s="3835"/>
      <c r="N1" s="3835" t="s">
        <v>454</v>
      </c>
      <c r="O1" s="3835"/>
      <c r="P1" s="3835"/>
      <c r="Q1" s="3835"/>
      <c r="S1" s="3835" t="s">
        <v>455</v>
      </c>
      <c r="T1" s="3835"/>
      <c r="U1" s="3835"/>
      <c r="V1" s="3835"/>
      <c r="X1" s="3834" t="s">
        <v>456</v>
      </c>
      <c r="Y1" s="3835"/>
      <c r="Z1" s="3835"/>
      <c r="AA1" s="3835"/>
      <c r="AB1" s="3835"/>
      <c r="AD1" s="3834" t="s">
        <v>457</v>
      </c>
      <c r="AE1" s="3835"/>
      <c r="AF1" s="3835"/>
      <c r="AG1" s="3835"/>
      <c r="AH1" s="383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3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3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3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4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3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3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3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4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3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3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3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3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3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3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3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3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4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3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3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3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3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3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3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3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3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3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3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3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3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3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3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3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3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3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3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3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3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3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3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3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3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3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3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3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3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3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3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3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3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3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3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3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3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3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3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3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3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3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3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3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3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44985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2312</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32"/>
  <sheetViews>
    <sheetView workbookViewId="0">
      <selection activeCell="S1" sqref="S1"/>
    </sheetView>
  </sheetViews>
  <sheetFormatPr defaultColWidth="9" defaultRowHeight="13.5"/>
  <cols>
    <col min="1" max="2" width="9" style="3469"/>
    <col min="3" max="3" width="10.25" style="3469" bestFit="1" customWidth="1"/>
    <col min="4" max="13" width="9" style="3469"/>
    <col min="14" max="14" width="9.875" style="3469" bestFit="1" customWidth="1"/>
    <col min="15" max="15" width="9.5" style="3469" bestFit="1" customWidth="1"/>
    <col min="16" max="16" width="9.25" style="3469" bestFit="1" customWidth="1"/>
    <col min="17" max="17" width="9.75" style="3469" bestFit="1" customWidth="1"/>
    <col min="18" max="16384" width="9" style="3469"/>
  </cols>
  <sheetData>
    <row r="1" spans="2:20" ht="31.5">
      <c r="B1" s="3470" t="s">
        <v>3454</v>
      </c>
      <c r="C1" s="3470" t="s">
        <v>3455</v>
      </c>
      <c r="D1" s="3470" t="s">
        <v>3456</v>
      </c>
      <c r="E1" s="3471" t="s">
        <v>3457</v>
      </c>
      <c r="F1" s="3470" t="s">
        <v>3458</v>
      </c>
      <c r="G1" s="3472" t="s">
        <v>3459</v>
      </c>
      <c r="H1" s="3472" t="s">
        <v>3460</v>
      </c>
      <c r="I1" s="3471" t="s">
        <v>3461</v>
      </c>
      <c r="J1" s="3471" t="s">
        <v>3462</v>
      </c>
      <c r="K1" s="3471" t="s">
        <v>3463</v>
      </c>
      <c r="L1" s="3471" t="s">
        <v>3464</v>
      </c>
      <c r="M1" s="3471" t="s">
        <v>3465</v>
      </c>
      <c r="N1" s="3471" t="s">
        <v>3466</v>
      </c>
      <c r="O1" s="3471" t="s">
        <v>3467</v>
      </c>
      <c r="P1" s="3471" t="s">
        <v>3468</v>
      </c>
      <c r="Q1" s="3471"/>
    </row>
    <row r="2" spans="2:20" s="3492" customFormat="1" ht="21">
      <c r="B2" s="3488">
        <v>1</v>
      </c>
      <c r="C2" s="3489" t="s">
        <v>3469</v>
      </c>
      <c r="D2" s="3489" t="s">
        <v>21</v>
      </c>
      <c r="E2" s="3489" t="s">
        <v>3597</v>
      </c>
      <c r="F2" s="3489" t="s">
        <v>3470</v>
      </c>
      <c r="G2" s="3490">
        <v>37.1</v>
      </c>
      <c r="H2" s="3491">
        <v>109000</v>
      </c>
      <c r="I2" s="3491">
        <v>33940</v>
      </c>
      <c r="J2" s="3489" t="s">
        <v>3471</v>
      </c>
      <c r="K2" s="3489" t="s">
        <v>3472</v>
      </c>
      <c r="L2" s="3489" t="s">
        <v>3473</v>
      </c>
      <c r="M2" s="3489"/>
      <c r="N2" s="3489"/>
      <c r="O2" s="3489"/>
      <c r="P2" s="3489"/>
      <c r="Q2" s="3489"/>
    </row>
    <row r="3" spans="2:20">
      <c r="B3" s="3473">
        <v>2</v>
      </c>
      <c r="C3" s="3474" t="s">
        <v>3469</v>
      </c>
      <c r="D3" s="3474" t="s">
        <v>3</v>
      </c>
      <c r="E3" s="3474" t="s">
        <v>3474</v>
      </c>
      <c r="F3" s="3474" t="s">
        <v>3475</v>
      </c>
      <c r="G3" s="3473">
        <v>28</v>
      </c>
      <c r="H3" s="3476">
        <v>114200</v>
      </c>
      <c r="I3" s="3476">
        <v>24518</v>
      </c>
      <c r="J3" s="3474" t="s">
        <v>3471</v>
      </c>
      <c r="K3" s="3474" t="s">
        <v>3476</v>
      </c>
      <c r="L3" s="3474" t="s">
        <v>3477</v>
      </c>
      <c r="M3" s="3474"/>
      <c r="N3" s="3474"/>
      <c r="O3" s="3474"/>
      <c r="P3" s="3474"/>
      <c r="Q3" s="3474"/>
    </row>
    <row r="4" spans="2:20" ht="21">
      <c r="B4" s="3473">
        <v>3</v>
      </c>
      <c r="C4" s="3474" t="s">
        <v>3469</v>
      </c>
      <c r="D4" s="3474" t="s">
        <v>3478</v>
      </c>
      <c r="E4" s="3474" t="s">
        <v>3479</v>
      </c>
      <c r="F4" s="3474" t="s">
        <v>3480</v>
      </c>
      <c r="G4" s="3477">
        <v>20.48</v>
      </c>
      <c r="H4" s="3476">
        <v>37923</v>
      </c>
      <c r="I4" s="3476">
        <v>54004</v>
      </c>
      <c r="J4" s="3474" t="s">
        <v>3471</v>
      </c>
      <c r="K4" s="3474" t="s">
        <v>3481</v>
      </c>
      <c r="L4" s="3474" t="s">
        <v>3482</v>
      </c>
      <c r="M4" s="3474"/>
      <c r="N4" s="3474"/>
      <c r="O4" s="3474"/>
      <c r="P4" s="3474"/>
      <c r="Q4" s="3474"/>
    </row>
    <row r="5" spans="2:20" ht="31.5">
      <c r="B5" s="3473">
        <v>4</v>
      </c>
      <c r="C5" s="3474" t="s">
        <v>3469</v>
      </c>
      <c r="D5" s="3474" t="s">
        <v>3483</v>
      </c>
      <c r="E5" s="3474" t="s">
        <v>3484</v>
      </c>
      <c r="F5" s="3474" t="s">
        <v>3485</v>
      </c>
      <c r="G5" s="3473">
        <v>13</v>
      </c>
      <c r="H5" s="3476">
        <v>48000</v>
      </c>
      <c r="I5" s="3476">
        <v>27083</v>
      </c>
      <c r="J5" s="3474" t="s">
        <v>3486</v>
      </c>
      <c r="K5" s="3474" t="s">
        <v>3487</v>
      </c>
      <c r="L5" s="3474" t="s">
        <v>3488</v>
      </c>
      <c r="M5" s="3474"/>
      <c r="N5" s="3474"/>
      <c r="O5" s="3474"/>
      <c r="P5" s="3474"/>
      <c r="Q5" s="3474"/>
    </row>
    <row r="6" spans="2:20" ht="21">
      <c r="B6" s="3473">
        <v>5</v>
      </c>
      <c r="C6" s="3474" t="s">
        <v>3469</v>
      </c>
      <c r="D6" s="3474" t="s">
        <v>21</v>
      </c>
      <c r="E6" s="3474" t="s">
        <v>3489</v>
      </c>
      <c r="F6" s="3474" t="s">
        <v>3490</v>
      </c>
      <c r="G6" s="3477">
        <v>10.84</v>
      </c>
      <c r="H6" s="3476">
        <v>24252</v>
      </c>
      <c r="I6" s="3478">
        <v>44697</v>
      </c>
      <c r="J6" s="3474" t="s">
        <v>3486</v>
      </c>
      <c r="K6" s="3474" t="s">
        <v>3491</v>
      </c>
      <c r="L6" s="3474" t="s">
        <v>3492</v>
      </c>
      <c r="M6" s="3474"/>
      <c r="N6" s="3474"/>
      <c r="O6" s="3474"/>
      <c r="P6" s="3474"/>
      <c r="Q6" s="3474"/>
    </row>
    <row r="7" spans="2:20" ht="21">
      <c r="B7" s="3473">
        <v>6</v>
      </c>
      <c r="C7" s="3474" t="s">
        <v>3493</v>
      </c>
      <c r="D7" s="3474" t="s">
        <v>21</v>
      </c>
      <c r="E7" s="3474" t="s">
        <v>3494</v>
      </c>
      <c r="F7" s="3474" t="s">
        <v>3475</v>
      </c>
      <c r="G7" s="3475">
        <v>26.5</v>
      </c>
      <c r="H7" s="3476">
        <v>35940</v>
      </c>
      <c r="I7" s="3476">
        <v>73734</v>
      </c>
      <c r="J7" s="3474" t="s">
        <v>3471</v>
      </c>
      <c r="K7" s="3474" t="s">
        <v>3495</v>
      </c>
      <c r="L7" s="3474" t="s">
        <v>3496</v>
      </c>
      <c r="M7" s="3474"/>
      <c r="N7" s="3474">
        <v>0.25</v>
      </c>
      <c r="O7" s="3474">
        <v>48000</v>
      </c>
      <c r="P7" s="3474">
        <v>55208</v>
      </c>
      <c r="Q7" s="3474"/>
    </row>
    <row r="8" spans="2:20" s="3481" customFormat="1" ht="31.5">
      <c r="B8" s="3479">
        <v>7</v>
      </c>
      <c r="C8" s="3474" t="s">
        <v>3493</v>
      </c>
      <c r="D8" s="3474" t="s">
        <v>21</v>
      </c>
      <c r="E8" s="3474" t="s">
        <v>3497</v>
      </c>
      <c r="F8" s="3474" t="s">
        <v>3480</v>
      </c>
      <c r="G8" s="3479">
        <v>24</v>
      </c>
      <c r="H8" s="3480">
        <v>52838</v>
      </c>
      <c r="I8" s="3480">
        <v>56777</v>
      </c>
      <c r="J8" s="3474" t="s">
        <v>3471</v>
      </c>
      <c r="K8" s="3474" t="s">
        <v>3498</v>
      </c>
      <c r="L8" s="3474" t="s">
        <v>3499</v>
      </c>
      <c r="M8" s="3474"/>
      <c r="N8" s="3474">
        <v>63204</v>
      </c>
      <c r="O8" s="3474">
        <v>10366</v>
      </c>
      <c r="P8" s="3474">
        <v>30</v>
      </c>
      <c r="Q8" s="3474">
        <v>5.6777319353495601</v>
      </c>
    </row>
    <row r="9" spans="2:20" ht="31.5">
      <c r="B9" s="3473">
        <v>8</v>
      </c>
      <c r="C9" s="3474" t="s">
        <v>3493</v>
      </c>
      <c r="D9" s="3474" t="s">
        <v>3500</v>
      </c>
      <c r="E9" s="3474" t="s">
        <v>3501</v>
      </c>
      <c r="F9" s="3474" t="s">
        <v>3475</v>
      </c>
      <c r="G9" s="3473">
        <v>25.64</v>
      </c>
      <c r="H9" s="3476"/>
      <c r="I9" s="3476"/>
      <c r="J9" s="3474" t="s">
        <v>3471</v>
      </c>
      <c r="K9" s="3474" t="s">
        <v>3502</v>
      </c>
      <c r="L9" s="3474" t="s">
        <v>3503</v>
      </c>
      <c r="M9" s="3474">
        <v>1</v>
      </c>
      <c r="N9" s="3474"/>
      <c r="O9" s="3474">
        <v>60000</v>
      </c>
      <c r="P9" s="3474">
        <v>85466</v>
      </c>
      <c r="Q9" s="3474"/>
    </row>
    <row r="10" spans="2:20" s="3481" customFormat="1" ht="21">
      <c r="B10" s="3479">
        <v>9</v>
      </c>
      <c r="C10" s="3474" t="s">
        <v>3504</v>
      </c>
      <c r="D10" s="3474" t="s">
        <v>21</v>
      </c>
      <c r="E10" s="3474" t="s">
        <v>3505</v>
      </c>
      <c r="F10" s="3474" t="s">
        <v>3475</v>
      </c>
      <c r="G10" s="3482">
        <v>8.5</v>
      </c>
      <c r="H10" s="3480">
        <v>15776</v>
      </c>
      <c r="I10" s="3480">
        <v>53879</v>
      </c>
      <c r="J10" s="3474" t="s">
        <v>3471</v>
      </c>
      <c r="K10" s="3474" t="s">
        <v>3506</v>
      </c>
      <c r="L10" s="3474" t="s">
        <v>3507</v>
      </c>
      <c r="M10" s="3474"/>
      <c r="N10" s="3474"/>
      <c r="O10" s="3474"/>
      <c r="P10" s="3474"/>
      <c r="Q10" s="3474"/>
    </row>
    <row r="11" spans="2:20" ht="21">
      <c r="B11" s="3473">
        <v>10</v>
      </c>
      <c r="C11" s="3474" t="s">
        <v>3504</v>
      </c>
      <c r="D11" s="3474" t="s">
        <v>21</v>
      </c>
      <c r="E11" s="3474" t="s">
        <v>3508</v>
      </c>
      <c r="F11" s="3474" t="s">
        <v>3509</v>
      </c>
      <c r="G11" s="3475">
        <v>15.05</v>
      </c>
      <c r="H11" s="3478">
        <v>17629.080000000002</v>
      </c>
      <c r="I11" s="3478">
        <v>85370</v>
      </c>
      <c r="J11" s="3474" t="s">
        <v>3486</v>
      </c>
      <c r="K11" s="3474" t="s">
        <v>3510</v>
      </c>
      <c r="L11" s="3474" t="s">
        <v>3511</v>
      </c>
      <c r="M11" s="3474"/>
      <c r="N11" s="3474">
        <v>0.46</v>
      </c>
      <c r="O11" s="3474">
        <v>32414</v>
      </c>
      <c r="P11" s="3474">
        <f>ROUND(G11*100000000/H11,0)</f>
        <v>85370</v>
      </c>
      <c r="Q11" s="3474"/>
      <c r="R11" s="3483"/>
      <c r="S11" s="3483"/>
      <c r="T11" s="3483"/>
    </row>
    <row r="12" spans="2:20">
      <c r="B12" s="3473">
        <v>11</v>
      </c>
      <c r="C12" s="3474" t="s">
        <v>3504</v>
      </c>
      <c r="D12" s="3474" t="s">
        <v>21</v>
      </c>
      <c r="E12" s="3474" t="s">
        <v>3512</v>
      </c>
      <c r="F12" s="3474" t="s">
        <v>3480</v>
      </c>
      <c r="G12" s="3477">
        <v>3.66</v>
      </c>
      <c r="H12" s="3478">
        <v>6938</v>
      </c>
      <c r="I12" s="3478">
        <v>52757</v>
      </c>
      <c r="J12" s="3474" t="s">
        <v>3471</v>
      </c>
      <c r="K12" s="3474" t="s">
        <v>3513</v>
      </c>
      <c r="L12" s="3474" t="s">
        <v>3514</v>
      </c>
      <c r="M12" s="3474"/>
      <c r="N12" s="3474"/>
      <c r="O12" s="3474"/>
      <c r="P12" s="3474"/>
      <c r="Q12" s="3474"/>
    </row>
    <row r="13" spans="2:20" ht="21">
      <c r="B13" s="3473">
        <v>12</v>
      </c>
      <c r="C13" s="3474" t="s">
        <v>3515</v>
      </c>
      <c r="D13" s="3474" t="s">
        <v>3483</v>
      </c>
      <c r="E13" s="3474" t="s">
        <v>3516</v>
      </c>
      <c r="F13" s="3474" t="s">
        <v>3475</v>
      </c>
      <c r="G13" s="3473">
        <v>6</v>
      </c>
      <c r="H13" s="3478">
        <v>15000</v>
      </c>
      <c r="I13" s="3478">
        <v>40000</v>
      </c>
      <c r="J13" s="3474" t="s">
        <v>3471</v>
      </c>
      <c r="K13" s="3474" t="s">
        <v>3517</v>
      </c>
      <c r="L13" s="3474" t="s">
        <v>3518</v>
      </c>
      <c r="M13" s="3474"/>
      <c r="N13" s="3474"/>
      <c r="O13" s="3474"/>
      <c r="P13" s="3474"/>
      <c r="Q13" s="3474"/>
    </row>
    <row r="14" spans="2:20">
      <c r="B14" s="3473">
        <v>13</v>
      </c>
      <c r="C14" s="3474" t="s">
        <v>3515</v>
      </c>
      <c r="D14" s="3474" t="s">
        <v>21</v>
      </c>
      <c r="E14" s="3474" t="s">
        <v>3519</v>
      </c>
      <c r="F14" s="3474" t="s">
        <v>3485</v>
      </c>
      <c r="G14" s="3477">
        <v>16.739999999999998</v>
      </c>
      <c r="H14" s="3478">
        <v>28829</v>
      </c>
      <c r="I14" s="3478">
        <v>58077</v>
      </c>
      <c r="J14" s="3474" t="s">
        <v>3486</v>
      </c>
      <c r="K14" s="3474" t="s">
        <v>3520</v>
      </c>
      <c r="L14" s="3474" t="s">
        <v>3521</v>
      </c>
      <c r="M14" s="3474"/>
      <c r="N14" s="3474"/>
      <c r="O14" s="3474"/>
      <c r="P14" s="3474"/>
      <c r="Q14" s="3474"/>
    </row>
    <row r="15" spans="2:20" ht="21">
      <c r="B15" s="3473">
        <v>14</v>
      </c>
      <c r="C15" s="3474" t="s">
        <v>3515</v>
      </c>
      <c r="D15" s="3474" t="s">
        <v>3483</v>
      </c>
      <c r="E15" s="3474" t="s">
        <v>3522</v>
      </c>
      <c r="F15" s="3474" t="s">
        <v>3470</v>
      </c>
      <c r="G15" s="3475">
        <v>7.2</v>
      </c>
      <c r="H15" s="3478">
        <v>41900</v>
      </c>
      <c r="I15" s="3478">
        <v>17184</v>
      </c>
      <c r="J15" s="3474" t="s">
        <v>3486</v>
      </c>
      <c r="K15" s="3474" t="s">
        <v>3523</v>
      </c>
      <c r="L15" s="3474" t="s">
        <v>3524</v>
      </c>
      <c r="M15" s="3474"/>
      <c r="N15" s="3474"/>
      <c r="O15" s="3474"/>
      <c r="P15" s="3474"/>
      <c r="Q15" s="3474"/>
      <c r="R15" s="3483"/>
      <c r="S15" s="3483"/>
      <c r="T15" s="3483"/>
    </row>
    <row r="16" spans="2:20" s="3481" customFormat="1" ht="31.5">
      <c r="B16" s="3479">
        <v>15</v>
      </c>
      <c r="C16" s="3474" t="s">
        <v>3525</v>
      </c>
      <c r="D16" s="3474" t="s">
        <v>21</v>
      </c>
      <c r="E16" s="3474" t="s">
        <v>3526</v>
      </c>
      <c r="F16" s="3474" t="s">
        <v>3475</v>
      </c>
      <c r="G16" s="3484">
        <v>5.61</v>
      </c>
      <c r="H16" s="3480">
        <v>11645</v>
      </c>
      <c r="I16" s="3480">
        <v>48158</v>
      </c>
      <c r="J16" s="3474" t="s">
        <v>3486</v>
      </c>
      <c r="K16" s="3474" t="s">
        <v>3527</v>
      </c>
      <c r="L16" s="3474" t="s">
        <v>3528</v>
      </c>
      <c r="M16" s="3474"/>
      <c r="N16" s="3474"/>
      <c r="O16" s="3474"/>
      <c r="P16" s="3474"/>
      <c r="Q16" s="3474"/>
      <c r="R16" s="3485"/>
      <c r="S16" s="3485"/>
      <c r="T16" s="3485"/>
    </row>
    <row r="17" spans="2:24" ht="21">
      <c r="B17" s="3473">
        <v>16</v>
      </c>
      <c r="C17" s="3474" t="s">
        <v>3525</v>
      </c>
      <c r="D17" s="3474" t="s">
        <v>21</v>
      </c>
      <c r="E17" s="3474" t="s">
        <v>3529</v>
      </c>
      <c r="F17" s="3474" t="s">
        <v>3480</v>
      </c>
      <c r="G17" s="3475">
        <v>90.6</v>
      </c>
      <c r="H17" s="3478">
        <v>107627</v>
      </c>
      <c r="I17" s="3478">
        <v>84180</v>
      </c>
      <c r="J17" s="3474" t="s">
        <v>3471</v>
      </c>
      <c r="K17" s="3474" t="s">
        <v>3530</v>
      </c>
      <c r="L17" s="3474" t="s">
        <v>3531</v>
      </c>
      <c r="M17" s="3474">
        <v>12.307255260677</v>
      </c>
      <c r="N17" s="3474">
        <v>0.12</v>
      </c>
      <c r="O17" s="3474">
        <v>122430.06</v>
      </c>
      <c r="P17" s="3474">
        <f>ROUND(G17*100000000/H17,0)</f>
        <v>84180</v>
      </c>
      <c r="Q17" s="3474"/>
      <c r="R17" s="3483">
        <v>14</v>
      </c>
      <c r="S17" s="3483">
        <v>8745.0042857142907</v>
      </c>
      <c r="T17" s="3483"/>
    </row>
    <row r="18" spans="2:24" ht="31.5">
      <c r="B18" s="3473">
        <v>17</v>
      </c>
      <c r="C18" s="3474" t="s">
        <v>3525</v>
      </c>
      <c r="D18" s="3474" t="s">
        <v>3500</v>
      </c>
      <c r="E18" s="3474" t="s">
        <v>3532</v>
      </c>
      <c r="F18" s="3474" t="s">
        <v>3490</v>
      </c>
      <c r="G18" s="3473">
        <v>40</v>
      </c>
      <c r="H18" s="3478">
        <v>100030</v>
      </c>
      <c r="I18" s="3478">
        <v>40000</v>
      </c>
      <c r="J18" s="3474" t="s">
        <v>3533</v>
      </c>
      <c r="K18" s="3474" t="s">
        <v>3534</v>
      </c>
      <c r="L18" s="3474" t="s">
        <v>3535</v>
      </c>
      <c r="M18" s="3474"/>
      <c r="N18" s="3474"/>
      <c r="O18" s="3474"/>
      <c r="P18" s="3474"/>
      <c r="Q18" s="3474"/>
      <c r="R18" s="3483"/>
      <c r="S18" s="3483"/>
      <c r="T18" s="3483"/>
    </row>
    <row r="19" spans="2:24" s="3481" customFormat="1" ht="21">
      <c r="B19" s="3479">
        <v>18</v>
      </c>
      <c r="C19" s="3474" t="s">
        <v>3536</v>
      </c>
      <c r="D19" s="3474" t="s">
        <v>3537</v>
      </c>
      <c r="E19" s="3474" t="s">
        <v>3538</v>
      </c>
      <c r="F19" s="3474" t="s">
        <v>3509</v>
      </c>
      <c r="G19" s="3482">
        <v>43.3</v>
      </c>
      <c r="H19" s="3480">
        <v>110996</v>
      </c>
      <c r="I19" s="3480">
        <v>55732</v>
      </c>
      <c r="J19" s="3474" t="s">
        <v>3539</v>
      </c>
      <c r="K19" s="3474" t="s">
        <v>3540</v>
      </c>
      <c r="L19" s="3474" t="s">
        <v>3541</v>
      </c>
      <c r="M19" s="3474"/>
      <c r="N19" s="3474">
        <v>0.23937832355682301</v>
      </c>
      <c r="O19" s="3474">
        <v>145928</v>
      </c>
      <c r="P19" s="3474">
        <v>42389</v>
      </c>
      <c r="Q19" s="3474">
        <f>ROUND((1-(2023-2009)/60)*0.4+85%*0.6,2)</f>
        <v>0.82</v>
      </c>
      <c r="R19" s="3485"/>
      <c r="S19" s="3485"/>
      <c r="T19" s="3485"/>
      <c r="U19" s="3481">
        <v>2009</v>
      </c>
      <c r="V19" s="3481">
        <f>U19-1995</f>
        <v>14</v>
      </c>
      <c r="W19" s="3481">
        <f>V19*X19</f>
        <v>3.5</v>
      </c>
      <c r="X19" s="3481">
        <v>0.25</v>
      </c>
    </row>
    <row r="20" spans="2:24" ht="31.5">
      <c r="B20" s="3473">
        <v>19</v>
      </c>
      <c r="C20" s="3474" t="s">
        <v>3542</v>
      </c>
      <c r="D20" s="3474" t="s">
        <v>3500</v>
      </c>
      <c r="E20" s="3474" t="s">
        <v>3543</v>
      </c>
      <c r="F20" s="3474" t="s">
        <v>3480</v>
      </c>
      <c r="G20" s="3477">
        <v>16.45</v>
      </c>
      <c r="H20" s="3478">
        <v>41197</v>
      </c>
      <c r="I20" s="3478">
        <v>39930</v>
      </c>
      <c r="J20" s="3474" t="s">
        <v>3486</v>
      </c>
      <c r="K20" s="3474" t="s">
        <v>3544</v>
      </c>
      <c r="L20" s="3486" t="s">
        <v>3545</v>
      </c>
      <c r="M20" s="3486"/>
      <c r="N20" s="3486"/>
      <c r="O20" s="3486"/>
      <c r="P20" s="3486"/>
      <c r="Q20" s="3486">
        <v>230000</v>
      </c>
      <c r="R20" s="3483">
        <v>55829.307959317397</v>
      </c>
      <c r="S20" s="3483">
        <v>0.71521739130434803</v>
      </c>
      <c r="T20" s="3483"/>
    </row>
    <row r="21" spans="2:24">
      <c r="B21" s="3473">
        <v>20</v>
      </c>
      <c r="C21" s="3474" t="s">
        <v>3542</v>
      </c>
      <c r="D21" s="3474" t="s">
        <v>21</v>
      </c>
      <c r="E21" s="3474" t="s">
        <v>3598</v>
      </c>
      <c r="F21" s="3474" t="s">
        <v>3546</v>
      </c>
      <c r="G21" s="3477">
        <v>20</v>
      </c>
      <c r="H21" s="3478">
        <v>49000</v>
      </c>
      <c r="I21" s="3478">
        <v>40816</v>
      </c>
      <c r="J21" s="3474" t="s">
        <v>3486</v>
      </c>
      <c r="K21" s="3474" t="s">
        <v>3547</v>
      </c>
      <c r="L21" s="3474" t="s">
        <v>3548</v>
      </c>
      <c r="M21" s="3474"/>
      <c r="N21" s="3474"/>
      <c r="O21" s="3474"/>
      <c r="P21" s="3474"/>
      <c r="Q21" s="3474"/>
      <c r="R21" s="3483"/>
      <c r="S21" s="3483"/>
      <c r="T21" s="3483"/>
    </row>
    <row r="22" spans="2:24" ht="31.5">
      <c r="B22" s="3473">
        <v>21</v>
      </c>
      <c r="C22" s="3474" t="s">
        <v>3542</v>
      </c>
      <c r="D22" s="3474" t="s">
        <v>3549</v>
      </c>
      <c r="E22" s="3474" t="s">
        <v>3550</v>
      </c>
      <c r="F22" s="3474" t="s">
        <v>3551</v>
      </c>
      <c r="G22" s="3477">
        <v>6.55</v>
      </c>
      <c r="H22" s="3478">
        <v>37002</v>
      </c>
      <c r="I22" s="3478">
        <v>17702</v>
      </c>
      <c r="J22" s="3474" t="s">
        <v>3471</v>
      </c>
      <c r="K22" s="3474" t="s">
        <v>3552</v>
      </c>
      <c r="L22" s="3474" t="s">
        <v>3553</v>
      </c>
      <c r="M22" s="3474"/>
      <c r="N22" s="3474"/>
      <c r="O22" s="3474"/>
      <c r="P22" s="3474"/>
      <c r="Q22" s="3474"/>
      <c r="R22" s="3483"/>
      <c r="S22" s="3483"/>
      <c r="T22" s="3483"/>
    </row>
    <row r="23" spans="2:24" ht="21">
      <c r="B23" s="3473">
        <v>22</v>
      </c>
      <c r="C23" s="3474" t="s">
        <v>3542</v>
      </c>
      <c r="D23" s="3474" t="s">
        <v>21</v>
      </c>
      <c r="E23" s="3474" t="s">
        <v>3554</v>
      </c>
      <c r="F23" s="3474" t="s">
        <v>3551</v>
      </c>
      <c r="G23" s="3477">
        <v>8.67</v>
      </c>
      <c r="H23" s="3478">
        <v>38464</v>
      </c>
      <c r="I23" s="3478">
        <v>22547</v>
      </c>
      <c r="J23" s="3474" t="s">
        <v>3486</v>
      </c>
      <c r="K23" s="3474" t="s">
        <v>3555</v>
      </c>
      <c r="L23" s="3474" t="s">
        <v>3556</v>
      </c>
      <c r="M23" s="3474"/>
      <c r="N23" s="3474"/>
      <c r="O23" s="3474"/>
      <c r="P23" s="3474"/>
      <c r="Q23" s="3474"/>
      <c r="R23" s="3483"/>
      <c r="S23" s="3483"/>
      <c r="T23" s="3483"/>
    </row>
    <row r="24" spans="2:24" ht="21">
      <c r="B24" s="3473">
        <v>23</v>
      </c>
      <c r="C24" s="3474" t="s">
        <v>3542</v>
      </c>
      <c r="D24" s="3474" t="s">
        <v>21</v>
      </c>
      <c r="E24" s="3474" t="s">
        <v>3557</v>
      </c>
      <c r="F24" s="3474" t="s">
        <v>3558</v>
      </c>
      <c r="G24" s="3477">
        <v>8.75</v>
      </c>
      <c r="H24" s="3478">
        <v>45240</v>
      </c>
      <c r="I24" s="3478">
        <v>19343</v>
      </c>
      <c r="J24" s="3474" t="s">
        <v>3486</v>
      </c>
      <c r="K24" s="3474" t="s">
        <v>3559</v>
      </c>
      <c r="L24" s="3474" t="s">
        <v>3560</v>
      </c>
      <c r="M24" s="3474"/>
      <c r="N24" s="3474"/>
      <c r="O24" s="3474"/>
      <c r="P24" s="3474"/>
      <c r="Q24" s="3474"/>
      <c r="R24" s="3483"/>
      <c r="S24" s="3483"/>
      <c r="T24" s="3483"/>
    </row>
    <row r="25" spans="2:24" ht="21">
      <c r="B25" s="3473">
        <v>24</v>
      </c>
      <c r="C25" s="3474" t="s">
        <v>3542</v>
      </c>
      <c r="D25" s="3474" t="s">
        <v>21</v>
      </c>
      <c r="E25" s="3474" t="s">
        <v>3561</v>
      </c>
      <c r="F25" s="3474" t="s">
        <v>3470</v>
      </c>
      <c r="G25" s="3477">
        <v>2.97</v>
      </c>
      <c r="H25" s="3478">
        <v>3507</v>
      </c>
      <c r="I25" s="3478">
        <v>84688</v>
      </c>
      <c r="J25" s="3474" t="s">
        <v>3486</v>
      </c>
      <c r="K25" s="3474" t="s">
        <v>3562</v>
      </c>
      <c r="L25" s="3474" t="s">
        <v>3563</v>
      </c>
      <c r="M25" s="3474">
        <v>3.5</v>
      </c>
      <c r="N25" s="3474">
        <v>0.19</v>
      </c>
      <c r="O25" s="3474">
        <v>3506.47</v>
      </c>
      <c r="P25" s="3474">
        <v>84701</v>
      </c>
      <c r="Q25" s="3474"/>
      <c r="R25" s="3483">
        <v>687.53</v>
      </c>
      <c r="S25" s="3483">
        <v>2818.94</v>
      </c>
      <c r="T25" s="3483">
        <v>10.5358751871271</v>
      </c>
    </row>
    <row r="26" spans="2:24" s="3492" customFormat="1" ht="21">
      <c r="B26" s="3488">
        <v>25</v>
      </c>
      <c r="C26" s="3489" t="s">
        <v>3564</v>
      </c>
      <c r="D26" s="3489" t="s">
        <v>21</v>
      </c>
      <c r="E26" s="3489" t="s">
        <v>3596</v>
      </c>
      <c r="F26" s="3489" t="s">
        <v>3470</v>
      </c>
      <c r="G26" s="3493">
        <v>16.440000000000001</v>
      </c>
      <c r="H26" s="3491">
        <v>66158</v>
      </c>
      <c r="I26" s="3491">
        <v>24847</v>
      </c>
      <c r="J26" s="3489" t="s">
        <v>3486</v>
      </c>
      <c r="K26" s="3489" t="s">
        <v>3565</v>
      </c>
      <c r="L26" s="3489" t="s">
        <v>3592</v>
      </c>
      <c r="M26" s="3489"/>
      <c r="N26" s="3489"/>
      <c r="O26" s="3489"/>
      <c r="P26" s="3489"/>
      <c r="Q26" s="3489"/>
      <c r="R26" s="3494"/>
      <c r="S26" s="3494"/>
      <c r="T26" s="3494"/>
    </row>
    <row r="27" spans="2:24" ht="31.5">
      <c r="B27" s="3473">
        <v>26</v>
      </c>
      <c r="C27" s="3474" t="s">
        <v>3564</v>
      </c>
      <c r="D27" s="3474" t="s">
        <v>21</v>
      </c>
      <c r="E27" s="3474" t="s">
        <v>3566</v>
      </c>
      <c r="F27" s="3474" t="s">
        <v>3475</v>
      </c>
      <c r="G27" s="3477">
        <v>3.08</v>
      </c>
      <c r="H27" s="3478">
        <v>11951</v>
      </c>
      <c r="I27" s="3478">
        <v>25751</v>
      </c>
      <c r="J27" s="3474" t="s">
        <v>3486</v>
      </c>
      <c r="K27" s="3474" t="s">
        <v>3567</v>
      </c>
      <c r="L27" s="3474" t="s">
        <v>3568</v>
      </c>
      <c r="M27" s="3474"/>
      <c r="N27" s="3474"/>
      <c r="O27" s="3474"/>
      <c r="P27" s="3474"/>
      <c r="Q27" s="3474"/>
      <c r="R27" s="3483"/>
      <c r="S27" s="3483"/>
      <c r="T27" s="3483"/>
    </row>
    <row r="28" spans="2:24" ht="21">
      <c r="B28" s="3473">
        <v>27</v>
      </c>
      <c r="C28" s="3474" t="s">
        <v>3569</v>
      </c>
      <c r="D28" s="3474" t="s">
        <v>3</v>
      </c>
      <c r="E28" s="3474" t="s">
        <v>3570</v>
      </c>
      <c r="F28" s="3474" t="s">
        <v>3546</v>
      </c>
      <c r="G28" s="3477">
        <v>1.7</v>
      </c>
      <c r="H28" s="3478">
        <v>5382</v>
      </c>
      <c r="I28" s="3478">
        <v>31587</v>
      </c>
      <c r="J28" s="3474" t="s">
        <v>3486</v>
      </c>
      <c r="K28" s="3474" t="s">
        <v>3571</v>
      </c>
      <c r="L28" s="3474" t="s">
        <v>3572</v>
      </c>
      <c r="M28" s="3474"/>
      <c r="N28" s="3474"/>
      <c r="O28" s="3474"/>
      <c r="P28" s="3474"/>
      <c r="Q28" s="3474"/>
      <c r="R28" s="3483"/>
      <c r="S28" s="3483"/>
      <c r="T28" s="3483"/>
    </row>
    <row r="29" spans="2:24" ht="31.5">
      <c r="B29" s="3473">
        <v>28</v>
      </c>
      <c r="C29" s="3474" t="s">
        <v>3569</v>
      </c>
      <c r="D29" s="3474" t="s">
        <v>3</v>
      </c>
      <c r="E29" s="3474" t="s">
        <v>3573</v>
      </c>
      <c r="F29" s="3474" t="s">
        <v>3574</v>
      </c>
      <c r="G29" s="3477">
        <v>10.5</v>
      </c>
      <c r="H29" s="3478">
        <v>9671</v>
      </c>
      <c r="I29" s="3478">
        <v>108567</v>
      </c>
      <c r="J29" s="3474" t="s">
        <v>3471</v>
      </c>
      <c r="K29" s="3474" t="s">
        <v>3575</v>
      </c>
      <c r="L29" s="3474" t="s">
        <v>3576</v>
      </c>
      <c r="M29" s="3474"/>
      <c r="N29" s="3474"/>
      <c r="O29" s="3474"/>
      <c r="P29" s="3474"/>
      <c r="Q29" s="3474"/>
      <c r="R29" s="3483"/>
      <c r="S29" s="3483"/>
      <c r="T29" s="3483"/>
    </row>
    <row r="30" spans="2:24" ht="21">
      <c r="B30" s="3473">
        <v>29</v>
      </c>
      <c r="C30" s="3474" t="s">
        <v>3569</v>
      </c>
      <c r="D30" s="3474" t="s">
        <v>21</v>
      </c>
      <c r="E30" s="3474" t="s">
        <v>3577</v>
      </c>
      <c r="F30" s="3474" t="s">
        <v>3578</v>
      </c>
      <c r="G30" s="3477">
        <v>15.75</v>
      </c>
      <c r="H30" s="3478">
        <v>27765</v>
      </c>
      <c r="I30" s="3478">
        <v>56726</v>
      </c>
      <c r="J30" s="3474" t="s">
        <v>3471</v>
      </c>
      <c r="K30" s="3474" t="s">
        <v>3579</v>
      </c>
      <c r="L30" s="3486" t="s">
        <v>3580</v>
      </c>
      <c r="M30" s="3474"/>
      <c r="N30" s="3474">
        <f>ROUND((O30-H30)/O30,2)</f>
        <v>0.27</v>
      </c>
      <c r="O30" s="3474">
        <v>38000</v>
      </c>
      <c r="P30" s="3474"/>
      <c r="Q30" s="3474">
        <f>ROUND((1-(2023-2008)/60)*0.4+85%*0.6,2)</f>
        <v>0.81</v>
      </c>
      <c r="R30" s="3483"/>
      <c r="S30" s="3483"/>
      <c r="T30" s="3483"/>
      <c r="U30" s="3469">
        <v>2008</v>
      </c>
      <c r="V30" s="3469">
        <f>U30-1995</f>
        <v>13</v>
      </c>
      <c r="W30" s="3469">
        <f>V30*X30</f>
        <v>3.25</v>
      </c>
      <c r="X30" s="3469">
        <v>0.25</v>
      </c>
    </row>
    <row r="31" spans="2:24" ht="31.5">
      <c r="B31" s="3473">
        <v>30</v>
      </c>
      <c r="C31" s="3487">
        <v>44835</v>
      </c>
      <c r="D31" s="3474" t="s">
        <v>2814</v>
      </c>
      <c r="E31" s="3474" t="s">
        <v>3581</v>
      </c>
      <c r="F31" s="3474" t="s">
        <v>3582</v>
      </c>
      <c r="G31" s="3477">
        <v>20.37</v>
      </c>
      <c r="H31" s="3478">
        <v>44759.39</v>
      </c>
      <c r="I31" s="3478">
        <f>ROUND(G31*10000/H31*10000,0)</f>
        <v>45510</v>
      </c>
      <c r="J31" s="3474" t="s">
        <v>3583</v>
      </c>
      <c r="K31" s="3474" t="s">
        <v>3584</v>
      </c>
      <c r="L31" s="3474" t="s">
        <v>3585</v>
      </c>
      <c r="M31" s="3474">
        <f>ROUND(H31/7374.49,2)</f>
        <v>6.07</v>
      </c>
      <c r="N31" s="3474">
        <f>ROUND(13479.99/O31,2)</f>
        <v>0.23</v>
      </c>
      <c r="O31" s="3474">
        <v>58239.38</v>
      </c>
      <c r="P31" s="3474"/>
      <c r="Q31" s="3474">
        <f>ROUND(((1-(2023-2012)/60)+90%)/2,2)</f>
        <v>0.86</v>
      </c>
      <c r="R31" s="3483"/>
      <c r="S31" s="3483"/>
      <c r="T31" s="3483"/>
      <c r="U31" s="3469">
        <v>2012</v>
      </c>
      <c r="V31" s="3469">
        <f>U31-1995</f>
        <v>17</v>
      </c>
      <c r="W31" s="3469">
        <f>V31*X31</f>
        <v>4.25</v>
      </c>
      <c r="X31" s="3469">
        <v>0.25</v>
      </c>
    </row>
    <row r="32" spans="2:24" s="3492" customFormat="1" ht="21">
      <c r="B32" s="3488">
        <v>31</v>
      </c>
      <c r="C32" s="3495">
        <v>44713</v>
      </c>
      <c r="D32" s="3489" t="s">
        <v>3586</v>
      </c>
      <c r="E32" s="3489" t="s">
        <v>3587</v>
      </c>
      <c r="F32" s="3489" t="s">
        <v>3588</v>
      </c>
      <c r="G32" s="3493">
        <v>50.15</v>
      </c>
      <c r="H32" s="3491">
        <f>ROUND(O32/47*42,0)</f>
        <v>131719</v>
      </c>
      <c r="I32" s="3491">
        <f>ROUND(G32*10000/H32*10000,0)</f>
        <v>38073</v>
      </c>
      <c r="J32" s="3489" t="s">
        <v>3589</v>
      </c>
      <c r="K32" s="3489" t="s">
        <v>3590</v>
      </c>
      <c r="L32" s="3489" t="s">
        <v>3591</v>
      </c>
      <c r="M32" s="3489"/>
      <c r="N32" s="3489">
        <f>ROUND(O32/47*5/O32,2)</f>
        <v>0.11</v>
      </c>
      <c r="O32" s="3489">
        <v>147400</v>
      </c>
      <c r="P32" s="3489"/>
      <c r="Q32" s="3489">
        <f>ROUND(1-(2023-2021)/60,2)</f>
        <v>0.97</v>
      </c>
      <c r="R32" s="3494" t="s">
        <v>3593</v>
      </c>
      <c r="S32" s="3494"/>
      <c r="T32" s="3494"/>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4:H11"/>
  <sheetViews>
    <sheetView workbookViewId="0">
      <selection activeCell="H33" sqref="H33"/>
    </sheetView>
  </sheetViews>
  <sheetFormatPr defaultRowHeight="13.5"/>
  <cols>
    <col min="6" max="6" width="11.625" customWidth="1"/>
  </cols>
  <sheetData>
    <row r="4" spans="7:8">
      <c r="H4" s="3842"/>
    </row>
    <row r="5" spans="7:8">
      <c r="G5" s="3842" t="s">
        <v>3601</v>
      </c>
      <c r="H5" s="3842" t="s">
        <v>3602</v>
      </c>
    </row>
    <row r="6" spans="7:8">
      <c r="G6" s="3842" t="s">
        <v>3603</v>
      </c>
      <c r="H6" s="3842" t="s">
        <v>3604</v>
      </c>
    </row>
    <row r="7" spans="7:8">
      <c r="G7" s="3842" t="s">
        <v>3605</v>
      </c>
      <c r="H7" s="3842" t="s">
        <v>3606</v>
      </c>
    </row>
    <row r="9" spans="7:8">
      <c r="G9" s="3842" t="s">
        <v>3607</v>
      </c>
    </row>
    <row r="10" spans="7:8">
      <c r="G10" s="3842" t="s">
        <v>3603</v>
      </c>
      <c r="H10" s="3842" t="s">
        <v>3609</v>
      </c>
    </row>
    <row r="11" spans="7:8">
      <c r="G11" s="3842" t="s">
        <v>3605</v>
      </c>
      <c r="H11" s="3842" t="s">
        <v>3608</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21" t="str">
        <f>IF(项目基本情况!B9="房地产市场价值","估价结果一览表","结果表-2")</f>
        <v>结果表-2</v>
      </c>
      <c r="B1" s="3521"/>
      <c r="C1" s="3521"/>
      <c r="D1" s="3521"/>
      <c r="E1" s="3521"/>
      <c r="F1" s="3521"/>
      <c r="G1" s="3521"/>
      <c r="H1" s="3521"/>
      <c r="I1" s="3521"/>
    </row>
    <row r="2" spans="1:9" ht="30" customHeight="1" thickTop="1">
      <c r="A2" s="3522" t="s">
        <v>928</v>
      </c>
      <c r="B2" s="3522" t="s">
        <v>929</v>
      </c>
      <c r="C2" s="3522" t="s">
        <v>930</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5">
      <c r="A3" s="3517"/>
      <c r="B3" s="3517"/>
      <c r="C3" s="3517"/>
      <c r="D3" s="854" t="s">
        <v>925</v>
      </c>
      <c r="E3" s="854" t="s">
        <v>931</v>
      </c>
      <c r="F3" s="854" t="s">
        <v>925</v>
      </c>
      <c r="G3" s="854" t="s">
        <v>926</v>
      </c>
      <c r="H3" s="854" t="s">
        <v>925</v>
      </c>
      <c r="I3" s="854" t="s">
        <v>926</v>
      </c>
    </row>
    <row r="4" spans="1:9" ht="30">
      <c r="A4" s="1505" t="str">
        <f>项目基本情况!S2</f>
        <v>北京市丰台区西三环南路16号房地产</v>
      </c>
      <c r="B4" s="854">
        <f>项目基本情况!C17</f>
        <v>51957.049999999996</v>
      </c>
      <c r="C4" s="854">
        <f>项目基本情况!C18</f>
        <v>20453.91</v>
      </c>
      <c r="D4" s="854">
        <f ca="1">结果表!D118</f>
        <v>74747</v>
      </c>
      <c r="E4" s="854">
        <f ca="1">结果表!E118</f>
        <v>14386</v>
      </c>
      <c r="F4" s="854">
        <f ca="1">结果表!F118</f>
        <v>24519</v>
      </c>
      <c r="G4" s="854">
        <f ca="1">结果表!G118</f>
        <v>4719</v>
      </c>
      <c r="H4" s="854">
        <f ca="1">结果表!H118</f>
        <v>99266</v>
      </c>
      <c r="I4" s="854">
        <f ca="1">结果表!I118</f>
        <v>19105</v>
      </c>
    </row>
    <row r="5" spans="1:9" ht="30" customHeight="1">
      <c r="A5" s="3517" t="s">
        <v>927</v>
      </c>
      <c r="B5" s="3517"/>
      <c r="C5" s="3517"/>
      <c r="D5" s="3517" t="str">
        <f ca="1">结果表!D119</f>
        <v>柒亿肆仟柒佰肆拾柒万元整</v>
      </c>
      <c r="E5" s="3517"/>
      <c r="F5" s="3517" t="str">
        <f ca="1">结果表!F119</f>
        <v>贰亿肆仟伍佰壹拾玖万元整</v>
      </c>
      <c r="G5" s="3517"/>
      <c r="H5" s="3517" t="str">
        <f ca="1">结果表!H119</f>
        <v>玖亿玖仟贰佰陆拾陆万元整</v>
      </c>
      <c r="I5" s="3517"/>
    </row>
    <row r="6" spans="1:9" ht="15.75">
      <c r="A6" s="3516" t="str">
        <f>结果表!A120</f>
        <v>估价师知悉的法定优先受偿款</v>
      </c>
      <c r="B6" s="3516"/>
      <c r="C6" s="3516"/>
      <c r="D6" s="3516">
        <f>结果表!D120</f>
        <v>0</v>
      </c>
      <c r="E6" s="3516"/>
      <c r="F6" s="3516"/>
      <c r="G6" s="3516"/>
      <c r="H6" s="3516"/>
      <c r="I6" s="3516"/>
    </row>
    <row r="7" spans="1:9" ht="15">
      <c r="A7" s="3517" t="s">
        <v>927</v>
      </c>
      <c r="B7" s="3517"/>
      <c r="C7" s="3517"/>
      <c r="D7" s="3518" t="str">
        <f>结果表!D121</f>
        <v>零元整</v>
      </c>
      <c r="E7" s="3519"/>
      <c r="F7" s="3519"/>
      <c r="G7" s="3519"/>
      <c r="H7" s="3519"/>
      <c r="I7" s="3520"/>
    </row>
    <row r="8" spans="1:9" ht="15.75">
      <c r="A8" s="3516" t="str">
        <f>结果表!A122</f>
        <v>房地产抵押价值</v>
      </c>
      <c r="B8" s="3516"/>
      <c r="C8" s="3516"/>
      <c r="D8" s="3516">
        <f ca="1">结果表!D122</f>
        <v>99266</v>
      </c>
      <c r="E8" s="3516"/>
      <c r="F8" s="3516"/>
      <c r="G8" s="3516"/>
      <c r="H8" s="3516"/>
      <c r="I8" s="3516"/>
    </row>
    <row r="9" spans="1:9" ht="15">
      <c r="A9" s="3517" t="s">
        <v>927</v>
      </c>
      <c r="B9" s="3517"/>
      <c r="C9" s="3517"/>
      <c r="D9" s="3517" t="str">
        <f ca="1">结果表!D123</f>
        <v>玖亿玖仟贰佰陆拾陆万元整</v>
      </c>
      <c r="E9" s="3517"/>
      <c r="F9" s="3517"/>
      <c r="G9" s="3517"/>
      <c r="H9" s="3517"/>
      <c r="I9" s="3517"/>
    </row>
    <row r="10" spans="1:9" ht="15.75">
      <c r="A10" s="3516" t="str">
        <f>结果表!A124</f>
        <v/>
      </c>
      <c r="B10" s="3516"/>
      <c r="C10" s="3516"/>
      <c r="D10" s="3516" t="str">
        <f>结果表!D124</f>
        <v>——</v>
      </c>
      <c r="E10" s="3516"/>
      <c r="F10" s="3516"/>
      <c r="G10" s="3516"/>
      <c r="H10" s="3516"/>
      <c r="I10" s="3516"/>
    </row>
    <row r="11" spans="1:9" ht="15">
      <c r="A11" s="3517" t="s">
        <v>927</v>
      </c>
      <c r="B11" s="3517"/>
      <c r="C11" s="3517"/>
      <c r="D11" s="3517" t="e">
        <f>结果表!D125</f>
        <v>#VALUE!</v>
      </c>
      <c r="E11" s="3517"/>
      <c r="F11" s="3517"/>
      <c r="G11" s="3517"/>
      <c r="H11" s="3517"/>
      <c r="I11" s="3517"/>
    </row>
    <row r="12" spans="1:9" ht="15.75">
      <c r="A12" s="3516" t="str">
        <f>结果表!A126</f>
        <v>抵押净值</v>
      </c>
      <c r="B12" s="3516"/>
      <c r="C12" s="3516"/>
      <c r="D12" s="3516">
        <f ca="1">结果表!D126</f>
        <v>42086</v>
      </c>
      <c r="E12" s="3516"/>
      <c r="F12" s="3516"/>
      <c r="G12" s="3516"/>
      <c r="H12" s="3516"/>
      <c r="I12" s="3516"/>
    </row>
    <row r="13" spans="1:9" ht="15.75" thickBot="1">
      <c r="A13" s="3514" t="s">
        <v>927</v>
      </c>
      <c r="B13" s="3514"/>
      <c r="C13" s="3514"/>
      <c r="D13" s="3514" t="str">
        <f ca="1">结果表!D127</f>
        <v>肆亿贰仟零捌拾陆万元整</v>
      </c>
      <c r="E13" s="3514"/>
      <c r="F13" s="3514"/>
      <c r="G13" s="3514"/>
      <c r="H13" s="3514"/>
      <c r="I13" s="3514"/>
    </row>
    <row r="14" spans="1:9" ht="15" thickTop="1">
      <c r="A14" s="3515" t="s">
        <v>932</v>
      </c>
      <c r="B14" s="3515"/>
      <c r="C14" s="3515"/>
      <c r="D14" s="3515"/>
      <c r="E14" s="3515"/>
      <c r="F14" s="3515"/>
      <c r="G14" s="3515"/>
      <c r="H14" s="3515"/>
      <c r="I14" s="351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9" t="s">
        <v>949</v>
      </c>
      <c r="B1" s="3529"/>
      <c r="C1" s="3529"/>
      <c r="D1" s="3529"/>
    </row>
    <row r="2" spans="1:4" ht="18">
      <c r="A2" s="3530" t="s">
        <v>933</v>
      </c>
      <c r="B2" s="3530"/>
      <c r="C2" s="3530"/>
      <c r="D2" s="353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30" t="s">
        <v>939</v>
      </c>
      <c r="B6" s="3530"/>
      <c r="C6" s="3530"/>
      <c r="D6" s="353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31" t="s">
        <v>942</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8"/>
      <c r="C12" s="3528"/>
      <c r="D12" s="3528"/>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8"/>
      <c r="C13" s="3528"/>
      <c r="D13" s="3528"/>
    </row>
    <row r="14" spans="1:4" ht="15.75" customHeight="1">
      <c r="A14" s="3523" t="str">
        <f>IF(项目基本情况!B8="抵押","4.本次评估估价师所知悉的法定优先受偿款情况说明如下：","——")</f>
        <v>4.本次评估估价师所知悉的法定优先受偿款情况说明如下：</v>
      </c>
      <c r="B14" s="3528"/>
      <c r="C14" s="3528"/>
      <c r="D14" s="3528"/>
    </row>
    <row r="15" spans="1:4" ht="42" customHeight="1">
      <c r="A15" s="35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3"/>
      <c r="C15" s="3523"/>
      <c r="D15" s="3523"/>
    </row>
    <row r="16" spans="1:4" ht="30" customHeight="1">
      <c r="A16" s="3525" t="s">
        <v>943</v>
      </c>
      <c r="B16" s="3525"/>
      <c r="C16" s="3525"/>
      <c r="D16" s="3525"/>
    </row>
    <row r="17" spans="1:4" ht="144" customHeight="1">
      <c r="A17" s="3525" t="s">
        <v>944</v>
      </c>
      <c r="B17" s="3525"/>
      <c r="C17" s="3525"/>
      <c r="D17" s="3525"/>
    </row>
    <row r="18" spans="1:4" ht="15.75" customHeight="1">
      <c r="A18" s="3523" t="str">
        <f>IF(项目基本情况!B8="抵押",结果表!K120,"——")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945</v>
      </c>
      <c r="B22" s="3527"/>
      <c r="C22" s="3527"/>
      <c r="D22" s="352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24">
        <v>42551</v>
      </c>
      <c r="D31" s="35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37" t="s">
        <v>956</v>
      </c>
      <c r="B15" s="3532" t="s">
        <v>109</v>
      </c>
      <c r="C15" s="3533"/>
    </row>
    <row r="16" spans="1:7" ht="13.5">
      <c r="A16" s="3538"/>
      <c r="B16" s="3532" t="s">
        <v>42</v>
      </c>
      <c r="C16" s="3533"/>
    </row>
    <row r="17" spans="1:3" ht="13.5">
      <c r="A17" s="3538"/>
      <c r="B17" s="3535" t="s">
        <v>957</v>
      </c>
      <c r="C17" s="1532" t="s">
        <v>956</v>
      </c>
    </row>
    <row r="18" spans="1:3" ht="13.5">
      <c r="A18" s="3538"/>
      <c r="B18" s="3535"/>
      <c r="C18" s="1532" t="s">
        <v>958</v>
      </c>
    </row>
    <row r="19" spans="1:3" ht="13.5">
      <c r="A19" s="3538"/>
      <c r="B19" s="3535"/>
      <c r="C19" s="1532" t="s">
        <v>959</v>
      </c>
    </row>
    <row r="20" spans="1:3" ht="13.5">
      <c r="A20" s="3539"/>
      <c r="B20" s="3534" t="s">
        <v>960</v>
      </c>
      <c r="C20" s="3533"/>
    </row>
    <row r="21" spans="1:3" ht="13.5">
      <c r="A21" s="1533" t="s">
        <v>961</v>
      </c>
      <c r="B21" s="1534"/>
      <c r="C21" s="1535"/>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32" t="s">
        <v>967</v>
      </c>
    </row>
    <row r="26" spans="1:3" ht="13.5">
      <c r="A26" s="3536"/>
      <c r="B26" s="3535"/>
      <c r="C26" s="1532" t="s">
        <v>968</v>
      </c>
    </row>
    <row r="27" spans="1:3" ht="13.5">
      <c r="A27" s="3536"/>
      <c r="B27" s="3535"/>
      <c r="C27" s="1532" t="s">
        <v>969</v>
      </c>
    </row>
    <row r="28" spans="1:3" ht="13.5">
      <c r="A28" s="3536"/>
      <c r="B28" s="3535"/>
      <c r="C28" s="1532" t="s">
        <v>970</v>
      </c>
    </row>
    <row r="29" spans="1:3" ht="13.5">
      <c r="A29" s="3536"/>
      <c r="B29" s="3535"/>
      <c r="C29" s="1532" t="s">
        <v>971</v>
      </c>
    </row>
    <row r="30" spans="1:3" ht="13.5">
      <c r="A30" s="3536"/>
      <c r="B30" s="3535"/>
      <c r="C30" s="1532" t="s">
        <v>972</v>
      </c>
    </row>
    <row r="31" spans="1:3" ht="13.5">
      <c r="A31" s="3536"/>
      <c r="B31" s="3535"/>
      <c r="C31" s="1532" t="s">
        <v>973</v>
      </c>
    </row>
    <row r="32" spans="1:3" ht="13.5">
      <c r="A32" s="3536"/>
      <c r="B32" s="3535"/>
      <c r="C32" s="1532" t="s">
        <v>974</v>
      </c>
    </row>
    <row r="33" spans="1:3" ht="13.5">
      <c r="A33" s="3536"/>
      <c r="B33" s="353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44986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0" t="s">
        <v>2159</v>
      </c>
      <c r="B17" s="3540"/>
      <c r="C17" s="3540"/>
      <c r="D17" s="3540"/>
      <c r="E17" s="3540"/>
      <c r="F17" s="3540"/>
      <c r="G17" s="3540"/>
      <c r="H17" s="3540"/>
    </row>
    <row r="18" spans="1:8" ht="24" customHeight="1">
      <c r="A18" s="3541" t="s">
        <v>2160</v>
      </c>
      <c r="B18" s="3541"/>
      <c r="C18" s="3541"/>
      <c r="D18" s="2343"/>
      <c r="E18" s="3542" t="s">
        <v>2161</v>
      </c>
      <c r="F18" s="3541"/>
      <c r="G18" s="354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大宗案例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2023-03-01T01:38:42Z</dcterms:modified>
</cp:coreProperties>
</file>