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洋房" sheetId="71" r:id="rId21"/>
    <sheet name="洋房案例" sheetId="72" r:id="rId22"/>
    <sheet name="比较法-叠墅" sheetId="73" r:id="rId23"/>
    <sheet name="叠墅案例" sheetId="74" r:id="rId24"/>
    <sheet name="不动产收益法-商业" sheetId="15" state="hidden" r:id="rId25"/>
    <sheet name="不动产收益法-车库" sheetId="75" r:id="rId26"/>
    <sheet name="比较法-住宅、综合" sheetId="39" r:id="rId27"/>
    <sheet name="土地案例" sheetId="70" r:id="rId28"/>
    <sheet name="比较法-工业" sheetId="40"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酒店收入计算" sheetId="57"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'比较法-叠墅'!$A$1:$L$49</definedName>
    <definedName name="_xlnm._FilterDatabase" localSheetId="28" hidden="1">'比较法-工业'!$A$1:$L$45</definedName>
    <definedName name="_xlnm._FilterDatabase" localSheetId="20" hidden="1">'比较法-洋房'!$A$1:$L$49</definedName>
    <definedName name="_xlnm._FilterDatabase" localSheetId="26"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2">'[1]比较法-办公'!$B$119:$M$119</definedName>
    <definedName name="办公层高" localSheetId="27">'[1]比较法-办公'!$B$119:$M$119</definedName>
    <definedName name="办公层高">'不动产比较法-办公'!$B$119:$M$119</definedName>
    <definedName name="办公朝向" localSheetId="12">'[1]比较法-办公'!$B$91:$M$91</definedName>
    <definedName name="办公朝向" localSheetId="27">'[1]比较法-办公'!$B$91:$M$91</definedName>
    <definedName name="办公朝向">'不动产比较法-办公'!$B$91:$M$91</definedName>
    <definedName name="办公道路级别" localSheetId="12">'[1]比较法-办公'!$B$87:$M$87</definedName>
    <definedName name="办公道路级别" localSheetId="27">'[1]比较法-办公'!$B$87:$M$87</definedName>
    <definedName name="办公道路级别">'不动产比较法-办公'!$B$87:$M$87</definedName>
    <definedName name="办公公共部分装修" localSheetId="12">'[1]比较法-办公'!$B$108:$M$108</definedName>
    <definedName name="办公公共部分装修" localSheetId="27">'[1]比较法-办公'!$B$108:$M$108</definedName>
    <definedName name="办公公共部分装修">'不动产比较法-办公'!$B$108:$M$108</definedName>
    <definedName name="办公基础设施水平" localSheetId="12">'[1]比较法-办公'!$B$117:$M$117</definedName>
    <definedName name="办公基础设施水平" localSheetId="27">'[1]比较法-办公'!$B$117:$M$117</definedName>
    <definedName name="办公基础设施水平">'不动产比较法-办公'!$B$117:$M$117</definedName>
    <definedName name="办公集聚程度" localSheetId="12">[1]定义!$M$1:$M$6</definedName>
    <definedName name="办公集聚程度" localSheetId="27">[1]定义!$M$1:$M$6</definedName>
    <definedName name="办公集聚程度">定义!$M$1:$M$6</definedName>
    <definedName name="办公建筑结构" localSheetId="12">'[1]比较法-办公'!$B$106:$M$106</definedName>
    <definedName name="办公建筑结构" localSheetId="27">'[1]比较法-办公'!$B$106:$M$106</definedName>
    <definedName name="办公建筑结构">'不动产比较法-办公'!$B$106:$M$106</definedName>
    <definedName name="办公建筑类型" localSheetId="12">'[1]比较法-办公'!$B$101:$M$101</definedName>
    <definedName name="办公建筑类型" localSheetId="27">'[1]比较法-办公'!$B$101:$M$101</definedName>
    <definedName name="办公建筑类型">'不动产比较法-办公'!$B$101:$M$101</definedName>
    <definedName name="办公交易情况" localSheetId="12">'[1]比较法-办公'!$A$62:$M$62</definedName>
    <definedName name="办公交易情况" localSheetId="27">'[1]比较法-办公'!$A$62:$M$62</definedName>
    <definedName name="办公交易情况">'不动产比较法-办公'!$A$62:$M$62</definedName>
    <definedName name="办公楼层" localSheetId="12">'[1]比较法-办公'!$B$89:$M$89</definedName>
    <definedName name="办公楼层" localSheetId="27">'[1]比较法-办公'!$B$89:$M$89</definedName>
    <definedName name="办公楼层">'不动产比较法-办公'!$B$89:$M$89</definedName>
    <definedName name="办公内部装修" localSheetId="12">'[1]比较法-办公'!$B$123:$M$123</definedName>
    <definedName name="办公内部装修" localSheetId="27">'[1]比较法-办公'!$B$123:$M$123</definedName>
    <definedName name="办公内部装修">'不动产比较法-办公'!$B$123:$M$123</definedName>
    <definedName name="办公物业管理" localSheetId="12">'[1]比较法-办公'!$B$115:$M$115</definedName>
    <definedName name="办公物业管理" localSheetId="27">'[1]比较法-办公'!$B$115:$M$115</definedName>
    <definedName name="办公物业管理">'不动产比较法-办公'!$B$115:$M$115</definedName>
    <definedName name="办公用途" localSheetId="12">'[1]比较法-办公'!$B$64:$M$64</definedName>
    <definedName name="办公用途" localSheetId="27">'[1]比较法-办公'!$B$64:$M$64</definedName>
    <definedName name="办公用途">'不动产比较法-办公'!$B$64:$M$64</definedName>
    <definedName name="仓储公共部分装修" localSheetId="12">'[1]比较法-仓储'!$B$77:$M$77</definedName>
    <definedName name="仓储公共部分装修" localSheetId="27">'[1]比较法-仓储'!$B$77:$M$77</definedName>
    <definedName name="仓储公共部分装修">'不动产比较法-仓储'!$B$77:$M$77</definedName>
    <definedName name="仓储交易情况" localSheetId="12">'[1]比较法-仓储'!$A$49:$M$49</definedName>
    <definedName name="仓储交易情况" localSheetId="27">'[1]比较法-仓储'!$A$49:$M$49</definedName>
    <definedName name="仓储交易情况">'不动产比较法-仓储'!$A$49:$M$49</definedName>
    <definedName name="仓储楼层" localSheetId="12">'[1]比较法-仓储'!$B$69:$M$69</definedName>
    <definedName name="仓储楼层" localSheetId="27">'[1]比较法-仓储'!$B$69:$M$69</definedName>
    <definedName name="仓储楼层">'不动产比较法-仓储'!$B$69:$M$69</definedName>
    <definedName name="仓储物业等级" localSheetId="12">'[1]比较法-仓储'!$B$82:$M$82</definedName>
    <definedName name="仓储物业等级" localSheetId="27">'[1]比较法-仓储'!$B$82:$M$82</definedName>
    <definedName name="仓储物业等级">'不动产比较法-仓储'!$B$82:$M$82</definedName>
    <definedName name="仓储用途" localSheetId="12">'[1]比较法-仓储'!$B$51:$M$51</definedName>
    <definedName name="仓储用途" localSheetId="27">'[1]比较法-仓储'!$B$51:$M$51</definedName>
    <definedName name="仓储用途">'不动产比较法-仓储'!$B$51:$M$51</definedName>
    <definedName name="产业集聚程度" localSheetId="12">[1]定义!$N$1:$N$6</definedName>
    <definedName name="产业集聚程度" localSheetId="27">[1]定义!$N$1:$N$6</definedName>
    <definedName name="产业集聚程度">定义!$N$1:$N$6</definedName>
    <definedName name="车位公共部分装修" localSheetId="12">'[1]比较法-车位'!$B$83:$M$83</definedName>
    <definedName name="车位公共部分装修" localSheetId="27">'[1]比较法-车位'!$B$83:$M$83</definedName>
    <definedName name="车位公共部分装修">'不动产比较法-车位'!$B$83:$M$83</definedName>
    <definedName name="车位交易情况" localSheetId="12">'[1]比较法-车位'!$A$51:$M$51</definedName>
    <definedName name="车位交易情况" localSheetId="27">'[1]比较法-车位'!$A$51:$M$51</definedName>
    <definedName name="车位交易情况">'不动产比较法-车位'!$A$51:$M$51</definedName>
    <definedName name="车位类型" localSheetId="12">'[1]比较法-车位'!$B$93:$M$93</definedName>
    <definedName name="车位类型" localSheetId="27">'[1]比较法-车位'!$B$93:$M$93</definedName>
    <definedName name="车位类型">'不动产比较法-车位'!$B$93:$M$93</definedName>
    <definedName name="车位楼层" localSheetId="12">'[1]比较法-车位'!$B$71:$M$71</definedName>
    <definedName name="车位楼层" localSheetId="27">'[1]比较法-车位'!$B$71:$M$71</definedName>
    <definedName name="车位楼层">'不动产比较法-车位'!$B$71:$M$71</definedName>
    <definedName name="车位配套类型" localSheetId="12">'[1]比较法-车位'!$B$79:$M$79</definedName>
    <definedName name="车位配套类型" localSheetId="27">'[1]比较法-车位'!$B$79:$M$79</definedName>
    <definedName name="车位配套类型">'不动产比较法-车位'!$B$79:$M$79</definedName>
    <definedName name="车位物业等级" localSheetId="12">'[1]比较法-车位'!$B$88:$M$88</definedName>
    <definedName name="车位物业等级" localSheetId="27">'[1]比较法-车位'!$B$88:$M$88</definedName>
    <definedName name="车位物业等级">'不动产比较法-车位'!$B$88:$M$88</definedName>
    <definedName name="车位用途" localSheetId="12">'[1]比较法-车位'!$B$53:$M$53</definedName>
    <definedName name="车位用途" localSheetId="27">'[1]比较法-车位'!$B$53:$M$53</definedName>
    <definedName name="车位用途">'不动产比较法-车位'!$B$53:$M$53</definedName>
    <definedName name="城镇土地纳税等级分级范围" localSheetId="12">'[1]数据-取费表'!$A$53:$A$63</definedName>
    <definedName name="城镇土地纳税等级分级范围" localSheetId="27">'[1]数据-取费表'!$A$53:$A$63</definedName>
    <definedName name="城镇土地纳税等级分级范围">'数据-取费表'!$A$53:$A$63</definedName>
    <definedName name="单价内涵" localSheetId="12">[1]定义!$V$1:$V$3</definedName>
    <definedName name="单价内涵" localSheetId="27">[1]定义!$V$1:$V$3</definedName>
    <definedName name="单价内涵">定义!$V$1:$V$3</definedName>
    <definedName name="地类判定" localSheetId="12">[1]定义!$H$1:$H$9</definedName>
    <definedName name="地类判定" localSheetId="27">[1]定义!$H$1:$H$9</definedName>
    <definedName name="地类判定">定义!$H$1:$H$9</definedName>
    <definedName name="二级">区片价!$J$1:$J$20</definedName>
    <definedName name="二级分类" localSheetId="12">[1]修正!$C$17:$C$39</definedName>
    <definedName name="二级分类" localSheetId="27">[1]修正!$C$17:$C$39</definedName>
    <definedName name="二级分类">修正!$C$17:$C$39</definedName>
    <definedName name="法定最高年限" localSheetId="12">[1]定义!$G$1:$G$4</definedName>
    <definedName name="法定最高年限" localSheetId="27">[1]定义!$G$1:$G$4</definedName>
    <definedName name="法定最高年限">定义!$G$2:$G$4</definedName>
    <definedName name="工业公共部分装修" localSheetId="12">'[1]比较法-工业'!$B$95:$M$95</definedName>
    <definedName name="工业公共部分装修" localSheetId="27">'[1]比较法-工业'!$B$95:$M$95</definedName>
    <definedName name="工业公共部分装修">'不动产比较法-工业'!$B$95:$M$95</definedName>
    <definedName name="工业基础设施水平" localSheetId="12">'[1]比较法-工业'!$B$102:$M$102</definedName>
    <definedName name="工业基础设施水平" localSheetId="27">'[1]比较法-工业'!$B$102:$M$102</definedName>
    <definedName name="工业基础设施水平">'不动产比较法-工业'!$B$102:$M$102</definedName>
    <definedName name="工业建筑结构" localSheetId="12">'[1]比较法-工业'!$B$93:$M$93</definedName>
    <definedName name="工业建筑结构" localSheetId="27">'[1]比较法-工业'!$B$93:$M$93</definedName>
    <definedName name="工业建筑结构">'不动产比较法-工业'!$B$93:$M$93</definedName>
    <definedName name="工业建筑类型" localSheetId="12">'[1]比较法-工业'!$B$88:$M$88</definedName>
    <definedName name="工业建筑类型" localSheetId="27">'[1]比较法-工业'!$B$88:$M$88</definedName>
    <definedName name="工业建筑类型">'不动产比较法-工业'!$B$88:$M$88</definedName>
    <definedName name="工业交易情况" localSheetId="12">'[1]比较法-工业'!$A$55:$M$55</definedName>
    <definedName name="工业交易情况" localSheetId="27">'[1]比较法-工业'!$A$55:$M$55</definedName>
    <definedName name="工业交易情况">'不动产比较法-工业'!$A$55:$M$55</definedName>
    <definedName name="工业内部装修" localSheetId="12">'[1]比较法-工业'!$B$104:$M$104</definedName>
    <definedName name="工业内部装修" localSheetId="27">'[1]比较法-工业'!$B$104:$M$104</definedName>
    <definedName name="工业内部装修">'不动产比较法-工业'!$B$104:$M$104</definedName>
    <definedName name="工业物业管理" localSheetId="12">'[1]比较法-工业'!$B$100:$M$100</definedName>
    <definedName name="工业物业管理" localSheetId="27">'[1]比较法-工业'!$B$100:$M$100</definedName>
    <definedName name="工业物业管理">'不动产比较法-工业'!$B$100:$M$100</definedName>
    <definedName name="工业用途" localSheetId="12">'[1]比较法-工业'!$B$57:$M$57</definedName>
    <definedName name="工业用途" localSheetId="27">'[1]比较法-工业'!$B$57:$M$57</definedName>
    <definedName name="工业用途">'不动产比较法-工业'!$B$57:$M$57</definedName>
    <definedName name="公共配套设施" localSheetId="12">[1]定义!$Q$1:$Q$6</definedName>
    <definedName name="公共配套设施" localSheetId="27">[1]定义!$Q$1:$Q$6</definedName>
    <definedName name="公共配套设施">定义!$Q$1:$Q$6</definedName>
    <definedName name="估价方法" localSheetId="12">[1]定义!$B$1:$B$50</definedName>
    <definedName name="估价方法" localSheetId="27">[1]定义!$B$1:$B$50</definedName>
    <definedName name="估价方法">定义!$B$1:$B$50</definedName>
    <definedName name="环境" localSheetId="12">[1]定义!$S$1:$S$6</definedName>
    <definedName name="环境" localSheetId="27">[1]定义!$S$1:$S$6</definedName>
    <definedName name="环境">定义!$S$1:$S$6</definedName>
    <definedName name="基础设施水平" localSheetId="12">[1]定义!$R$1:$R$6</definedName>
    <definedName name="基础设施水平" localSheetId="27">[1]定义!$R$1:$R$6</definedName>
    <definedName name="基础设施水平">定义!$R$1:$R$6</definedName>
    <definedName name="季度">基准地价!$N$19:$AB$19</definedName>
    <definedName name="季度2014">地价!$A$2:$A$28</definedName>
    <definedName name="价值类型2" localSheetId="12">[1]定义!$B$54:$B$56</definedName>
    <definedName name="价值类型2" localSheetId="27">[1]定义!$B$54:$B$56</definedName>
    <definedName name="价值类型2">定义!$B$54:$B$56</definedName>
    <definedName name="交通便捷度" localSheetId="12">[1]定义!$O$1:$O$6</definedName>
    <definedName name="交通便捷度" localSheetId="27">[1]定义!$O$1:$O$6</definedName>
    <definedName name="交通便捷度">定义!$O$1:$O$6</definedName>
    <definedName name="九级">区片价!$Q$1:$Q$46</definedName>
    <definedName name="居住社区成熟度" localSheetId="12">[1]定义!$K$1:$K$6</definedName>
    <definedName name="居住社区成熟度" localSheetId="27">[1]定义!$K$1:$K$6</definedName>
    <definedName name="居住社区成熟度">定义!$K$1:$K$6</definedName>
    <definedName name="类别" localSheetId="12">[1]定义!$J$1:$J$3</definedName>
    <definedName name="类别" localSheetId="27">[1]定义!$J$1:$J$3</definedName>
    <definedName name="类别">定义!$J$1:$J$3</definedName>
    <definedName name="临街状况" localSheetId="12">[1]定义!$T$1:$T$5</definedName>
    <definedName name="临街状况" localSheetId="27">[1]定义!$T$1:$T$5</definedName>
    <definedName name="临街状况">定义!$T$1:$T$5</definedName>
    <definedName name="六级">区片价!$N$1:$N$49</definedName>
    <definedName name="内部装修维护情况" localSheetId="12">[1]定义!$U$1:$U$6</definedName>
    <definedName name="内部装修维护情况" localSheetId="27">[1]定义!$U$1:$U$6</definedName>
    <definedName name="内部装修维护情况">定义!$U$1:$U$6</definedName>
    <definedName name="判定" localSheetId="12">[1]定义!$D$1:$D$4</definedName>
    <definedName name="判定" localSheetId="27">[1]定义!$D$1:$D$4</definedName>
    <definedName name="判定">定义!$D$1:$D$4</definedName>
    <definedName name="七级">区片价!$O$1:$O$49</definedName>
    <definedName name="七通一平" localSheetId="12">[1]修正!$A$6:$A$14</definedName>
    <definedName name="七通一平" localSheetId="27">[1]修正!$A$6:$A$14</definedName>
    <definedName name="七通一平">修正!$A$6:$A$14</definedName>
    <definedName name="区域土地利用方向" localSheetId="12">[1]定义!$P$1:$P$6</definedName>
    <definedName name="区域土地利用方向" localSheetId="27">[1]定义!$P$1:$P$6</definedName>
    <definedName name="区域土地利用方向">定义!$P$1:$P$6</definedName>
    <definedName name="三级">区片价!$K$1:$K$21</definedName>
    <definedName name="商业层高" localSheetId="12">'[1]比较法-商业'!$B$116:$M$116</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7">[1]定义!$L$1:$L$6</definedName>
    <definedName name="商业繁华度">定义!$L$1:$L$6</definedName>
    <definedName name="商业公共部分装修" localSheetId="12">'[1]比较法-商业'!$B$107:$M$107</definedName>
    <definedName name="商业公共部分装修" localSheetId="27">'[1]比较法-商业'!$B$107:$M$107</definedName>
    <definedName name="商业公共部分装修">'不动产比较法-商业'!$B$107:$M$107</definedName>
    <definedName name="商业基础设施水平" localSheetId="12">'[1]比较法-商业'!$B$112:$M$112</definedName>
    <definedName name="商业基础设施水平" localSheetId="27">'[1]比较法-商业'!$B$112:$M$112</definedName>
    <definedName name="商业基础设施水平">'不动产比较法-商业'!$B$112:$M$112</definedName>
    <definedName name="商业建筑结构" localSheetId="12">'[1]比较法-商业'!$B$105:$M$105</definedName>
    <definedName name="商业建筑结构" localSheetId="27">'[1]比较法-商业'!$B$105:$M$105</definedName>
    <definedName name="商业建筑结构">'不动产比较法-商业'!$B$105:$M$105</definedName>
    <definedName name="商业交易情况" localSheetId="12">'[1]比较法-商业'!$A$61:$M$61</definedName>
    <definedName name="商业交易情况" localSheetId="27">'[1]比较法-商业'!$A$61:$M$61</definedName>
    <definedName name="商业交易情况">'不动产比较法-商业'!$A$61:$M$61</definedName>
    <definedName name="商业街名称" localSheetId="12">[1]修正!$C$59:$C$119</definedName>
    <definedName name="商业街名称" localSheetId="27">[1]修正!$C$59:$C$119</definedName>
    <definedName name="商业街名称">修正!$C$59:$C$119</definedName>
    <definedName name="商业进深比" localSheetId="12">'[1]比较法-商业'!$B$120:$M$120</definedName>
    <definedName name="商业进深比" localSheetId="27">'[1]比较法-商业'!$B$120:$M$120</definedName>
    <definedName name="商业进深比">'不动产比较法-商业'!$B$120:$M$120</definedName>
    <definedName name="商业类型" localSheetId="12">'[1]比较法-商业'!$B$100:$M$100</definedName>
    <definedName name="商业类型" localSheetId="27">'[1]比较法-商业'!$B$100:$M$100</definedName>
    <definedName name="商业类型">'不动产比较法-商业'!$B$100:$M$100</definedName>
    <definedName name="商业临街状况" localSheetId="12">'[1]比较法-商业'!$B$86:$M$86</definedName>
    <definedName name="商业临街状况" localSheetId="27">'[1]比较法-商业'!$B$86:$M$86</definedName>
    <definedName name="商业临街状况">'不动产比较法-商业'!$B$86:$M$86</definedName>
    <definedName name="商业楼层" localSheetId="12">'[1]比较法-商业'!$B$92:$M$92</definedName>
    <definedName name="商业楼层" localSheetId="27">'[1]比较法-商业'!$B$92:$M$92</definedName>
    <definedName name="商业楼层">'不动产比较法-商业'!$B$92:$M$92</definedName>
    <definedName name="商业内部装修" localSheetId="12">'[1]比较法-商业'!$B$122:$M$122</definedName>
    <definedName name="商业内部装修" localSheetId="27">'[1]比较法-商业'!$B$122:$M$122</definedName>
    <definedName name="商业内部装修">'不动产比较法-商业'!$B$122:$M$122</definedName>
    <definedName name="商业人流量" localSheetId="12">'[1]比较法-商业'!$B$90:$M$90</definedName>
    <definedName name="商业人流量" localSheetId="27">'[1]比较法-商业'!$B$90:$M$90</definedName>
    <definedName name="商业人流量">'不动产比较法-商业'!$B$90:$M$90</definedName>
    <definedName name="商业业态" localSheetId="12">'[1]比较法-商业'!$B$114:$M$114</definedName>
    <definedName name="商业业态" localSheetId="27">'[1]比较法-商业'!$B$114:$M$114</definedName>
    <definedName name="商业业态">'不动产比较法-商业'!$B$114:$M$114</definedName>
    <definedName name="商业用途" localSheetId="12">'[1]比较法-商业'!$B$63:$M$63</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 localSheetId="27">'[1]比较法-仓储'!$B$89:$M$89</definedName>
    <definedName name="是否封闭">'不动产比较法-仓储'!$B$89:$M$89</definedName>
    <definedName name="是否直接入户" localSheetId="12">'[1]比较法-车位'!$B$95:$M$95</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 localSheetId="27">'[1]土地比较法-工业'!$B$99:$M$99</definedName>
    <definedName name="套工土地级别">'比较法-工业'!$B$101:$M$101</definedName>
    <definedName name="套工用途" localSheetId="12">'[1]土地比较法-工业'!$B$70:$M$70</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 localSheetId="27">'[1]土地比较法-工业'!$B$110:$M$110</definedName>
    <definedName name="套工宗地形状">'比较法-工业'!$B$112:$M$112</definedName>
    <definedName name="套综道路等级" localSheetId="12">'[1]土地比较法-住宅、综合'!$B$106:$M$106</definedName>
    <definedName name="套综道路等级" localSheetId="27">'[1]土地比较法-住宅、综合'!$B$106:$M$106</definedName>
    <definedName name="套综道路等级">'比较法-住宅、综合'!$B$108:$M$108</definedName>
    <definedName name="套综工程地质条件" localSheetId="12">'[1]土地比较法-住宅、综合'!$B$125:$M$125</definedName>
    <definedName name="套综工程地质条件" localSheetId="27">'[1]土地比较法-住宅、综合'!$B$125:$M$125</definedName>
    <definedName name="套综工程地质条件">'比较法-住宅、综合'!$B$127:$M$127</definedName>
    <definedName name="套综交易情况" localSheetId="12">'[1]土地比较法-住宅、综合'!$A$73:$M$73</definedName>
    <definedName name="套综交易情况" localSheetId="27">'[1]土地比较法-住宅、综合'!$A$73:$M$73</definedName>
    <definedName name="套综交易情况">'比较法-住宅、综合'!$A$75:$M$75</definedName>
    <definedName name="套综临街宽度及深度" localSheetId="12">'[1]土地比较法-住宅、综合'!$B$121:$M$121</definedName>
    <definedName name="套综临街宽度及深度" localSheetId="27">'[1]土地比较法-住宅、综合'!$B$121:$M$121</definedName>
    <definedName name="套综临街宽度及深度">'比较法-住宅、综合'!$B$123:$M$123</definedName>
    <definedName name="套综土地级别" localSheetId="12">'[1]土地比较法-住宅、综合'!$B$108:$M$108</definedName>
    <definedName name="套综土地级别" localSheetId="27">'[1]土地比较法-住宅、综合'!$B$108:$M$108</definedName>
    <definedName name="套综土地级别">'比较法-住宅、综合'!$B$110:$M$110</definedName>
    <definedName name="套综用途" localSheetId="12">'[1]土地比较法-住宅、综合'!$B$75:$M$75</definedName>
    <definedName name="套综用途" localSheetId="27">'[1]土地比较法-住宅、综合'!$B$75:$M$75</definedName>
    <definedName name="套综用途">'比较法-住宅、综合'!$B$77:$M$77</definedName>
    <definedName name="套综宗地内开发程度" localSheetId="12">'[1]土地比较法-住宅、综合'!$B$123:$M$123</definedName>
    <definedName name="套综宗地内开发程度" localSheetId="27">'[1]土地比较法-住宅、综合'!$B$123:$M$123</definedName>
    <definedName name="套综宗地内开发程度">'比较法-住宅、综合'!$B$125:$M$125</definedName>
    <definedName name="套综宗地形状" localSheetId="12">'[1]土地比较法-住宅、综合'!$B$119:$M$119</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12">[1]定义!$C$1:$C$14</definedName>
    <definedName name="土地级别" localSheetId="27">[1]定义!$C$1:$C$14</definedName>
    <definedName name="土地级别">定义!$C$1:$C$14</definedName>
    <definedName name="土地利用方向">定义!$P$1:$P$6</definedName>
    <definedName name="土地年限区间" localSheetId="12">[1]定义!$I$1:$I$8</definedName>
    <definedName name="土地年限区间" localSheetId="27">[1]定义!$I$1:$I$8</definedName>
    <definedName name="土地年限区间">定义!$I$1:$I$8</definedName>
    <definedName name="位置" localSheetId="12">[1]定义!$E$2:$E$4</definedName>
    <definedName name="位置" localSheetId="27">[1]定义!$E$2:$E$4</definedName>
    <definedName name="位置">定义!$E$2:$E$4</definedName>
    <definedName name="五等判定" localSheetId="12">[1]定义!$W$1:$W$6</definedName>
    <definedName name="五等判定" localSheetId="27">[1]定义!$W$1:$W$6</definedName>
    <definedName name="五等判定">定义!$W$1:$W$6</definedName>
    <definedName name="五级">区片价!$M$1:$M$35</definedName>
    <definedName name="项目类型" localSheetId="12">'[1]数据-汇总表'!$C$17:$C$26</definedName>
    <definedName name="项目类型" localSheetId="27">'[1]数据-汇总表'!$C$17:$C$26</definedName>
    <definedName name="项目类型">'数据-汇总表'!$C$17:$C$26</definedName>
    <definedName name="写字楼等级" localSheetId="12">'[1]比较法-办公'!$B$113:$M$113</definedName>
    <definedName name="写字楼等级" localSheetId="27">'[1]比较法-办公'!$B$113:$M$113</definedName>
    <definedName name="写字楼等级">'不动产比较法-办公'!$B$113:$M$113</definedName>
    <definedName name="一级">区片价!$I$1:$I$6</definedName>
    <definedName name="一修多修正项2" localSheetId="12">[1]典型户型修正!$5:$5</definedName>
    <definedName name="一修多修正项2" localSheetId="27">[1]典型户型修正!$5:$5</definedName>
    <definedName name="一修多修正项2">典型户型修正!$5:$5</definedName>
    <definedName name="一修多修正项3" localSheetId="12">[1]典型户型修正!$7:$7</definedName>
    <definedName name="一修多修正项3" localSheetId="27">[1]典型户型修正!$7:$7</definedName>
    <definedName name="一修多修正项3">典型户型修正!$7:$7</definedName>
    <definedName name="一修多修正项4" localSheetId="12">[1]典型户型修正!$9:$9</definedName>
    <definedName name="一修多修正项4" localSheetId="27">[1]典型户型修正!$9:$9</definedName>
    <definedName name="一修多修正项4">典型户型修正!$9:$9</definedName>
    <definedName name="一修多修正项5" localSheetId="12">[1]典型户型修正!$11:$11</definedName>
    <definedName name="一修多修正项5" localSheetId="27">[1]典型户型修正!$11:$11</definedName>
    <definedName name="一修多修正项5">典型户型修正!$11:$11</definedName>
    <definedName name="一修多修正项6" localSheetId="12">[1]典型户型修正!$13:$13</definedName>
    <definedName name="一修多修正项6" localSheetId="27">[1]典型户型修正!$13:$13</definedName>
    <definedName name="一修多修正项6">典型户型修正!$13:$13</definedName>
    <definedName name="一修多修正项7" localSheetId="12">[1]典型户型修正!$15:$15</definedName>
    <definedName name="一修多修正项7" localSheetId="27">[1]典型户型修正!$15:$15</definedName>
    <definedName name="一修多修正项7">典型户型修正!$15:$15</definedName>
    <definedName name="一修多修正项8" localSheetId="12">[1]典型户型修正!$17:$17</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7">'[1]比较法-仓储'!$B$84:$M$84</definedName>
    <definedName name="有无电梯">'不动产比较法-仓储'!$B$84:$M$84</definedName>
    <definedName name="主用途" localSheetId="12">[1]定义!$F$1:$F$10</definedName>
    <definedName name="主用途" localSheetId="27">[1]定义!$F$1:$F$10</definedName>
    <definedName name="主用途">定义!$F$1:$F$10</definedName>
    <definedName name="住宅朝向" localSheetId="22">'比较法-叠墅'!$B$88:$M$88</definedName>
    <definedName name="住宅朝向" localSheetId="12">#REF!</definedName>
    <definedName name="住宅朝向" localSheetId="27">#REF!</definedName>
    <definedName name="住宅朝向">'不动产比较法-住宅'!$B$88:$M$88</definedName>
    <definedName name="住宅房型" localSheetId="22">'比较法-叠墅'!$B$118:$M$118</definedName>
    <definedName name="住宅房型" localSheetId="12">#REF!</definedName>
    <definedName name="住宅房型" localSheetId="27">#REF!</definedName>
    <definedName name="住宅房型">'不动产比较法-住宅'!$B$118:$M$118</definedName>
    <definedName name="住宅公共部分装修" localSheetId="22">'比较法-叠墅'!$B$109:$M$109</definedName>
    <definedName name="住宅公共部分装修" localSheetId="12">#REF!</definedName>
    <definedName name="住宅公共部分装修" localSheetId="27">#REF!</definedName>
    <definedName name="住宅公共部分装修">'不动产比较法-住宅'!$B$109:$M$109</definedName>
    <definedName name="住宅基础设施水平" localSheetId="22">'比较法-叠墅'!$B$116:$M$116</definedName>
    <definedName name="住宅基础设施水平" localSheetId="12">#REF!</definedName>
    <definedName name="住宅基础设施水平" localSheetId="27">#REF!</definedName>
    <definedName name="住宅基础设施水平">'不动产比较法-住宅'!$B$116:$M$116</definedName>
    <definedName name="住宅建筑结构" localSheetId="22">'比较法-叠墅'!$B$105:$M$105</definedName>
    <definedName name="住宅建筑结构" localSheetId="12">#REF!</definedName>
    <definedName name="住宅建筑结构" localSheetId="27">#REF!</definedName>
    <definedName name="住宅建筑结构">'不动产比较法-住宅'!$B$105:$M$105</definedName>
    <definedName name="住宅建筑类型" localSheetId="22">'比较法-叠墅'!$B$100:$M$100</definedName>
    <definedName name="住宅建筑类型" localSheetId="12">#REF!</definedName>
    <definedName name="住宅建筑类型" localSheetId="27">#REF!</definedName>
    <definedName name="住宅建筑类型">'不动产比较法-住宅'!$B$100:$M$100</definedName>
    <definedName name="住宅建筑品质" localSheetId="22">'比较法-叠墅'!$B$107:$M$107</definedName>
    <definedName name="住宅建筑品质" localSheetId="12">#REF!</definedName>
    <definedName name="住宅建筑品质" localSheetId="27">#REF!</definedName>
    <definedName name="住宅建筑品质">'不动产比较法-住宅'!$B$107:$M$107</definedName>
    <definedName name="住宅交易情况" localSheetId="22">'比较法-叠墅'!$A$61:$M$61</definedName>
    <definedName name="住宅交易情况" localSheetId="12">#REF!</definedName>
    <definedName name="住宅交易情况" localSheetId="27">#REF!</definedName>
    <definedName name="住宅交易情况">'不动产比较法-住宅'!$A$61:$M$61</definedName>
    <definedName name="住宅楼层" localSheetId="22">'比较法-叠墅'!$B$86:$M$86</definedName>
    <definedName name="住宅楼层" localSheetId="12">#REF!</definedName>
    <definedName name="住宅楼层" localSheetId="27">#REF!</definedName>
    <definedName name="住宅楼层">'不动产比较法-住宅'!$B$86:$M$86</definedName>
    <definedName name="住宅内部装修" localSheetId="22">'比较法-叠墅'!$B$122:$M$122</definedName>
    <definedName name="住宅内部装修" localSheetId="12">#REF!</definedName>
    <definedName name="住宅内部装修" localSheetId="27">#REF!</definedName>
    <definedName name="住宅内部装修">'不动产比较法-住宅'!$B$122:$M$122</definedName>
    <definedName name="住宅物业管理" localSheetId="22">'比较法-叠墅'!$B$114:$M$114</definedName>
    <definedName name="住宅物业管理" localSheetId="12">#REF!</definedName>
    <definedName name="住宅物业管理" localSheetId="27">#REF!</definedName>
    <definedName name="住宅物业管理">'不动产比较法-住宅'!$B$114:$M$114</definedName>
    <definedName name="住宅用途" localSheetId="22">'比较法-叠墅'!$B$63:$M$63</definedName>
    <definedName name="住宅用途" localSheetId="12">#REF!</definedName>
    <definedName name="住宅用途" localSheetId="27">#REF!</definedName>
    <definedName name="住宅用途">'不动产比较法-住宅'!$B$63:$M$63</definedName>
    <definedName name="住宅主力户型面积" localSheetId="22">'比较法-叠墅'!$B$120:$M$120</definedName>
    <definedName name="住宅主力户型面积">'不动产比较法-住宅'!$B$120:$M$120</definedName>
    <definedName name="注册房地产估价师" localSheetId="12">[1]估价师及机构信息!$A$3:$A$24</definedName>
    <definedName name="注册房地产估价师" localSheetId="2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N25" i="68" l="1"/>
  <c r="G12" i="68"/>
  <c r="AL20" i="3"/>
  <c r="A7" i="1"/>
  <c r="BQ13" i="3"/>
  <c r="BQ14" i="3"/>
  <c r="BQ15" i="3"/>
  <c r="AL16" i="3"/>
  <c r="BQ16" i="3"/>
  <c r="AL17" i="3"/>
  <c r="BQ17" i="3"/>
  <c r="BQ18" i="3"/>
  <c r="BQ19" i="3"/>
  <c r="BQ20" i="3"/>
  <c r="BQ21" i="3"/>
  <c r="G17" i="68"/>
  <c r="AL22" i="3"/>
  <c r="BQ22" i="3"/>
  <c r="G18" i="68"/>
  <c r="AL23"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I13" i="3"/>
  <c r="G9" i="68"/>
  <c r="I18" i="3"/>
  <c r="F19" i="6"/>
  <c r="I14" i="3"/>
  <c r="F20" i="6"/>
  <c r="N19" i="6"/>
  <c r="N20" i="6"/>
  <c r="S7" i="1"/>
  <c r="T7" i="1"/>
  <c r="A6" i="1"/>
  <c r="S6" i="1"/>
  <c r="T6" i="1"/>
  <c r="A3" i="3"/>
  <c r="BB13" i="3"/>
  <c r="BC13" i="3"/>
  <c r="BD13" i="3"/>
  <c r="BE13" i="3"/>
  <c r="BF13" i="3"/>
  <c r="BG13" i="3"/>
  <c r="BH13" i="3"/>
  <c r="BI13" i="3"/>
  <c r="BJ13" i="3"/>
  <c r="BK13" i="3"/>
  <c r="BA13" i="3"/>
  <c r="BM13" i="3"/>
  <c r="BN13" i="3"/>
  <c r="BO13" i="3"/>
  <c r="BP13" i="3"/>
  <c r="BR13" i="3"/>
  <c r="BT13" i="3"/>
  <c r="BL13" i="3"/>
  <c r="AZ13" i="3"/>
  <c r="BB14" i="3"/>
  <c r="BC14" i="3"/>
  <c r="BD14" i="3"/>
  <c r="BE14" i="3"/>
  <c r="BF14" i="3"/>
  <c r="BG14" i="3"/>
  <c r="BH14" i="3"/>
  <c r="BI14" i="3"/>
  <c r="BJ14" i="3"/>
  <c r="BK14" i="3"/>
  <c r="BA14" i="3"/>
  <c r="BM14" i="3"/>
  <c r="BN14" i="3"/>
  <c r="BO14" i="3"/>
  <c r="BP14" i="3"/>
  <c r="BR14" i="3"/>
  <c r="BT14" i="3"/>
  <c r="BL14" i="3"/>
  <c r="AZ14" i="3"/>
  <c r="BB15" i="3"/>
  <c r="BC15" i="3"/>
  <c r="BD15" i="3"/>
  <c r="BE15" i="3"/>
  <c r="BF15" i="3"/>
  <c r="BG15" i="3"/>
  <c r="BH15" i="3"/>
  <c r="BI15" i="3"/>
  <c r="BJ15" i="3"/>
  <c r="BK15" i="3"/>
  <c r="BA15" i="3"/>
  <c r="AD15" i="3"/>
  <c r="BM15" i="3"/>
  <c r="BN15" i="3"/>
  <c r="BO15" i="3"/>
  <c r="BP15" i="3"/>
  <c r="BR15" i="3"/>
  <c r="BT15" i="3"/>
  <c r="BL15" i="3"/>
  <c r="AZ15" i="3"/>
  <c r="BB16" i="3"/>
  <c r="BC16" i="3"/>
  <c r="BD16" i="3"/>
  <c r="BE16" i="3"/>
  <c r="BF16" i="3"/>
  <c r="BG16" i="3"/>
  <c r="BH16" i="3"/>
  <c r="BI16" i="3"/>
  <c r="BJ16" i="3"/>
  <c r="BK16" i="3"/>
  <c r="BA16" i="3"/>
  <c r="BM16" i="3"/>
  <c r="BN16" i="3"/>
  <c r="BO16" i="3"/>
  <c r="BP16" i="3"/>
  <c r="BR16" i="3"/>
  <c r="BT16" i="3"/>
  <c r="BL16" i="3"/>
  <c r="AZ16" i="3"/>
  <c r="BB17" i="3"/>
  <c r="BC17" i="3"/>
  <c r="BD17" i="3"/>
  <c r="BE17" i="3"/>
  <c r="BF17" i="3"/>
  <c r="BG17" i="3"/>
  <c r="BH17" i="3"/>
  <c r="BI17" i="3"/>
  <c r="BJ17" i="3"/>
  <c r="BK17" i="3"/>
  <c r="BA17" i="3"/>
  <c r="BM17" i="3"/>
  <c r="BN17" i="3"/>
  <c r="BO17" i="3"/>
  <c r="BP17" i="3"/>
  <c r="BR17" i="3"/>
  <c r="BT17" i="3"/>
  <c r="BL17" i="3"/>
  <c r="AZ17" i="3"/>
  <c r="BB18" i="3"/>
  <c r="BC18" i="3"/>
  <c r="BD18" i="3"/>
  <c r="BE18" i="3"/>
  <c r="BF18" i="3"/>
  <c r="BG18" i="3"/>
  <c r="BH18" i="3"/>
  <c r="BI18" i="3"/>
  <c r="BJ18" i="3"/>
  <c r="BK18" i="3"/>
  <c r="BA18" i="3"/>
  <c r="BM18" i="3"/>
  <c r="BN18" i="3"/>
  <c r="BO18" i="3"/>
  <c r="BP18" i="3"/>
  <c r="BR18" i="3"/>
  <c r="BT18" i="3"/>
  <c r="BL18" i="3"/>
  <c r="AZ18" i="3"/>
  <c r="BB19" i="3"/>
  <c r="BC19" i="3"/>
  <c r="G11" i="68"/>
  <c r="M19" i="3"/>
  <c r="BD19" i="3"/>
  <c r="BE19" i="3"/>
  <c r="BF19" i="3"/>
  <c r="BG19" i="3"/>
  <c r="BH19" i="3"/>
  <c r="BI19" i="3"/>
  <c r="BJ19" i="3"/>
  <c r="BK19" i="3"/>
  <c r="BA19" i="3"/>
  <c r="BM19" i="3"/>
  <c r="BN19" i="3"/>
  <c r="BO19" i="3"/>
  <c r="BP19" i="3"/>
  <c r="BR19" i="3"/>
  <c r="BT19" i="3"/>
  <c r="BL19" i="3"/>
  <c r="AZ19" i="3"/>
  <c r="BB20" i="3"/>
  <c r="BC20" i="3"/>
  <c r="BD20" i="3"/>
  <c r="BE20" i="3"/>
  <c r="BF20" i="3"/>
  <c r="BG20" i="3"/>
  <c r="BH20" i="3"/>
  <c r="BI20" i="3"/>
  <c r="BJ20" i="3"/>
  <c r="BK20" i="3"/>
  <c r="BA20" i="3"/>
  <c r="BM20" i="3"/>
  <c r="BN20" i="3"/>
  <c r="BO20" i="3"/>
  <c r="BP20" i="3"/>
  <c r="BR20" i="3"/>
  <c r="BT20" i="3"/>
  <c r="BL20" i="3"/>
  <c r="AZ20" i="3"/>
  <c r="BB21" i="3"/>
  <c r="BC21" i="3"/>
  <c r="BD21" i="3"/>
  <c r="BE21" i="3"/>
  <c r="BF21" i="3"/>
  <c r="BG21" i="3"/>
  <c r="BH21" i="3"/>
  <c r="BI21" i="3"/>
  <c r="BJ21" i="3"/>
  <c r="BK21" i="3"/>
  <c r="BA21" i="3"/>
  <c r="BM21" i="3"/>
  <c r="BN21" i="3"/>
  <c r="G13" i="68"/>
  <c r="AH21" i="3"/>
  <c r="BO21" i="3"/>
  <c r="BP21" i="3"/>
  <c r="BR21" i="3"/>
  <c r="BT21" i="3"/>
  <c r="BL21" i="3"/>
  <c r="AZ21" i="3"/>
  <c r="BB22" i="3"/>
  <c r="BC22" i="3"/>
  <c r="BD22" i="3"/>
  <c r="BE22" i="3"/>
  <c r="BF22" i="3"/>
  <c r="BG22" i="3"/>
  <c r="BH22" i="3"/>
  <c r="BI22" i="3"/>
  <c r="BJ22" i="3"/>
  <c r="BK22" i="3"/>
  <c r="BA22" i="3"/>
  <c r="BM22" i="3"/>
  <c r="BN22" i="3"/>
  <c r="BO22" i="3"/>
  <c r="BP22" i="3"/>
  <c r="BR22" i="3"/>
  <c r="BT22" i="3"/>
  <c r="BL22" i="3"/>
  <c r="AZ22" i="3"/>
  <c r="BB23" i="3"/>
  <c r="BC23" i="3"/>
  <c r="BD23" i="3"/>
  <c r="BE23" i="3"/>
  <c r="BF23" i="3"/>
  <c r="BG23" i="3"/>
  <c r="BH23" i="3"/>
  <c r="BI23" i="3"/>
  <c r="BJ23" i="3"/>
  <c r="BK23" i="3"/>
  <c r="BA23" i="3"/>
  <c r="BM23" i="3"/>
  <c r="BN23" i="3"/>
  <c r="BO23" i="3"/>
  <c r="BP23" i="3"/>
  <c r="BR23" i="3"/>
  <c r="BT23" i="3"/>
  <c r="BL23" i="3"/>
  <c r="AZ23" i="3"/>
  <c r="BB24" i="3"/>
  <c r="BC24" i="3"/>
  <c r="BD24" i="3"/>
  <c r="G19" i="68"/>
  <c r="O24" i="3"/>
  <c r="BE24" i="3"/>
  <c r="BF24" i="3"/>
  <c r="BG24" i="3"/>
  <c r="BH24" i="3"/>
  <c r="BI24" i="3"/>
  <c r="BJ24" i="3"/>
  <c r="BK24" i="3"/>
  <c r="BA24" i="3"/>
  <c r="BM24" i="3"/>
  <c r="BN24" i="3"/>
  <c r="BO24" i="3"/>
  <c r="BP24" i="3"/>
  <c r="BR24" i="3"/>
  <c r="BT24" i="3"/>
  <c r="BL24" i="3"/>
  <c r="AZ24" i="3"/>
  <c r="BB25" i="3"/>
  <c r="BC25" i="3"/>
  <c r="BD25" i="3"/>
  <c r="BE25" i="3"/>
  <c r="BF25" i="3"/>
  <c r="BG25" i="3"/>
  <c r="BH25" i="3"/>
  <c r="BI25" i="3"/>
  <c r="BJ25" i="3"/>
  <c r="BK25" i="3"/>
  <c r="BA25" i="3"/>
  <c r="BM25" i="3"/>
  <c r="BN25" i="3"/>
  <c r="BO25" i="3"/>
  <c r="BP25" i="3"/>
  <c r="BR25" i="3"/>
  <c r="BT25" i="3"/>
  <c r="BL25" i="3"/>
  <c r="AZ25" i="3"/>
  <c r="BB26" i="3"/>
  <c r="BC26" i="3"/>
  <c r="BD26" i="3"/>
  <c r="BE26" i="3"/>
  <c r="BF26" i="3"/>
  <c r="BG26" i="3"/>
  <c r="BH26" i="3"/>
  <c r="BI26" i="3"/>
  <c r="BJ26" i="3"/>
  <c r="BK26" i="3"/>
  <c r="BA26" i="3"/>
  <c r="BM26" i="3"/>
  <c r="BN26" i="3"/>
  <c r="BO26" i="3"/>
  <c r="BP26" i="3"/>
  <c r="BR26" i="3"/>
  <c r="BT26" i="3"/>
  <c r="BL26" i="3"/>
  <c r="AZ26" i="3"/>
  <c r="BB27" i="3"/>
  <c r="BC27" i="3"/>
  <c r="BD27" i="3"/>
  <c r="BE27" i="3"/>
  <c r="BF27" i="3"/>
  <c r="BG27" i="3"/>
  <c r="BH27" i="3"/>
  <c r="BI27" i="3"/>
  <c r="BJ27" i="3"/>
  <c r="BK27" i="3"/>
  <c r="BA27" i="3"/>
  <c r="BM27" i="3"/>
  <c r="BN27" i="3"/>
  <c r="BO27" i="3"/>
  <c r="BP27" i="3"/>
  <c r="BR27" i="3"/>
  <c r="BT27" i="3"/>
  <c r="BL27" i="3"/>
  <c r="AZ27" i="3"/>
  <c r="BB28" i="3"/>
  <c r="BC28" i="3"/>
  <c r="BD28" i="3"/>
  <c r="BE28" i="3"/>
  <c r="BF28" i="3"/>
  <c r="BG28" i="3"/>
  <c r="BH28" i="3"/>
  <c r="BI28" i="3"/>
  <c r="BJ28" i="3"/>
  <c r="BK28" i="3"/>
  <c r="BA28" i="3"/>
  <c r="BM28" i="3"/>
  <c r="BN28" i="3"/>
  <c r="BO28" i="3"/>
  <c r="BP28" i="3"/>
  <c r="BR28" i="3"/>
  <c r="BT28" i="3"/>
  <c r="BL28" i="3"/>
  <c r="AZ28" i="3"/>
  <c r="BB29" i="3"/>
  <c r="BC29" i="3"/>
  <c r="BD29" i="3"/>
  <c r="BE29" i="3"/>
  <c r="BF29" i="3"/>
  <c r="BG29" i="3"/>
  <c r="BH29" i="3"/>
  <c r="BI29" i="3"/>
  <c r="BJ29" i="3"/>
  <c r="BK29" i="3"/>
  <c r="BA29" i="3"/>
  <c r="BM29" i="3"/>
  <c r="BN29" i="3"/>
  <c r="BO29" i="3"/>
  <c r="BP29" i="3"/>
  <c r="BR29" i="3"/>
  <c r="BT29" i="3"/>
  <c r="BL29" i="3"/>
  <c r="AZ29" i="3"/>
  <c r="BB30" i="3"/>
  <c r="BC30" i="3"/>
  <c r="BD30" i="3"/>
  <c r="BE30" i="3"/>
  <c r="BF30" i="3"/>
  <c r="BG30" i="3"/>
  <c r="BH30" i="3"/>
  <c r="BI30" i="3"/>
  <c r="BJ30" i="3"/>
  <c r="BK30" i="3"/>
  <c r="BA30" i="3"/>
  <c r="BM30" i="3"/>
  <c r="BN30" i="3"/>
  <c r="BO30" i="3"/>
  <c r="BP30" i="3"/>
  <c r="BR30" i="3"/>
  <c r="BT30" i="3"/>
  <c r="BL30" i="3"/>
  <c r="AZ30" i="3"/>
  <c r="BB31" i="3"/>
  <c r="BC31" i="3"/>
  <c r="BD31" i="3"/>
  <c r="BE31" i="3"/>
  <c r="BF31" i="3"/>
  <c r="BG31" i="3"/>
  <c r="BH31" i="3"/>
  <c r="BI31" i="3"/>
  <c r="BJ31" i="3"/>
  <c r="BK31" i="3"/>
  <c r="BA31" i="3"/>
  <c r="BM31" i="3"/>
  <c r="BN31" i="3"/>
  <c r="BO31" i="3"/>
  <c r="BP31" i="3"/>
  <c r="BR31" i="3"/>
  <c r="BT31" i="3"/>
  <c r="BL31" i="3"/>
  <c r="AZ31" i="3"/>
  <c r="BB32" i="3"/>
  <c r="BC32" i="3"/>
  <c r="BD32" i="3"/>
  <c r="BE32" i="3"/>
  <c r="BF32" i="3"/>
  <c r="BG32" i="3"/>
  <c r="BH32" i="3"/>
  <c r="BI32" i="3"/>
  <c r="BJ32" i="3"/>
  <c r="BK32" i="3"/>
  <c r="BA32" i="3"/>
  <c r="BM32" i="3"/>
  <c r="BN32" i="3"/>
  <c r="BO32" i="3"/>
  <c r="BP32" i="3"/>
  <c r="BR32" i="3"/>
  <c r="BT32" i="3"/>
  <c r="BL32" i="3"/>
  <c r="AZ32" i="3"/>
  <c r="BB33" i="3"/>
  <c r="BC33" i="3"/>
  <c r="BD33" i="3"/>
  <c r="BE33" i="3"/>
  <c r="BF33" i="3"/>
  <c r="BG33" i="3"/>
  <c r="BH33" i="3"/>
  <c r="BI33" i="3"/>
  <c r="BJ33" i="3"/>
  <c r="BK33" i="3"/>
  <c r="BA33" i="3"/>
  <c r="BM33" i="3"/>
  <c r="BN33" i="3"/>
  <c r="BO33" i="3"/>
  <c r="BP33" i="3"/>
  <c r="BR33" i="3"/>
  <c r="BT33" i="3"/>
  <c r="BL33" i="3"/>
  <c r="AZ33" i="3"/>
  <c r="BB34" i="3"/>
  <c r="BC34" i="3"/>
  <c r="BD34" i="3"/>
  <c r="BE34" i="3"/>
  <c r="BF34" i="3"/>
  <c r="BG34" i="3"/>
  <c r="BH34" i="3"/>
  <c r="BI34" i="3"/>
  <c r="BJ34" i="3"/>
  <c r="BK34" i="3"/>
  <c r="BA34" i="3"/>
  <c r="BM34" i="3"/>
  <c r="BN34" i="3"/>
  <c r="BO34" i="3"/>
  <c r="BP34" i="3"/>
  <c r="BR34" i="3"/>
  <c r="BT34" i="3"/>
  <c r="BL34" i="3"/>
  <c r="AZ34" i="3"/>
  <c r="BB35" i="3"/>
  <c r="BC35" i="3"/>
  <c r="BD35" i="3"/>
  <c r="BE35" i="3"/>
  <c r="BF35" i="3"/>
  <c r="BG35" i="3"/>
  <c r="BH35" i="3"/>
  <c r="BI35" i="3"/>
  <c r="BJ35" i="3"/>
  <c r="BK35" i="3"/>
  <c r="BA35" i="3"/>
  <c r="BM35" i="3"/>
  <c r="BN35" i="3"/>
  <c r="BO35" i="3"/>
  <c r="BP35" i="3"/>
  <c r="BR35" i="3"/>
  <c r="BT35" i="3"/>
  <c r="BL35" i="3"/>
  <c r="AZ35" i="3"/>
  <c r="BB36" i="3"/>
  <c r="BC36" i="3"/>
  <c r="BD36" i="3"/>
  <c r="BE36" i="3"/>
  <c r="BF36" i="3"/>
  <c r="BG36" i="3"/>
  <c r="BH36" i="3"/>
  <c r="BI36" i="3"/>
  <c r="BJ36" i="3"/>
  <c r="BK36" i="3"/>
  <c r="BA36" i="3"/>
  <c r="BM36" i="3"/>
  <c r="BN36" i="3"/>
  <c r="BO36" i="3"/>
  <c r="BP36" i="3"/>
  <c r="BR36" i="3"/>
  <c r="BT36" i="3"/>
  <c r="BL36" i="3"/>
  <c r="AZ36" i="3"/>
  <c r="BB37" i="3"/>
  <c r="BC37" i="3"/>
  <c r="BD37" i="3"/>
  <c r="BE37" i="3"/>
  <c r="BF37" i="3"/>
  <c r="BG37" i="3"/>
  <c r="BH37" i="3"/>
  <c r="BI37" i="3"/>
  <c r="BJ37" i="3"/>
  <c r="BK37" i="3"/>
  <c r="BA37" i="3"/>
  <c r="BM37" i="3"/>
  <c r="BN37" i="3"/>
  <c r="BO37" i="3"/>
  <c r="BP37" i="3"/>
  <c r="BR37" i="3"/>
  <c r="BT37" i="3"/>
  <c r="BL37" i="3"/>
  <c r="AZ37" i="3"/>
  <c r="BB38" i="3"/>
  <c r="BC38" i="3"/>
  <c r="BD38" i="3"/>
  <c r="BE38" i="3"/>
  <c r="BF38" i="3"/>
  <c r="BG38" i="3"/>
  <c r="BH38" i="3"/>
  <c r="BI38" i="3"/>
  <c r="BJ38" i="3"/>
  <c r="BK38" i="3"/>
  <c r="BA38" i="3"/>
  <c r="BM38" i="3"/>
  <c r="BN38" i="3"/>
  <c r="BO38" i="3"/>
  <c r="BP38" i="3"/>
  <c r="BR38" i="3"/>
  <c r="BT38" i="3"/>
  <c r="BL38" i="3"/>
  <c r="AZ38" i="3"/>
  <c r="BB39" i="3"/>
  <c r="BC39" i="3"/>
  <c r="BD39" i="3"/>
  <c r="BE39" i="3"/>
  <c r="BF39" i="3"/>
  <c r="BG39" i="3"/>
  <c r="BH39" i="3"/>
  <c r="BI39" i="3"/>
  <c r="BJ39" i="3"/>
  <c r="BK39" i="3"/>
  <c r="BA39" i="3"/>
  <c r="BM39" i="3"/>
  <c r="BN39" i="3"/>
  <c r="BO39" i="3"/>
  <c r="BP39" i="3"/>
  <c r="BR39" i="3"/>
  <c r="BT39" i="3"/>
  <c r="BL39" i="3"/>
  <c r="AZ39" i="3"/>
  <c r="BB40" i="3"/>
  <c r="BC40" i="3"/>
  <c r="BD40" i="3"/>
  <c r="BE40" i="3"/>
  <c r="BF40" i="3"/>
  <c r="BG40" i="3"/>
  <c r="BH40" i="3"/>
  <c r="BI40" i="3"/>
  <c r="BJ40" i="3"/>
  <c r="BK40" i="3"/>
  <c r="BA40" i="3"/>
  <c r="BM40" i="3"/>
  <c r="BN40" i="3"/>
  <c r="BO40" i="3"/>
  <c r="BP40" i="3"/>
  <c r="BR40" i="3"/>
  <c r="BT40" i="3"/>
  <c r="BL40" i="3"/>
  <c r="AZ40" i="3"/>
  <c r="BB41" i="3"/>
  <c r="BC41" i="3"/>
  <c r="BD41" i="3"/>
  <c r="BE41" i="3"/>
  <c r="BF41" i="3"/>
  <c r="BG41" i="3"/>
  <c r="BH41" i="3"/>
  <c r="BI41" i="3"/>
  <c r="BJ41" i="3"/>
  <c r="BK41" i="3"/>
  <c r="BA41" i="3"/>
  <c r="BM41" i="3"/>
  <c r="BN41" i="3"/>
  <c r="BO41" i="3"/>
  <c r="BP41" i="3"/>
  <c r="BR41" i="3"/>
  <c r="BT41" i="3"/>
  <c r="BL41" i="3"/>
  <c r="AZ41" i="3"/>
  <c r="BB42" i="3"/>
  <c r="BC42" i="3"/>
  <c r="BD42" i="3"/>
  <c r="BE42" i="3"/>
  <c r="BF42" i="3"/>
  <c r="BG42" i="3"/>
  <c r="BH42" i="3"/>
  <c r="BI42" i="3"/>
  <c r="BJ42" i="3"/>
  <c r="BK42" i="3"/>
  <c r="BA42" i="3"/>
  <c r="BM42" i="3"/>
  <c r="BN42" i="3"/>
  <c r="BO42" i="3"/>
  <c r="BP42" i="3"/>
  <c r="BR42" i="3"/>
  <c r="BT42" i="3"/>
  <c r="BL42" i="3"/>
  <c r="AZ42" i="3"/>
  <c r="BB43" i="3"/>
  <c r="BC43" i="3"/>
  <c r="BD43" i="3"/>
  <c r="BE43" i="3"/>
  <c r="BF43" i="3"/>
  <c r="BG43" i="3"/>
  <c r="BH43" i="3"/>
  <c r="BI43" i="3"/>
  <c r="BJ43" i="3"/>
  <c r="BK43" i="3"/>
  <c r="BA43" i="3"/>
  <c r="BM43" i="3"/>
  <c r="BN43" i="3"/>
  <c r="BO43" i="3"/>
  <c r="BP43" i="3"/>
  <c r="BR43" i="3"/>
  <c r="BT43" i="3"/>
  <c r="BL43" i="3"/>
  <c r="AZ43" i="3"/>
  <c r="BB44" i="3"/>
  <c r="BC44" i="3"/>
  <c r="BD44" i="3"/>
  <c r="BE44" i="3"/>
  <c r="BF44" i="3"/>
  <c r="BG44" i="3"/>
  <c r="BH44" i="3"/>
  <c r="BI44" i="3"/>
  <c r="BJ44" i="3"/>
  <c r="BK44" i="3"/>
  <c r="BA44" i="3"/>
  <c r="BM44" i="3"/>
  <c r="BN44" i="3"/>
  <c r="BO44" i="3"/>
  <c r="BP44" i="3"/>
  <c r="BR44" i="3"/>
  <c r="BT44" i="3"/>
  <c r="BL44" i="3"/>
  <c r="AZ44" i="3"/>
  <c r="BB45" i="3"/>
  <c r="BC45" i="3"/>
  <c r="BD45" i="3"/>
  <c r="BE45" i="3"/>
  <c r="BF45" i="3"/>
  <c r="BG45" i="3"/>
  <c r="BH45" i="3"/>
  <c r="BI45" i="3"/>
  <c r="BJ45" i="3"/>
  <c r="BK45" i="3"/>
  <c r="BA45" i="3"/>
  <c r="BM45" i="3"/>
  <c r="BN45" i="3"/>
  <c r="BO45" i="3"/>
  <c r="BP45" i="3"/>
  <c r="BR45" i="3"/>
  <c r="BT45" i="3"/>
  <c r="BL45" i="3"/>
  <c r="AZ45" i="3"/>
  <c r="BB46" i="3"/>
  <c r="BC46" i="3"/>
  <c r="BD46" i="3"/>
  <c r="BE46" i="3"/>
  <c r="BF46" i="3"/>
  <c r="BG46" i="3"/>
  <c r="BH46" i="3"/>
  <c r="BI46" i="3"/>
  <c r="BJ46" i="3"/>
  <c r="BK46" i="3"/>
  <c r="BA46" i="3"/>
  <c r="BM46" i="3"/>
  <c r="BN46" i="3"/>
  <c r="BO46" i="3"/>
  <c r="BP46" i="3"/>
  <c r="BR46" i="3"/>
  <c r="BT46" i="3"/>
  <c r="BL46" i="3"/>
  <c r="AZ46" i="3"/>
  <c r="BB47" i="3"/>
  <c r="BC47" i="3"/>
  <c r="BD47" i="3"/>
  <c r="BE47" i="3"/>
  <c r="BF47" i="3"/>
  <c r="BG47" i="3"/>
  <c r="BH47" i="3"/>
  <c r="BI47" i="3"/>
  <c r="BJ47" i="3"/>
  <c r="BK47" i="3"/>
  <c r="BA47" i="3"/>
  <c r="BM47" i="3"/>
  <c r="BN47" i="3"/>
  <c r="BO47" i="3"/>
  <c r="BP47" i="3"/>
  <c r="BR47" i="3"/>
  <c r="BT47" i="3"/>
  <c r="BL47" i="3"/>
  <c r="AZ47" i="3"/>
  <c r="BB48" i="3"/>
  <c r="BC48" i="3"/>
  <c r="BD48" i="3"/>
  <c r="BE48" i="3"/>
  <c r="BF48" i="3"/>
  <c r="BG48" i="3"/>
  <c r="BH48" i="3"/>
  <c r="BI48" i="3"/>
  <c r="BJ48" i="3"/>
  <c r="BK48" i="3"/>
  <c r="BA48" i="3"/>
  <c r="BM48" i="3"/>
  <c r="BN48" i="3"/>
  <c r="BO48" i="3"/>
  <c r="BP48" i="3"/>
  <c r="BR48" i="3"/>
  <c r="BT48" i="3"/>
  <c r="BL48" i="3"/>
  <c r="AZ48" i="3"/>
  <c r="BB49" i="3"/>
  <c r="BC49" i="3"/>
  <c r="BD49" i="3"/>
  <c r="BE49" i="3"/>
  <c r="BF49" i="3"/>
  <c r="BG49" i="3"/>
  <c r="BH49" i="3"/>
  <c r="BI49" i="3"/>
  <c r="BJ49" i="3"/>
  <c r="BK49" i="3"/>
  <c r="BA49" i="3"/>
  <c r="BM49" i="3"/>
  <c r="BN49" i="3"/>
  <c r="BO49" i="3"/>
  <c r="BP49" i="3"/>
  <c r="BR49" i="3"/>
  <c r="BT49" i="3"/>
  <c r="BL49" i="3"/>
  <c r="AZ49" i="3"/>
  <c r="BB50" i="3"/>
  <c r="BC50" i="3"/>
  <c r="BD50" i="3"/>
  <c r="BE50" i="3"/>
  <c r="BF50" i="3"/>
  <c r="BG50" i="3"/>
  <c r="BH50" i="3"/>
  <c r="BI50" i="3"/>
  <c r="BJ50" i="3"/>
  <c r="BK50" i="3"/>
  <c r="BA50" i="3"/>
  <c r="BM50" i="3"/>
  <c r="BN50" i="3"/>
  <c r="BO50" i="3"/>
  <c r="BP50" i="3"/>
  <c r="BR50" i="3"/>
  <c r="BT50" i="3"/>
  <c r="BL50" i="3"/>
  <c r="AZ50" i="3"/>
  <c r="BB51" i="3"/>
  <c r="BC51" i="3"/>
  <c r="BD51" i="3"/>
  <c r="BE51" i="3"/>
  <c r="BF51" i="3"/>
  <c r="BG51" i="3"/>
  <c r="BH51" i="3"/>
  <c r="BI51" i="3"/>
  <c r="BJ51" i="3"/>
  <c r="BK51" i="3"/>
  <c r="BA51" i="3"/>
  <c r="BM51" i="3"/>
  <c r="BN51" i="3"/>
  <c r="BO51" i="3"/>
  <c r="BP51" i="3"/>
  <c r="BR51" i="3"/>
  <c r="BT51" i="3"/>
  <c r="BL51" i="3"/>
  <c r="AZ51" i="3"/>
  <c r="BB52" i="3"/>
  <c r="BC52" i="3"/>
  <c r="BD52" i="3"/>
  <c r="BE52" i="3"/>
  <c r="BF52" i="3"/>
  <c r="BG52" i="3"/>
  <c r="BH52" i="3"/>
  <c r="BI52" i="3"/>
  <c r="BJ52" i="3"/>
  <c r="BK52" i="3"/>
  <c r="BA52" i="3"/>
  <c r="BM52" i="3"/>
  <c r="BN52" i="3"/>
  <c r="BO52" i="3"/>
  <c r="BP52" i="3"/>
  <c r="BR52" i="3"/>
  <c r="BT52" i="3"/>
  <c r="BL52" i="3"/>
  <c r="AZ52" i="3"/>
  <c r="BB53" i="3"/>
  <c r="BC53" i="3"/>
  <c r="BD53" i="3"/>
  <c r="BE53" i="3"/>
  <c r="BF53" i="3"/>
  <c r="BG53" i="3"/>
  <c r="BH53" i="3"/>
  <c r="BI53" i="3"/>
  <c r="BJ53" i="3"/>
  <c r="BK53" i="3"/>
  <c r="BA53" i="3"/>
  <c r="BM53" i="3"/>
  <c r="BN53" i="3"/>
  <c r="BO53" i="3"/>
  <c r="BP53" i="3"/>
  <c r="BR53" i="3"/>
  <c r="BT53" i="3"/>
  <c r="BL53" i="3"/>
  <c r="AZ53" i="3"/>
  <c r="BB54" i="3"/>
  <c r="BC54" i="3"/>
  <c r="BD54" i="3"/>
  <c r="BE54" i="3"/>
  <c r="BF54" i="3"/>
  <c r="BG54" i="3"/>
  <c r="BH54" i="3"/>
  <c r="BI54" i="3"/>
  <c r="BJ54" i="3"/>
  <c r="BK54" i="3"/>
  <c r="BA54" i="3"/>
  <c r="BM54" i="3"/>
  <c r="BN54" i="3"/>
  <c r="BO54" i="3"/>
  <c r="BP54" i="3"/>
  <c r="BR54" i="3"/>
  <c r="BT54" i="3"/>
  <c r="BL54" i="3"/>
  <c r="AZ54" i="3"/>
  <c r="BB55" i="3"/>
  <c r="BC55" i="3"/>
  <c r="BD55" i="3"/>
  <c r="BE55" i="3"/>
  <c r="BF55" i="3"/>
  <c r="BG55" i="3"/>
  <c r="BH55" i="3"/>
  <c r="BI55" i="3"/>
  <c r="BJ55" i="3"/>
  <c r="BK55" i="3"/>
  <c r="BA55" i="3"/>
  <c r="BM55" i="3"/>
  <c r="BN55" i="3"/>
  <c r="BO55" i="3"/>
  <c r="BP55" i="3"/>
  <c r="BR55" i="3"/>
  <c r="BT55" i="3"/>
  <c r="BL55" i="3"/>
  <c r="AZ55" i="3"/>
  <c r="BB56" i="3"/>
  <c r="BC56" i="3"/>
  <c r="BD56" i="3"/>
  <c r="BE56" i="3"/>
  <c r="BF56" i="3"/>
  <c r="BG56" i="3"/>
  <c r="BH56" i="3"/>
  <c r="BI56" i="3"/>
  <c r="BJ56" i="3"/>
  <c r="BK56" i="3"/>
  <c r="BA56" i="3"/>
  <c r="BM56" i="3"/>
  <c r="BN56" i="3"/>
  <c r="BO56" i="3"/>
  <c r="BP56" i="3"/>
  <c r="BR56" i="3"/>
  <c r="BT56" i="3"/>
  <c r="BL56" i="3"/>
  <c r="AZ56" i="3"/>
  <c r="BB57" i="3"/>
  <c r="BC57" i="3"/>
  <c r="BD57" i="3"/>
  <c r="BE57" i="3"/>
  <c r="BF57" i="3"/>
  <c r="BG57" i="3"/>
  <c r="BH57" i="3"/>
  <c r="BI57" i="3"/>
  <c r="BJ57" i="3"/>
  <c r="BK57" i="3"/>
  <c r="BA57" i="3"/>
  <c r="BM57" i="3"/>
  <c r="BN57" i="3"/>
  <c r="BO57" i="3"/>
  <c r="BP57" i="3"/>
  <c r="BR57" i="3"/>
  <c r="BT57" i="3"/>
  <c r="BL57" i="3"/>
  <c r="AZ57" i="3"/>
  <c r="BB58" i="3"/>
  <c r="BC58" i="3"/>
  <c r="BD58" i="3"/>
  <c r="BE58" i="3"/>
  <c r="BF58" i="3"/>
  <c r="BG58" i="3"/>
  <c r="BH58" i="3"/>
  <c r="BI58" i="3"/>
  <c r="BJ58" i="3"/>
  <c r="BK58" i="3"/>
  <c r="BA58" i="3"/>
  <c r="BM58" i="3"/>
  <c r="BN58" i="3"/>
  <c r="BO58" i="3"/>
  <c r="BP58" i="3"/>
  <c r="BR58" i="3"/>
  <c r="BT58" i="3"/>
  <c r="BL58" i="3"/>
  <c r="AZ58" i="3"/>
  <c r="BB59" i="3"/>
  <c r="BC59" i="3"/>
  <c r="BD59" i="3"/>
  <c r="BE59" i="3"/>
  <c r="BF59" i="3"/>
  <c r="BG59" i="3"/>
  <c r="BH59" i="3"/>
  <c r="BI59" i="3"/>
  <c r="BJ59" i="3"/>
  <c r="BK59" i="3"/>
  <c r="BA59" i="3"/>
  <c r="BM59" i="3"/>
  <c r="BN59" i="3"/>
  <c r="BO59" i="3"/>
  <c r="BP59" i="3"/>
  <c r="BR59" i="3"/>
  <c r="BT59" i="3"/>
  <c r="BL59" i="3"/>
  <c r="AZ59" i="3"/>
  <c r="BB60" i="3"/>
  <c r="BC60" i="3"/>
  <c r="BD60" i="3"/>
  <c r="BE60" i="3"/>
  <c r="BF60" i="3"/>
  <c r="BG60" i="3"/>
  <c r="BH60" i="3"/>
  <c r="BI60" i="3"/>
  <c r="BJ60" i="3"/>
  <c r="BK60" i="3"/>
  <c r="BA60" i="3"/>
  <c r="BM60" i="3"/>
  <c r="BN60" i="3"/>
  <c r="BO60" i="3"/>
  <c r="BP60" i="3"/>
  <c r="BR60" i="3"/>
  <c r="BT60" i="3"/>
  <c r="BL60" i="3"/>
  <c r="AZ60" i="3"/>
  <c r="BB61" i="3"/>
  <c r="BC61" i="3"/>
  <c r="BD61" i="3"/>
  <c r="BE61" i="3"/>
  <c r="BF61" i="3"/>
  <c r="BG61" i="3"/>
  <c r="BH61" i="3"/>
  <c r="BI61" i="3"/>
  <c r="BJ61" i="3"/>
  <c r="BK61" i="3"/>
  <c r="BA61" i="3"/>
  <c r="BM61" i="3"/>
  <c r="BN61" i="3"/>
  <c r="BO61" i="3"/>
  <c r="BP61" i="3"/>
  <c r="BR61" i="3"/>
  <c r="BT61" i="3"/>
  <c r="BL61" i="3"/>
  <c r="AZ61" i="3"/>
  <c r="BB62" i="3"/>
  <c r="BC62" i="3"/>
  <c r="BD62" i="3"/>
  <c r="BE62" i="3"/>
  <c r="BF62" i="3"/>
  <c r="BG62" i="3"/>
  <c r="BH62" i="3"/>
  <c r="BI62" i="3"/>
  <c r="BJ62" i="3"/>
  <c r="BK62" i="3"/>
  <c r="BA62" i="3"/>
  <c r="BM62" i="3"/>
  <c r="BN62" i="3"/>
  <c r="BO62" i="3"/>
  <c r="BP62" i="3"/>
  <c r="BR62" i="3"/>
  <c r="BT62" i="3"/>
  <c r="BL62" i="3"/>
  <c r="AZ62" i="3"/>
  <c r="BB63" i="3"/>
  <c r="BC63" i="3"/>
  <c r="BD63" i="3"/>
  <c r="BE63" i="3"/>
  <c r="BF63" i="3"/>
  <c r="BG63" i="3"/>
  <c r="BH63" i="3"/>
  <c r="BI63" i="3"/>
  <c r="BJ63" i="3"/>
  <c r="BK63" i="3"/>
  <c r="BA63" i="3"/>
  <c r="BM63" i="3"/>
  <c r="BN63" i="3"/>
  <c r="BO63" i="3"/>
  <c r="BP63" i="3"/>
  <c r="BR63" i="3"/>
  <c r="BT63" i="3"/>
  <c r="BL63" i="3"/>
  <c r="AZ63" i="3"/>
  <c r="BB64" i="3"/>
  <c r="BC64" i="3"/>
  <c r="BD64" i="3"/>
  <c r="BE64" i="3"/>
  <c r="BF64" i="3"/>
  <c r="BG64" i="3"/>
  <c r="BH64" i="3"/>
  <c r="BI64" i="3"/>
  <c r="BJ64" i="3"/>
  <c r="BK64" i="3"/>
  <c r="BA64" i="3"/>
  <c r="BM64" i="3"/>
  <c r="BN64" i="3"/>
  <c r="BO64" i="3"/>
  <c r="BP64" i="3"/>
  <c r="BR64" i="3"/>
  <c r="BT64" i="3"/>
  <c r="BL64" i="3"/>
  <c r="AZ64" i="3"/>
  <c r="BB65" i="3"/>
  <c r="BC65" i="3"/>
  <c r="BD65" i="3"/>
  <c r="BE65" i="3"/>
  <c r="BF65" i="3"/>
  <c r="BG65" i="3"/>
  <c r="BH65" i="3"/>
  <c r="BI65" i="3"/>
  <c r="BJ65" i="3"/>
  <c r="BK65" i="3"/>
  <c r="BA65" i="3"/>
  <c r="BM65" i="3"/>
  <c r="BN65" i="3"/>
  <c r="BO65" i="3"/>
  <c r="BP65" i="3"/>
  <c r="BR65" i="3"/>
  <c r="BT65" i="3"/>
  <c r="BL65" i="3"/>
  <c r="AZ65" i="3"/>
  <c r="BB66" i="3"/>
  <c r="BC66" i="3"/>
  <c r="BD66" i="3"/>
  <c r="BE66" i="3"/>
  <c r="BF66" i="3"/>
  <c r="BG66" i="3"/>
  <c r="BH66" i="3"/>
  <c r="BI66" i="3"/>
  <c r="BJ66" i="3"/>
  <c r="BK66" i="3"/>
  <c r="BA66" i="3"/>
  <c r="BM66" i="3"/>
  <c r="BN66" i="3"/>
  <c r="BO66" i="3"/>
  <c r="BP66" i="3"/>
  <c r="BR66" i="3"/>
  <c r="BT66" i="3"/>
  <c r="BL66" i="3"/>
  <c r="AZ66" i="3"/>
  <c r="BB67" i="3"/>
  <c r="BC67" i="3"/>
  <c r="BD67" i="3"/>
  <c r="BE67" i="3"/>
  <c r="BF67" i="3"/>
  <c r="BG67" i="3"/>
  <c r="BH67" i="3"/>
  <c r="BI67" i="3"/>
  <c r="BJ67" i="3"/>
  <c r="BK67" i="3"/>
  <c r="BA67" i="3"/>
  <c r="BM67" i="3"/>
  <c r="BN67" i="3"/>
  <c r="BO67" i="3"/>
  <c r="BP67" i="3"/>
  <c r="BR67" i="3"/>
  <c r="BT67" i="3"/>
  <c r="BL67" i="3"/>
  <c r="AZ67" i="3"/>
  <c r="BB68" i="3"/>
  <c r="BC68" i="3"/>
  <c r="BD68" i="3"/>
  <c r="BE68" i="3"/>
  <c r="BF68" i="3"/>
  <c r="BG68" i="3"/>
  <c r="BH68" i="3"/>
  <c r="BI68" i="3"/>
  <c r="BJ68" i="3"/>
  <c r="BK68" i="3"/>
  <c r="BA68" i="3"/>
  <c r="BM68" i="3"/>
  <c r="BN68" i="3"/>
  <c r="BO68" i="3"/>
  <c r="BP68" i="3"/>
  <c r="BR68" i="3"/>
  <c r="BT68" i="3"/>
  <c r="BL68" i="3"/>
  <c r="AZ68" i="3"/>
  <c r="BB69" i="3"/>
  <c r="BC69" i="3"/>
  <c r="BD69" i="3"/>
  <c r="BE69" i="3"/>
  <c r="BF69" i="3"/>
  <c r="BG69" i="3"/>
  <c r="BH69" i="3"/>
  <c r="BI69" i="3"/>
  <c r="BJ69" i="3"/>
  <c r="BK69" i="3"/>
  <c r="BA69" i="3"/>
  <c r="BM69" i="3"/>
  <c r="BN69" i="3"/>
  <c r="BO69" i="3"/>
  <c r="BP69" i="3"/>
  <c r="BR69" i="3"/>
  <c r="BT69" i="3"/>
  <c r="BL69" i="3"/>
  <c r="AZ69" i="3"/>
  <c r="BB70" i="3"/>
  <c r="BC70" i="3"/>
  <c r="BD70" i="3"/>
  <c r="BE70" i="3"/>
  <c r="BF70" i="3"/>
  <c r="BG70" i="3"/>
  <c r="BH70" i="3"/>
  <c r="BI70" i="3"/>
  <c r="BJ70" i="3"/>
  <c r="BK70" i="3"/>
  <c r="BA70" i="3"/>
  <c r="BM70" i="3"/>
  <c r="BN70" i="3"/>
  <c r="BO70" i="3"/>
  <c r="BP70" i="3"/>
  <c r="BR70" i="3"/>
  <c r="BT70" i="3"/>
  <c r="BL70" i="3"/>
  <c r="AZ70" i="3"/>
  <c r="BB71" i="3"/>
  <c r="BC71" i="3"/>
  <c r="BD71" i="3"/>
  <c r="BE71" i="3"/>
  <c r="BF71" i="3"/>
  <c r="BG71" i="3"/>
  <c r="BH71" i="3"/>
  <c r="BI71" i="3"/>
  <c r="BJ71" i="3"/>
  <c r="BK71" i="3"/>
  <c r="BA71" i="3"/>
  <c r="BM71" i="3"/>
  <c r="BN71" i="3"/>
  <c r="BO71" i="3"/>
  <c r="BP71" i="3"/>
  <c r="BR71" i="3"/>
  <c r="BT71" i="3"/>
  <c r="BL71" i="3"/>
  <c r="AZ71" i="3"/>
  <c r="BB72" i="3"/>
  <c r="BC72" i="3"/>
  <c r="BD72" i="3"/>
  <c r="BE72" i="3"/>
  <c r="BF72" i="3"/>
  <c r="BG72" i="3"/>
  <c r="BH72" i="3"/>
  <c r="BI72" i="3"/>
  <c r="BJ72" i="3"/>
  <c r="BK72" i="3"/>
  <c r="BA72" i="3"/>
  <c r="BM72" i="3"/>
  <c r="BN72" i="3"/>
  <c r="BO72" i="3"/>
  <c r="BP72" i="3"/>
  <c r="BR72" i="3"/>
  <c r="BT72" i="3"/>
  <c r="BL72" i="3"/>
  <c r="AZ72" i="3"/>
  <c r="BB73" i="3"/>
  <c r="BC73" i="3"/>
  <c r="BD73" i="3"/>
  <c r="BE73" i="3"/>
  <c r="BF73" i="3"/>
  <c r="BG73" i="3"/>
  <c r="BH73" i="3"/>
  <c r="BI73" i="3"/>
  <c r="BJ73" i="3"/>
  <c r="BK73" i="3"/>
  <c r="BA73" i="3"/>
  <c r="BM73" i="3"/>
  <c r="BN73" i="3"/>
  <c r="BO73" i="3"/>
  <c r="BP73" i="3"/>
  <c r="BR73" i="3"/>
  <c r="BT73" i="3"/>
  <c r="BL73" i="3"/>
  <c r="AZ73" i="3"/>
  <c r="BB74" i="3"/>
  <c r="BC74" i="3"/>
  <c r="BD74" i="3"/>
  <c r="BE74" i="3"/>
  <c r="BF74" i="3"/>
  <c r="BG74" i="3"/>
  <c r="BH74" i="3"/>
  <c r="BI74" i="3"/>
  <c r="BJ74" i="3"/>
  <c r="BK74" i="3"/>
  <c r="BA74" i="3"/>
  <c r="BM74" i="3"/>
  <c r="BN74" i="3"/>
  <c r="BO74" i="3"/>
  <c r="BP74" i="3"/>
  <c r="BR74" i="3"/>
  <c r="BT74" i="3"/>
  <c r="BL74" i="3"/>
  <c r="AZ74" i="3"/>
  <c r="BB75" i="3"/>
  <c r="BC75" i="3"/>
  <c r="BD75" i="3"/>
  <c r="BE75" i="3"/>
  <c r="BF75" i="3"/>
  <c r="BG75" i="3"/>
  <c r="BH75" i="3"/>
  <c r="BI75" i="3"/>
  <c r="BJ75" i="3"/>
  <c r="BK75" i="3"/>
  <c r="BA75" i="3"/>
  <c r="BM75" i="3"/>
  <c r="BN75" i="3"/>
  <c r="BO75" i="3"/>
  <c r="BP75" i="3"/>
  <c r="BR75" i="3"/>
  <c r="BT75" i="3"/>
  <c r="BL75" i="3"/>
  <c r="AZ75" i="3"/>
  <c r="BB76" i="3"/>
  <c r="BC76" i="3"/>
  <c r="BD76" i="3"/>
  <c r="BE76" i="3"/>
  <c r="BF76" i="3"/>
  <c r="BG76" i="3"/>
  <c r="BH76" i="3"/>
  <c r="BI76" i="3"/>
  <c r="BJ76" i="3"/>
  <c r="BK76" i="3"/>
  <c r="BA76" i="3"/>
  <c r="BM76" i="3"/>
  <c r="BN76" i="3"/>
  <c r="BO76" i="3"/>
  <c r="BP76" i="3"/>
  <c r="BR76" i="3"/>
  <c r="BT76" i="3"/>
  <c r="BL76" i="3"/>
  <c r="AZ76" i="3"/>
  <c r="BB77" i="3"/>
  <c r="BC77" i="3"/>
  <c r="BD77" i="3"/>
  <c r="BE77" i="3"/>
  <c r="BF77" i="3"/>
  <c r="BG77" i="3"/>
  <c r="BH77" i="3"/>
  <c r="BI77" i="3"/>
  <c r="BJ77" i="3"/>
  <c r="BK77" i="3"/>
  <c r="BA77" i="3"/>
  <c r="BM77" i="3"/>
  <c r="BN77" i="3"/>
  <c r="BO77" i="3"/>
  <c r="BP77" i="3"/>
  <c r="BR77" i="3"/>
  <c r="BT77" i="3"/>
  <c r="BL77" i="3"/>
  <c r="AZ77" i="3"/>
  <c r="BB78" i="3"/>
  <c r="BC78" i="3"/>
  <c r="BD78" i="3"/>
  <c r="BE78" i="3"/>
  <c r="BF78" i="3"/>
  <c r="BG78" i="3"/>
  <c r="BH78" i="3"/>
  <c r="BI78" i="3"/>
  <c r="BJ78" i="3"/>
  <c r="BK78" i="3"/>
  <c r="BA78" i="3"/>
  <c r="BM78" i="3"/>
  <c r="BN78" i="3"/>
  <c r="BO78" i="3"/>
  <c r="BP78" i="3"/>
  <c r="BR78" i="3"/>
  <c r="BT78" i="3"/>
  <c r="BL78" i="3"/>
  <c r="AZ78" i="3"/>
  <c r="BB79" i="3"/>
  <c r="BC79" i="3"/>
  <c r="BD79" i="3"/>
  <c r="BE79" i="3"/>
  <c r="BF79" i="3"/>
  <c r="BG79" i="3"/>
  <c r="BH79" i="3"/>
  <c r="BI79" i="3"/>
  <c r="BJ79" i="3"/>
  <c r="BK79" i="3"/>
  <c r="BA79" i="3"/>
  <c r="BM79" i="3"/>
  <c r="BN79" i="3"/>
  <c r="BO79" i="3"/>
  <c r="BP79" i="3"/>
  <c r="BR79" i="3"/>
  <c r="BT79" i="3"/>
  <c r="BL79" i="3"/>
  <c r="AZ79" i="3"/>
  <c r="BB80" i="3"/>
  <c r="BC80" i="3"/>
  <c r="BD80" i="3"/>
  <c r="BE80" i="3"/>
  <c r="BF80" i="3"/>
  <c r="BG80" i="3"/>
  <c r="BH80" i="3"/>
  <c r="BI80" i="3"/>
  <c r="BJ80" i="3"/>
  <c r="BK80" i="3"/>
  <c r="BA80" i="3"/>
  <c r="BM80" i="3"/>
  <c r="BN80" i="3"/>
  <c r="BO80" i="3"/>
  <c r="BP80" i="3"/>
  <c r="BR80" i="3"/>
  <c r="BT80" i="3"/>
  <c r="BL80" i="3"/>
  <c r="AZ80" i="3"/>
  <c r="BB81" i="3"/>
  <c r="BC81" i="3"/>
  <c r="BD81" i="3"/>
  <c r="BE81" i="3"/>
  <c r="BF81" i="3"/>
  <c r="BG81" i="3"/>
  <c r="BH81" i="3"/>
  <c r="BI81" i="3"/>
  <c r="BJ81" i="3"/>
  <c r="BK81" i="3"/>
  <c r="BA81" i="3"/>
  <c r="BM81" i="3"/>
  <c r="BN81" i="3"/>
  <c r="BO81" i="3"/>
  <c r="BP81" i="3"/>
  <c r="BR81" i="3"/>
  <c r="BT81" i="3"/>
  <c r="BL81" i="3"/>
  <c r="AZ81" i="3"/>
  <c r="BB82" i="3"/>
  <c r="BC82" i="3"/>
  <c r="BD82" i="3"/>
  <c r="BE82" i="3"/>
  <c r="BF82" i="3"/>
  <c r="BG82" i="3"/>
  <c r="BH82" i="3"/>
  <c r="BI82" i="3"/>
  <c r="BJ82" i="3"/>
  <c r="BK82" i="3"/>
  <c r="BA82" i="3"/>
  <c r="BM82" i="3"/>
  <c r="BN82" i="3"/>
  <c r="BO82" i="3"/>
  <c r="BP82" i="3"/>
  <c r="BR82" i="3"/>
  <c r="BT82" i="3"/>
  <c r="BL82" i="3"/>
  <c r="AZ82" i="3"/>
  <c r="BB83" i="3"/>
  <c r="BC83" i="3"/>
  <c r="BD83" i="3"/>
  <c r="BE83" i="3"/>
  <c r="BF83" i="3"/>
  <c r="BG83" i="3"/>
  <c r="BH83" i="3"/>
  <c r="BI83" i="3"/>
  <c r="BJ83" i="3"/>
  <c r="BK83" i="3"/>
  <c r="BA83" i="3"/>
  <c r="BM83" i="3"/>
  <c r="BN83" i="3"/>
  <c r="BO83" i="3"/>
  <c r="BP83" i="3"/>
  <c r="BR83" i="3"/>
  <c r="BT83" i="3"/>
  <c r="BL83" i="3"/>
  <c r="AZ83" i="3"/>
  <c r="BB84" i="3"/>
  <c r="BC84" i="3"/>
  <c r="BD84" i="3"/>
  <c r="BE84" i="3"/>
  <c r="BF84" i="3"/>
  <c r="BG84" i="3"/>
  <c r="BH84" i="3"/>
  <c r="BI84" i="3"/>
  <c r="BJ84" i="3"/>
  <c r="BK84" i="3"/>
  <c r="BA84" i="3"/>
  <c r="BM84" i="3"/>
  <c r="BN84" i="3"/>
  <c r="BO84" i="3"/>
  <c r="BP84" i="3"/>
  <c r="BR84" i="3"/>
  <c r="BT84" i="3"/>
  <c r="BL84" i="3"/>
  <c r="AZ84" i="3"/>
  <c r="BB85" i="3"/>
  <c r="BC85" i="3"/>
  <c r="BD85" i="3"/>
  <c r="BE85" i="3"/>
  <c r="BF85" i="3"/>
  <c r="BG85" i="3"/>
  <c r="BH85" i="3"/>
  <c r="BI85" i="3"/>
  <c r="BJ85" i="3"/>
  <c r="BK85" i="3"/>
  <c r="BA85" i="3"/>
  <c r="BM85" i="3"/>
  <c r="BN85" i="3"/>
  <c r="BO85" i="3"/>
  <c r="BP85" i="3"/>
  <c r="BR85" i="3"/>
  <c r="BT85" i="3"/>
  <c r="BL85" i="3"/>
  <c r="AZ85" i="3"/>
  <c r="BB86" i="3"/>
  <c r="BC86" i="3"/>
  <c r="BD86" i="3"/>
  <c r="BE86" i="3"/>
  <c r="BF86" i="3"/>
  <c r="BG86" i="3"/>
  <c r="BH86" i="3"/>
  <c r="BI86" i="3"/>
  <c r="BJ86" i="3"/>
  <c r="BK86" i="3"/>
  <c r="BA86" i="3"/>
  <c r="BM86" i="3"/>
  <c r="BN86" i="3"/>
  <c r="BO86" i="3"/>
  <c r="BP86" i="3"/>
  <c r="BR86" i="3"/>
  <c r="BT86" i="3"/>
  <c r="BL86" i="3"/>
  <c r="AZ86" i="3"/>
  <c r="BB87" i="3"/>
  <c r="BC87" i="3"/>
  <c r="BD87" i="3"/>
  <c r="BE87" i="3"/>
  <c r="BF87" i="3"/>
  <c r="BG87" i="3"/>
  <c r="BH87" i="3"/>
  <c r="BI87" i="3"/>
  <c r="BJ87" i="3"/>
  <c r="BK87" i="3"/>
  <c r="BA87" i="3"/>
  <c r="BM87" i="3"/>
  <c r="BN87" i="3"/>
  <c r="BO87" i="3"/>
  <c r="BP87" i="3"/>
  <c r="BR87" i="3"/>
  <c r="BT87" i="3"/>
  <c r="BL87" i="3"/>
  <c r="AZ87" i="3"/>
  <c r="BB88" i="3"/>
  <c r="BC88" i="3"/>
  <c r="BD88" i="3"/>
  <c r="BE88" i="3"/>
  <c r="BF88" i="3"/>
  <c r="BG88" i="3"/>
  <c r="BH88" i="3"/>
  <c r="BI88" i="3"/>
  <c r="BJ88" i="3"/>
  <c r="BK88" i="3"/>
  <c r="BA88" i="3"/>
  <c r="BM88" i="3"/>
  <c r="BN88" i="3"/>
  <c r="BO88" i="3"/>
  <c r="BP88" i="3"/>
  <c r="BR88" i="3"/>
  <c r="BT88" i="3"/>
  <c r="BL88" i="3"/>
  <c r="AZ88" i="3"/>
  <c r="BB89" i="3"/>
  <c r="BC89" i="3"/>
  <c r="BD89" i="3"/>
  <c r="BE89" i="3"/>
  <c r="BF89" i="3"/>
  <c r="BG89" i="3"/>
  <c r="BH89" i="3"/>
  <c r="BI89" i="3"/>
  <c r="BJ89" i="3"/>
  <c r="BK89" i="3"/>
  <c r="BA89" i="3"/>
  <c r="BM89" i="3"/>
  <c r="BN89" i="3"/>
  <c r="BO89" i="3"/>
  <c r="BP89" i="3"/>
  <c r="BR89" i="3"/>
  <c r="BT89" i="3"/>
  <c r="BL89" i="3"/>
  <c r="AZ89" i="3"/>
  <c r="BB90" i="3"/>
  <c r="BC90" i="3"/>
  <c r="BD90" i="3"/>
  <c r="BE90" i="3"/>
  <c r="BF90" i="3"/>
  <c r="BG90" i="3"/>
  <c r="BH90" i="3"/>
  <c r="BI90" i="3"/>
  <c r="BJ90" i="3"/>
  <c r="BK90" i="3"/>
  <c r="BA90" i="3"/>
  <c r="BM90" i="3"/>
  <c r="BN90" i="3"/>
  <c r="BO90" i="3"/>
  <c r="BP90" i="3"/>
  <c r="BR90" i="3"/>
  <c r="BT90" i="3"/>
  <c r="BL90" i="3"/>
  <c r="AZ90" i="3"/>
  <c r="BB91" i="3"/>
  <c r="BC91" i="3"/>
  <c r="BD91" i="3"/>
  <c r="BE91" i="3"/>
  <c r="BF91" i="3"/>
  <c r="BG91" i="3"/>
  <c r="BH91" i="3"/>
  <c r="BI91" i="3"/>
  <c r="BJ91" i="3"/>
  <c r="BK91" i="3"/>
  <c r="BA91" i="3"/>
  <c r="BM91" i="3"/>
  <c r="BN91" i="3"/>
  <c r="BO91" i="3"/>
  <c r="BP91" i="3"/>
  <c r="BR91" i="3"/>
  <c r="BT91" i="3"/>
  <c r="BL91" i="3"/>
  <c r="AZ91" i="3"/>
  <c r="BB92" i="3"/>
  <c r="BC92" i="3"/>
  <c r="BD92" i="3"/>
  <c r="BE92" i="3"/>
  <c r="BF92" i="3"/>
  <c r="BG92" i="3"/>
  <c r="BH92" i="3"/>
  <c r="BI92" i="3"/>
  <c r="BJ92" i="3"/>
  <c r="BK92" i="3"/>
  <c r="BA92" i="3"/>
  <c r="BM92" i="3"/>
  <c r="BN92" i="3"/>
  <c r="BO92" i="3"/>
  <c r="BP92" i="3"/>
  <c r="BR92" i="3"/>
  <c r="BT92" i="3"/>
  <c r="BL92" i="3"/>
  <c r="AZ92" i="3"/>
  <c r="BB93" i="3"/>
  <c r="BC93" i="3"/>
  <c r="BD93" i="3"/>
  <c r="BE93" i="3"/>
  <c r="BF93" i="3"/>
  <c r="BG93" i="3"/>
  <c r="BH93" i="3"/>
  <c r="BI93" i="3"/>
  <c r="BJ93" i="3"/>
  <c r="BK93" i="3"/>
  <c r="BA93" i="3"/>
  <c r="BM93" i="3"/>
  <c r="BN93" i="3"/>
  <c r="BO93" i="3"/>
  <c r="BP93" i="3"/>
  <c r="BR93" i="3"/>
  <c r="BT93" i="3"/>
  <c r="BL93" i="3"/>
  <c r="AZ93" i="3"/>
  <c r="BB94" i="3"/>
  <c r="BC94" i="3"/>
  <c r="BD94" i="3"/>
  <c r="BE94" i="3"/>
  <c r="BF94" i="3"/>
  <c r="BG94" i="3"/>
  <c r="BH94" i="3"/>
  <c r="BI94" i="3"/>
  <c r="BJ94" i="3"/>
  <c r="BK94" i="3"/>
  <c r="BA94" i="3"/>
  <c r="BM94" i="3"/>
  <c r="BN94" i="3"/>
  <c r="BO94" i="3"/>
  <c r="BP94" i="3"/>
  <c r="BR94" i="3"/>
  <c r="BT94" i="3"/>
  <c r="BL94" i="3"/>
  <c r="AZ94" i="3"/>
  <c r="BB95" i="3"/>
  <c r="BC95" i="3"/>
  <c r="BD95" i="3"/>
  <c r="BE95" i="3"/>
  <c r="BF95" i="3"/>
  <c r="BG95" i="3"/>
  <c r="BH95" i="3"/>
  <c r="BI95" i="3"/>
  <c r="BJ95" i="3"/>
  <c r="BK95" i="3"/>
  <c r="BA95" i="3"/>
  <c r="BM95" i="3"/>
  <c r="BN95" i="3"/>
  <c r="BO95" i="3"/>
  <c r="BP95" i="3"/>
  <c r="BR95" i="3"/>
  <c r="BT95" i="3"/>
  <c r="BL95" i="3"/>
  <c r="AZ95" i="3"/>
  <c r="BB96" i="3"/>
  <c r="BC96" i="3"/>
  <c r="BD96" i="3"/>
  <c r="BE96" i="3"/>
  <c r="BF96" i="3"/>
  <c r="BG96" i="3"/>
  <c r="BH96" i="3"/>
  <c r="BI96" i="3"/>
  <c r="BJ96" i="3"/>
  <c r="BK96" i="3"/>
  <c r="BA96" i="3"/>
  <c r="BM96" i="3"/>
  <c r="BN96" i="3"/>
  <c r="BO96" i="3"/>
  <c r="BP96" i="3"/>
  <c r="BR96" i="3"/>
  <c r="BT96" i="3"/>
  <c r="BL96" i="3"/>
  <c r="AZ96" i="3"/>
  <c r="BB97" i="3"/>
  <c r="BC97" i="3"/>
  <c r="BD97" i="3"/>
  <c r="BE97" i="3"/>
  <c r="BF97" i="3"/>
  <c r="BG97" i="3"/>
  <c r="BH97" i="3"/>
  <c r="BI97" i="3"/>
  <c r="BJ97" i="3"/>
  <c r="BK97" i="3"/>
  <c r="BA97" i="3"/>
  <c r="BM97" i="3"/>
  <c r="BN97" i="3"/>
  <c r="BO97" i="3"/>
  <c r="BP97" i="3"/>
  <c r="BR97" i="3"/>
  <c r="BT97" i="3"/>
  <c r="BL97" i="3"/>
  <c r="AZ97" i="3"/>
  <c r="BB98" i="3"/>
  <c r="BC98" i="3"/>
  <c r="BD98" i="3"/>
  <c r="BE98" i="3"/>
  <c r="BF98" i="3"/>
  <c r="BG98" i="3"/>
  <c r="BH98" i="3"/>
  <c r="BI98" i="3"/>
  <c r="BJ98" i="3"/>
  <c r="BK98" i="3"/>
  <c r="BA98" i="3"/>
  <c r="BM98" i="3"/>
  <c r="BN98" i="3"/>
  <c r="BO98" i="3"/>
  <c r="BP98" i="3"/>
  <c r="BR98" i="3"/>
  <c r="BT98" i="3"/>
  <c r="BL98" i="3"/>
  <c r="AZ98" i="3"/>
  <c r="BB99" i="3"/>
  <c r="BC99" i="3"/>
  <c r="BD99" i="3"/>
  <c r="BE99" i="3"/>
  <c r="BF99" i="3"/>
  <c r="BG99" i="3"/>
  <c r="BH99" i="3"/>
  <c r="BI99" i="3"/>
  <c r="BJ99" i="3"/>
  <c r="BK99" i="3"/>
  <c r="BA99" i="3"/>
  <c r="BM99" i="3"/>
  <c r="BN99" i="3"/>
  <c r="BO99" i="3"/>
  <c r="BP99" i="3"/>
  <c r="BR99" i="3"/>
  <c r="BT99" i="3"/>
  <c r="BL99" i="3"/>
  <c r="AZ99" i="3"/>
  <c r="BB100" i="3"/>
  <c r="BC100" i="3"/>
  <c r="BD100" i="3"/>
  <c r="BE100" i="3"/>
  <c r="BF100" i="3"/>
  <c r="BG100" i="3"/>
  <c r="BH100" i="3"/>
  <c r="BI100" i="3"/>
  <c r="BJ100" i="3"/>
  <c r="BK100" i="3"/>
  <c r="BA100" i="3"/>
  <c r="BM100" i="3"/>
  <c r="BN100" i="3"/>
  <c r="BO100" i="3"/>
  <c r="BP100" i="3"/>
  <c r="BR100" i="3"/>
  <c r="BT100" i="3"/>
  <c r="BL100" i="3"/>
  <c r="AZ100" i="3"/>
  <c r="BB101" i="3"/>
  <c r="BC101" i="3"/>
  <c r="BD101" i="3"/>
  <c r="BE101" i="3"/>
  <c r="BF101" i="3"/>
  <c r="BG101" i="3"/>
  <c r="BH101" i="3"/>
  <c r="BI101" i="3"/>
  <c r="BJ101" i="3"/>
  <c r="BK101" i="3"/>
  <c r="BA101" i="3"/>
  <c r="BM101" i="3"/>
  <c r="BN101" i="3"/>
  <c r="BO101" i="3"/>
  <c r="BP101" i="3"/>
  <c r="BR101" i="3"/>
  <c r="BT101" i="3"/>
  <c r="BL101" i="3"/>
  <c r="AZ101" i="3"/>
  <c r="BB102" i="3"/>
  <c r="BC102" i="3"/>
  <c r="BD102" i="3"/>
  <c r="BE102" i="3"/>
  <c r="BF102" i="3"/>
  <c r="BG102" i="3"/>
  <c r="BH102" i="3"/>
  <c r="BI102" i="3"/>
  <c r="BJ102" i="3"/>
  <c r="BK102" i="3"/>
  <c r="BA102" i="3"/>
  <c r="BM102" i="3"/>
  <c r="BN102" i="3"/>
  <c r="BO102" i="3"/>
  <c r="BP102" i="3"/>
  <c r="BR102" i="3"/>
  <c r="BT102" i="3"/>
  <c r="BL102" i="3"/>
  <c r="AZ102" i="3"/>
  <c r="BB103" i="3"/>
  <c r="BC103" i="3"/>
  <c r="BD103" i="3"/>
  <c r="BE103" i="3"/>
  <c r="BF103" i="3"/>
  <c r="BG103" i="3"/>
  <c r="BH103" i="3"/>
  <c r="BI103" i="3"/>
  <c r="BJ103" i="3"/>
  <c r="BK103" i="3"/>
  <c r="BA103" i="3"/>
  <c r="BM103" i="3"/>
  <c r="BN103" i="3"/>
  <c r="BO103" i="3"/>
  <c r="BP103" i="3"/>
  <c r="BR103" i="3"/>
  <c r="BT103" i="3"/>
  <c r="BL103" i="3"/>
  <c r="AZ103" i="3"/>
  <c r="BB104" i="3"/>
  <c r="BC104" i="3"/>
  <c r="BD104" i="3"/>
  <c r="BE104" i="3"/>
  <c r="BF104" i="3"/>
  <c r="BG104" i="3"/>
  <c r="BH104" i="3"/>
  <c r="BI104" i="3"/>
  <c r="BJ104" i="3"/>
  <c r="BK104" i="3"/>
  <c r="BA104" i="3"/>
  <c r="BM104" i="3"/>
  <c r="BN104" i="3"/>
  <c r="BO104" i="3"/>
  <c r="BP104" i="3"/>
  <c r="BR104" i="3"/>
  <c r="BT104" i="3"/>
  <c r="BL104" i="3"/>
  <c r="AZ104" i="3"/>
  <c r="BB105" i="3"/>
  <c r="BC105" i="3"/>
  <c r="BD105" i="3"/>
  <c r="BE105" i="3"/>
  <c r="BF105" i="3"/>
  <c r="BG105" i="3"/>
  <c r="BH105" i="3"/>
  <c r="BI105" i="3"/>
  <c r="BJ105" i="3"/>
  <c r="BK105" i="3"/>
  <c r="BA105" i="3"/>
  <c r="BM105" i="3"/>
  <c r="BN105" i="3"/>
  <c r="BO105" i="3"/>
  <c r="BP105" i="3"/>
  <c r="BR105" i="3"/>
  <c r="BT105" i="3"/>
  <c r="BL105" i="3"/>
  <c r="AZ105" i="3"/>
  <c r="BB106" i="3"/>
  <c r="BC106" i="3"/>
  <c r="BD106" i="3"/>
  <c r="BE106" i="3"/>
  <c r="BF106" i="3"/>
  <c r="BG106" i="3"/>
  <c r="BH106" i="3"/>
  <c r="BI106" i="3"/>
  <c r="BJ106" i="3"/>
  <c r="BK106" i="3"/>
  <c r="BA106" i="3"/>
  <c r="BM106" i="3"/>
  <c r="BN106" i="3"/>
  <c r="BO106" i="3"/>
  <c r="BP106" i="3"/>
  <c r="BR106" i="3"/>
  <c r="BT106" i="3"/>
  <c r="BL106" i="3"/>
  <c r="AZ106" i="3"/>
  <c r="BB107" i="3"/>
  <c r="BC107" i="3"/>
  <c r="BD107" i="3"/>
  <c r="BE107" i="3"/>
  <c r="BF107" i="3"/>
  <c r="BG107" i="3"/>
  <c r="BH107" i="3"/>
  <c r="BI107" i="3"/>
  <c r="BJ107" i="3"/>
  <c r="BK107" i="3"/>
  <c r="BA107" i="3"/>
  <c r="BM107" i="3"/>
  <c r="BN107" i="3"/>
  <c r="BO107" i="3"/>
  <c r="BP107" i="3"/>
  <c r="BR107" i="3"/>
  <c r="BT107" i="3"/>
  <c r="BL107" i="3"/>
  <c r="AZ107" i="3"/>
  <c r="BB108" i="3"/>
  <c r="BC108" i="3"/>
  <c r="BD108" i="3"/>
  <c r="BE108" i="3"/>
  <c r="BF108" i="3"/>
  <c r="BG108" i="3"/>
  <c r="BH108" i="3"/>
  <c r="BI108" i="3"/>
  <c r="BJ108" i="3"/>
  <c r="BK108" i="3"/>
  <c r="BA108" i="3"/>
  <c r="BM108" i="3"/>
  <c r="BN108" i="3"/>
  <c r="BO108" i="3"/>
  <c r="BP108" i="3"/>
  <c r="BR108" i="3"/>
  <c r="BT108" i="3"/>
  <c r="BL108" i="3"/>
  <c r="AZ108" i="3"/>
  <c r="BB109" i="3"/>
  <c r="BC109" i="3"/>
  <c r="BD109" i="3"/>
  <c r="BE109" i="3"/>
  <c r="BF109" i="3"/>
  <c r="BG109" i="3"/>
  <c r="BH109" i="3"/>
  <c r="BI109" i="3"/>
  <c r="BJ109" i="3"/>
  <c r="BK109" i="3"/>
  <c r="BA109" i="3"/>
  <c r="BM109" i="3"/>
  <c r="BN109" i="3"/>
  <c r="BO109" i="3"/>
  <c r="BP109" i="3"/>
  <c r="BR109" i="3"/>
  <c r="BT109" i="3"/>
  <c r="BL109" i="3"/>
  <c r="AZ109" i="3"/>
  <c r="BB110" i="3"/>
  <c r="BC110" i="3"/>
  <c r="BD110" i="3"/>
  <c r="BE110" i="3"/>
  <c r="BF110" i="3"/>
  <c r="BG110" i="3"/>
  <c r="BH110" i="3"/>
  <c r="BI110" i="3"/>
  <c r="BJ110" i="3"/>
  <c r="BK110" i="3"/>
  <c r="BA110" i="3"/>
  <c r="BM110" i="3"/>
  <c r="BN110" i="3"/>
  <c r="BO110" i="3"/>
  <c r="BP110" i="3"/>
  <c r="BR110" i="3"/>
  <c r="BT110" i="3"/>
  <c r="BL110" i="3"/>
  <c r="AZ110" i="3"/>
  <c r="BB111" i="3"/>
  <c r="BC111" i="3"/>
  <c r="BD111" i="3"/>
  <c r="BE111" i="3"/>
  <c r="BF111" i="3"/>
  <c r="BG111" i="3"/>
  <c r="BH111" i="3"/>
  <c r="BI111" i="3"/>
  <c r="BJ111" i="3"/>
  <c r="BK111" i="3"/>
  <c r="BA111" i="3"/>
  <c r="BM111" i="3"/>
  <c r="BN111" i="3"/>
  <c r="BO111" i="3"/>
  <c r="BP111" i="3"/>
  <c r="BR111" i="3"/>
  <c r="BT111" i="3"/>
  <c r="BL111" i="3"/>
  <c r="AZ111" i="3"/>
  <c r="BB112" i="3"/>
  <c r="BC112" i="3"/>
  <c r="BD112" i="3"/>
  <c r="BE112" i="3"/>
  <c r="BF112" i="3"/>
  <c r="BG112" i="3"/>
  <c r="BH112" i="3"/>
  <c r="BI112" i="3"/>
  <c r="BJ112" i="3"/>
  <c r="BK112" i="3"/>
  <c r="BA112" i="3"/>
  <c r="BM112" i="3"/>
  <c r="BN112" i="3"/>
  <c r="BO112" i="3"/>
  <c r="BP112" i="3"/>
  <c r="BR112" i="3"/>
  <c r="BT112" i="3"/>
  <c r="BL112" i="3"/>
  <c r="AZ112" i="3"/>
  <c r="BB113" i="3"/>
  <c r="BC113" i="3"/>
  <c r="BD113" i="3"/>
  <c r="BE113" i="3"/>
  <c r="BF113" i="3"/>
  <c r="BG113" i="3"/>
  <c r="BH113" i="3"/>
  <c r="BI113" i="3"/>
  <c r="BJ113" i="3"/>
  <c r="BK113" i="3"/>
  <c r="BA113" i="3"/>
  <c r="BM113" i="3"/>
  <c r="BN113" i="3"/>
  <c r="BO113" i="3"/>
  <c r="BP113" i="3"/>
  <c r="BR113" i="3"/>
  <c r="BT113" i="3"/>
  <c r="BL113" i="3"/>
  <c r="AZ113" i="3"/>
  <c r="BB114" i="3"/>
  <c r="BC114" i="3"/>
  <c r="BD114" i="3"/>
  <c r="BE114" i="3"/>
  <c r="BF114" i="3"/>
  <c r="BG114" i="3"/>
  <c r="BH114" i="3"/>
  <c r="BI114" i="3"/>
  <c r="BJ114" i="3"/>
  <c r="BK114" i="3"/>
  <c r="BA114" i="3"/>
  <c r="BM114" i="3"/>
  <c r="BN114" i="3"/>
  <c r="BO114" i="3"/>
  <c r="BP114" i="3"/>
  <c r="BR114" i="3"/>
  <c r="BT114" i="3"/>
  <c r="BL114" i="3"/>
  <c r="AZ114" i="3"/>
  <c r="BB115" i="3"/>
  <c r="BC115" i="3"/>
  <c r="BD115" i="3"/>
  <c r="BE115" i="3"/>
  <c r="BF115" i="3"/>
  <c r="BG115" i="3"/>
  <c r="BH115" i="3"/>
  <c r="BI115" i="3"/>
  <c r="BJ115" i="3"/>
  <c r="BK115" i="3"/>
  <c r="BA115" i="3"/>
  <c r="BM115" i="3"/>
  <c r="BN115" i="3"/>
  <c r="BO115" i="3"/>
  <c r="BP115" i="3"/>
  <c r="BR115" i="3"/>
  <c r="BT115" i="3"/>
  <c r="BL115" i="3"/>
  <c r="AZ115" i="3"/>
  <c r="BB116" i="3"/>
  <c r="BC116" i="3"/>
  <c r="BD116" i="3"/>
  <c r="BE116" i="3"/>
  <c r="BF116" i="3"/>
  <c r="BG116" i="3"/>
  <c r="BH116" i="3"/>
  <c r="BI116" i="3"/>
  <c r="BJ116" i="3"/>
  <c r="BK116" i="3"/>
  <c r="BA116" i="3"/>
  <c r="BM116" i="3"/>
  <c r="BN116" i="3"/>
  <c r="BO116" i="3"/>
  <c r="BP116" i="3"/>
  <c r="BR116" i="3"/>
  <c r="BT116" i="3"/>
  <c r="BL116" i="3"/>
  <c r="AZ116" i="3"/>
  <c r="BB117" i="3"/>
  <c r="BC117" i="3"/>
  <c r="BD117" i="3"/>
  <c r="BE117" i="3"/>
  <c r="BF117" i="3"/>
  <c r="BG117" i="3"/>
  <c r="BH117" i="3"/>
  <c r="BI117" i="3"/>
  <c r="BJ117" i="3"/>
  <c r="BK117" i="3"/>
  <c r="BA117" i="3"/>
  <c r="BM117" i="3"/>
  <c r="BN117" i="3"/>
  <c r="BO117" i="3"/>
  <c r="BP117" i="3"/>
  <c r="BR117" i="3"/>
  <c r="BT117" i="3"/>
  <c r="BL117" i="3"/>
  <c r="AZ117" i="3"/>
  <c r="BB118" i="3"/>
  <c r="BC118" i="3"/>
  <c r="BD118" i="3"/>
  <c r="BE118" i="3"/>
  <c r="BF118" i="3"/>
  <c r="BG118" i="3"/>
  <c r="BH118" i="3"/>
  <c r="BI118" i="3"/>
  <c r="BJ118" i="3"/>
  <c r="BK118" i="3"/>
  <c r="BA118" i="3"/>
  <c r="BM118" i="3"/>
  <c r="BN118" i="3"/>
  <c r="BO118" i="3"/>
  <c r="BP118" i="3"/>
  <c r="BR118" i="3"/>
  <c r="BT118" i="3"/>
  <c r="BL118" i="3"/>
  <c r="AZ118" i="3"/>
  <c r="BB119" i="3"/>
  <c r="BC119" i="3"/>
  <c r="BD119" i="3"/>
  <c r="BE119" i="3"/>
  <c r="BF119" i="3"/>
  <c r="BG119" i="3"/>
  <c r="BH119" i="3"/>
  <c r="BI119" i="3"/>
  <c r="BJ119" i="3"/>
  <c r="BK119" i="3"/>
  <c r="BA119" i="3"/>
  <c r="BM119" i="3"/>
  <c r="BN119" i="3"/>
  <c r="BO119" i="3"/>
  <c r="BP119" i="3"/>
  <c r="BR119" i="3"/>
  <c r="BT119" i="3"/>
  <c r="BL119" i="3"/>
  <c r="AZ119" i="3"/>
  <c r="BB120" i="3"/>
  <c r="BC120" i="3"/>
  <c r="BD120" i="3"/>
  <c r="BE120" i="3"/>
  <c r="BF120" i="3"/>
  <c r="BG120" i="3"/>
  <c r="BH120" i="3"/>
  <c r="BI120" i="3"/>
  <c r="BJ120" i="3"/>
  <c r="BK120" i="3"/>
  <c r="BA120" i="3"/>
  <c r="BM120" i="3"/>
  <c r="BN120" i="3"/>
  <c r="BO120" i="3"/>
  <c r="BP120" i="3"/>
  <c r="BR120" i="3"/>
  <c r="BT120" i="3"/>
  <c r="BL120" i="3"/>
  <c r="AZ120" i="3"/>
  <c r="BB121" i="3"/>
  <c r="BC121" i="3"/>
  <c r="BD121" i="3"/>
  <c r="BE121" i="3"/>
  <c r="BF121" i="3"/>
  <c r="BG121" i="3"/>
  <c r="BH121" i="3"/>
  <c r="BI121" i="3"/>
  <c r="BJ121" i="3"/>
  <c r="BK121" i="3"/>
  <c r="BA121" i="3"/>
  <c r="BM121" i="3"/>
  <c r="BN121" i="3"/>
  <c r="BO121" i="3"/>
  <c r="BP121" i="3"/>
  <c r="BR121" i="3"/>
  <c r="BT121" i="3"/>
  <c r="BL121" i="3"/>
  <c r="AZ121" i="3"/>
  <c r="BB122" i="3"/>
  <c r="BC122" i="3"/>
  <c r="BD122" i="3"/>
  <c r="BE122" i="3"/>
  <c r="BF122" i="3"/>
  <c r="BG122" i="3"/>
  <c r="BH122" i="3"/>
  <c r="BI122" i="3"/>
  <c r="BJ122" i="3"/>
  <c r="BK122" i="3"/>
  <c r="BA122" i="3"/>
  <c r="BM122" i="3"/>
  <c r="BN122" i="3"/>
  <c r="BO122" i="3"/>
  <c r="BP122" i="3"/>
  <c r="BR122" i="3"/>
  <c r="BT122" i="3"/>
  <c r="BL122" i="3"/>
  <c r="AZ122" i="3"/>
  <c r="BB123" i="3"/>
  <c r="BC123" i="3"/>
  <c r="BD123" i="3"/>
  <c r="BE123" i="3"/>
  <c r="BF123" i="3"/>
  <c r="BG123" i="3"/>
  <c r="BH123" i="3"/>
  <c r="BI123" i="3"/>
  <c r="BJ123" i="3"/>
  <c r="BK123" i="3"/>
  <c r="BA123" i="3"/>
  <c r="BM123" i="3"/>
  <c r="BN123" i="3"/>
  <c r="BO123" i="3"/>
  <c r="BP123" i="3"/>
  <c r="BR123" i="3"/>
  <c r="BT123" i="3"/>
  <c r="BL123" i="3"/>
  <c r="AZ123" i="3"/>
  <c r="BB124" i="3"/>
  <c r="BC124" i="3"/>
  <c r="BD124" i="3"/>
  <c r="BE124" i="3"/>
  <c r="BF124" i="3"/>
  <c r="BG124" i="3"/>
  <c r="BH124" i="3"/>
  <c r="BI124" i="3"/>
  <c r="BJ124" i="3"/>
  <c r="BK124" i="3"/>
  <c r="BA124" i="3"/>
  <c r="BM124" i="3"/>
  <c r="BN124" i="3"/>
  <c r="BO124" i="3"/>
  <c r="BP124" i="3"/>
  <c r="BR124" i="3"/>
  <c r="BT124" i="3"/>
  <c r="BL124" i="3"/>
  <c r="AZ124" i="3"/>
  <c r="BB125" i="3"/>
  <c r="BC125" i="3"/>
  <c r="BD125" i="3"/>
  <c r="BE125" i="3"/>
  <c r="BF125" i="3"/>
  <c r="BG125" i="3"/>
  <c r="BH125" i="3"/>
  <c r="BI125" i="3"/>
  <c r="BJ125" i="3"/>
  <c r="BK125" i="3"/>
  <c r="BA125" i="3"/>
  <c r="BM125" i="3"/>
  <c r="BN125" i="3"/>
  <c r="BO125" i="3"/>
  <c r="BP125" i="3"/>
  <c r="BR125" i="3"/>
  <c r="BT125" i="3"/>
  <c r="BL125" i="3"/>
  <c r="AZ125" i="3"/>
  <c r="BB126" i="3"/>
  <c r="BC126" i="3"/>
  <c r="BD126" i="3"/>
  <c r="BE126" i="3"/>
  <c r="BF126" i="3"/>
  <c r="BG126" i="3"/>
  <c r="BH126" i="3"/>
  <c r="BI126" i="3"/>
  <c r="BJ126" i="3"/>
  <c r="BK126" i="3"/>
  <c r="BA126" i="3"/>
  <c r="BM126" i="3"/>
  <c r="BN126" i="3"/>
  <c r="BO126" i="3"/>
  <c r="BP126" i="3"/>
  <c r="BR126" i="3"/>
  <c r="BT126" i="3"/>
  <c r="BL126" i="3"/>
  <c r="AZ126" i="3"/>
  <c r="BB127" i="3"/>
  <c r="BC127" i="3"/>
  <c r="BD127" i="3"/>
  <c r="BE127" i="3"/>
  <c r="BF127" i="3"/>
  <c r="BG127" i="3"/>
  <c r="BH127" i="3"/>
  <c r="BI127" i="3"/>
  <c r="BJ127" i="3"/>
  <c r="BK127" i="3"/>
  <c r="BA127" i="3"/>
  <c r="BM127" i="3"/>
  <c r="BN127" i="3"/>
  <c r="BO127" i="3"/>
  <c r="BP127" i="3"/>
  <c r="BR127" i="3"/>
  <c r="BT127" i="3"/>
  <c r="BL127" i="3"/>
  <c r="AZ127" i="3"/>
  <c r="BB128" i="3"/>
  <c r="BC128" i="3"/>
  <c r="BD128" i="3"/>
  <c r="BE128" i="3"/>
  <c r="BF128" i="3"/>
  <c r="BG128" i="3"/>
  <c r="BH128" i="3"/>
  <c r="BI128" i="3"/>
  <c r="BJ128" i="3"/>
  <c r="BK128" i="3"/>
  <c r="BA128" i="3"/>
  <c r="BM128" i="3"/>
  <c r="BN128" i="3"/>
  <c r="BO128" i="3"/>
  <c r="BP128" i="3"/>
  <c r="BR128" i="3"/>
  <c r="BT128" i="3"/>
  <c r="BL128" i="3"/>
  <c r="AZ128" i="3"/>
  <c r="BB129" i="3"/>
  <c r="BC129" i="3"/>
  <c r="BD129" i="3"/>
  <c r="BE129" i="3"/>
  <c r="BF129" i="3"/>
  <c r="BG129" i="3"/>
  <c r="BH129" i="3"/>
  <c r="BI129" i="3"/>
  <c r="BJ129" i="3"/>
  <c r="BK129" i="3"/>
  <c r="BA129" i="3"/>
  <c r="BM129" i="3"/>
  <c r="BN129" i="3"/>
  <c r="BO129" i="3"/>
  <c r="BP129" i="3"/>
  <c r="BR129" i="3"/>
  <c r="BT129" i="3"/>
  <c r="BL129" i="3"/>
  <c r="AZ129" i="3"/>
  <c r="BB130" i="3"/>
  <c r="BC130" i="3"/>
  <c r="BD130" i="3"/>
  <c r="BE130" i="3"/>
  <c r="BF130" i="3"/>
  <c r="BG130" i="3"/>
  <c r="BH130" i="3"/>
  <c r="BI130" i="3"/>
  <c r="BJ130" i="3"/>
  <c r="BK130" i="3"/>
  <c r="BA130" i="3"/>
  <c r="BM130" i="3"/>
  <c r="BN130" i="3"/>
  <c r="BO130" i="3"/>
  <c r="BP130" i="3"/>
  <c r="BR130" i="3"/>
  <c r="BT130" i="3"/>
  <c r="BL130" i="3"/>
  <c r="AZ130" i="3"/>
  <c r="BB131" i="3"/>
  <c r="BC131" i="3"/>
  <c r="BD131" i="3"/>
  <c r="BE131" i="3"/>
  <c r="BF131" i="3"/>
  <c r="BG131" i="3"/>
  <c r="BH131" i="3"/>
  <c r="BI131" i="3"/>
  <c r="BJ131" i="3"/>
  <c r="BK131" i="3"/>
  <c r="BA131" i="3"/>
  <c r="BM131" i="3"/>
  <c r="BN131" i="3"/>
  <c r="BO131" i="3"/>
  <c r="BP131" i="3"/>
  <c r="BR131" i="3"/>
  <c r="BT131" i="3"/>
  <c r="BL131" i="3"/>
  <c r="AZ131" i="3"/>
  <c r="BB132" i="3"/>
  <c r="BC132" i="3"/>
  <c r="BD132" i="3"/>
  <c r="BE132" i="3"/>
  <c r="BF132" i="3"/>
  <c r="BG132" i="3"/>
  <c r="BH132" i="3"/>
  <c r="BI132" i="3"/>
  <c r="BJ132" i="3"/>
  <c r="BK132" i="3"/>
  <c r="BA132" i="3"/>
  <c r="BM132" i="3"/>
  <c r="BN132" i="3"/>
  <c r="BO132" i="3"/>
  <c r="BP132" i="3"/>
  <c r="BR132" i="3"/>
  <c r="BT132" i="3"/>
  <c r="BL132" i="3"/>
  <c r="AZ132" i="3"/>
  <c r="BB133" i="3"/>
  <c r="BC133" i="3"/>
  <c r="BD133" i="3"/>
  <c r="BE133" i="3"/>
  <c r="BF133" i="3"/>
  <c r="BG133" i="3"/>
  <c r="BH133" i="3"/>
  <c r="BI133" i="3"/>
  <c r="BJ133" i="3"/>
  <c r="BK133" i="3"/>
  <c r="BA133" i="3"/>
  <c r="BM133" i="3"/>
  <c r="BN133" i="3"/>
  <c r="BO133" i="3"/>
  <c r="BP133" i="3"/>
  <c r="BR133" i="3"/>
  <c r="BT133" i="3"/>
  <c r="BL133" i="3"/>
  <c r="AZ133" i="3"/>
  <c r="BB134" i="3"/>
  <c r="BC134" i="3"/>
  <c r="BD134" i="3"/>
  <c r="BE134" i="3"/>
  <c r="BF134" i="3"/>
  <c r="BG134" i="3"/>
  <c r="BH134" i="3"/>
  <c r="BI134" i="3"/>
  <c r="BJ134" i="3"/>
  <c r="BK134" i="3"/>
  <c r="BA134" i="3"/>
  <c r="BM134" i="3"/>
  <c r="BN134" i="3"/>
  <c r="BO134" i="3"/>
  <c r="BP134" i="3"/>
  <c r="BR134" i="3"/>
  <c r="BT134" i="3"/>
  <c r="BL134" i="3"/>
  <c r="AZ134" i="3"/>
  <c r="BB135" i="3"/>
  <c r="BC135" i="3"/>
  <c r="BD135" i="3"/>
  <c r="BE135" i="3"/>
  <c r="BF135" i="3"/>
  <c r="BG135" i="3"/>
  <c r="BH135" i="3"/>
  <c r="BI135" i="3"/>
  <c r="BJ135" i="3"/>
  <c r="BK135" i="3"/>
  <c r="BA135" i="3"/>
  <c r="BM135" i="3"/>
  <c r="BN135" i="3"/>
  <c r="BO135" i="3"/>
  <c r="BP135" i="3"/>
  <c r="BR135" i="3"/>
  <c r="BT135" i="3"/>
  <c r="BL135" i="3"/>
  <c r="AZ135" i="3"/>
  <c r="BB136" i="3"/>
  <c r="BC136" i="3"/>
  <c r="BD136" i="3"/>
  <c r="BE136" i="3"/>
  <c r="BF136" i="3"/>
  <c r="BG136" i="3"/>
  <c r="BH136" i="3"/>
  <c r="BI136" i="3"/>
  <c r="BJ136" i="3"/>
  <c r="BK136" i="3"/>
  <c r="BA136" i="3"/>
  <c r="BM136" i="3"/>
  <c r="BN136" i="3"/>
  <c r="BO136" i="3"/>
  <c r="BP136" i="3"/>
  <c r="BR136" i="3"/>
  <c r="BT136" i="3"/>
  <c r="BL136" i="3"/>
  <c r="AZ136" i="3"/>
  <c r="BB137" i="3"/>
  <c r="BC137" i="3"/>
  <c r="BD137" i="3"/>
  <c r="BE137" i="3"/>
  <c r="BF137" i="3"/>
  <c r="BG137" i="3"/>
  <c r="BH137" i="3"/>
  <c r="BI137" i="3"/>
  <c r="BJ137" i="3"/>
  <c r="BK137" i="3"/>
  <c r="BA137" i="3"/>
  <c r="BM137" i="3"/>
  <c r="BN137" i="3"/>
  <c r="BO137" i="3"/>
  <c r="BP137" i="3"/>
  <c r="BR137" i="3"/>
  <c r="BT137" i="3"/>
  <c r="BL137" i="3"/>
  <c r="AZ137" i="3"/>
  <c r="BB138" i="3"/>
  <c r="BC138" i="3"/>
  <c r="BD138" i="3"/>
  <c r="BE138" i="3"/>
  <c r="BF138" i="3"/>
  <c r="BG138" i="3"/>
  <c r="BH138" i="3"/>
  <c r="BI138" i="3"/>
  <c r="BJ138" i="3"/>
  <c r="BK138" i="3"/>
  <c r="BA138" i="3"/>
  <c r="BM138" i="3"/>
  <c r="BN138" i="3"/>
  <c r="BO138" i="3"/>
  <c r="BP138" i="3"/>
  <c r="BR138" i="3"/>
  <c r="BT138" i="3"/>
  <c r="BL138" i="3"/>
  <c r="AZ138" i="3"/>
  <c r="BB139" i="3"/>
  <c r="BC139" i="3"/>
  <c r="BD139" i="3"/>
  <c r="BE139" i="3"/>
  <c r="BF139" i="3"/>
  <c r="BG139" i="3"/>
  <c r="BH139" i="3"/>
  <c r="BI139" i="3"/>
  <c r="BJ139" i="3"/>
  <c r="BK139" i="3"/>
  <c r="BA139" i="3"/>
  <c r="BM139" i="3"/>
  <c r="BN139" i="3"/>
  <c r="BO139" i="3"/>
  <c r="BP139" i="3"/>
  <c r="BR139" i="3"/>
  <c r="BT139" i="3"/>
  <c r="BL139" i="3"/>
  <c r="AZ139" i="3"/>
  <c r="BB140" i="3"/>
  <c r="BC140" i="3"/>
  <c r="BD140" i="3"/>
  <c r="BE140" i="3"/>
  <c r="BF140" i="3"/>
  <c r="BG140" i="3"/>
  <c r="BH140" i="3"/>
  <c r="BI140" i="3"/>
  <c r="BJ140" i="3"/>
  <c r="BK140" i="3"/>
  <c r="BA140" i="3"/>
  <c r="BM140" i="3"/>
  <c r="BN140" i="3"/>
  <c r="BO140" i="3"/>
  <c r="BP140" i="3"/>
  <c r="BR140" i="3"/>
  <c r="BT140" i="3"/>
  <c r="BL140" i="3"/>
  <c r="AZ140" i="3"/>
  <c r="BB141" i="3"/>
  <c r="BC141" i="3"/>
  <c r="BD141" i="3"/>
  <c r="BE141" i="3"/>
  <c r="BF141" i="3"/>
  <c r="BG141" i="3"/>
  <c r="BH141" i="3"/>
  <c r="BI141" i="3"/>
  <c r="BJ141" i="3"/>
  <c r="BK141" i="3"/>
  <c r="BA141" i="3"/>
  <c r="BM141" i="3"/>
  <c r="BN141" i="3"/>
  <c r="BO141" i="3"/>
  <c r="BP141" i="3"/>
  <c r="BR141" i="3"/>
  <c r="BT141" i="3"/>
  <c r="BL141" i="3"/>
  <c r="AZ141" i="3"/>
  <c r="BB142" i="3"/>
  <c r="BC142" i="3"/>
  <c r="BD142" i="3"/>
  <c r="BE142" i="3"/>
  <c r="BF142" i="3"/>
  <c r="BG142" i="3"/>
  <c r="BH142" i="3"/>
  <c r="BI142" i="3"/>
  <c r="BJ142" i="3"/>
  <c r="BK142" i="3"/>
  <c r="BA142" i="3"/>
  <c r="BM142" i="3"/>
  <c r="BN142" i="3"/>
  <c r="BO142" i="3"/>
  <c r="BP142" i="3"/>
  <c r="BR142" i="3"/>
  <c r="BT142" i="3"/>
  <c r="BL142" i="3"/>
  <c r="AZ142" i="3"/>
  <c r="BB143" i="3"/>
  <c r="BC143" i="3"/>
  <c r="BD143" i="3"/>
  <c r="BE143" i="3"/>
  <c r="BF143" i="3"/>
  <c r="BG143" i="3"/>
  <c r="BH143" i="3"/>
  <c r="BI143" i="3"/>
  <c r="BJ143" i="3"/>
  <c r="BK143" i="3"/>
  <c r="BA143" i="3"/>
  <c r="BM143" i="3"/>
  <c r="BN143" i="3"/>
  <c r="BO143" i="3"/>
  <c r="BP143" i="3"/>
  <c r="BR143" i="3"/>
  <c r="BT143" i="3"/>
  <c r="BL143" i="3"/>
  <c r="AZ143" i="3"/>
  <c r="BB144" i="3"/>
  <c r="BC144" i="3"/>
  <c r="BD144" i="3"/>
  <c r="BE144" i="3"/>
  <c r="BF144" i="3"/>
  <c r="BG144" i="3"/>
  <c r="BH144" i="3"/>
  <c r="BI144" i="3"/>
  <c r="BJ144" i="3"/>
  <c r="BK144" i="3"/>
  <c r="BA144" i="3"/>
  <c r="BM144" i="3"/>
  <c r="BN144" i="3"/>
  <c r="BO144" i="3"/>
  <c r="BP144" i="3"/>
  <c r="BR144" i="3"/>
  <c r="BT144" i="3"/>
  <c r="BL144" i="3"/>
  <c r="AZ144" i="3"/>
  <c r="BB145" i="3"/>
  <c r="BC145" i="3"/>
  <c r="BD145" i="3"/>
  <c r="BE145" i="3"/>
  <c r="BF145" i="3"/>
  <c r="BG145" i="3"/>
  <c r="BH145" i="3"/>
  <c r="BI145" i="3"/>
  <c r="BJ145" i="3"/>
  <c r="BK145" i="3"/>
  <c r="BA145" i="3"/>
  <c r="BM145" i="3"/>
  <c r="BN145" i="3"/>
  <c r="BO145" i="3"/>
  <c r="BP145" i="3"/>
  <c r="BR145" i="3"/>
  <c r="BT145" i="3"/>
  <c r="BL145" i="3"/>
  <c r="AZ145" i="3"/>
  <c r="BB146" i="3"/>
  <c r="BC146" i="3"/>
  <c r="BD146" i="3"/>
  <c r="BE146" i="3"/>
  <c r="BF146" i="3"/>
  <c r="BG146" i="3"/>
  <c r="BH146" i="3"/>
  <c r="BI146" i="3"/>
  <c r="BJ146" i="3"/>
  <c r="BK146" i="3"/>
  <c r="BA146" i="3"/>
  <c r="BM146" i="3"/>
  <c r="BN146" i="3"/>
  <c r="BO146" i="3"/>
  <c r="BP146" i="3"/>
  <c r="BR146" i="3"/>
  <c r="BT146" i="3"/>
  <c r="BL146" i="3"/>
  <c r="AZ146" i="3"/>
  <c r="BB147" i="3"/>
  <c r="BC147" i="3"/>
  <c r="BD147" i="3"/>
  <c r="BE147" i="3"/>
  <c r="BF147" i="3"/>
  <c r="BG147" i="3"/>
  <c r="BH147" i="3"/>
  <c r="BI147" i="3"/>
  <c r="BJ147" i="3"/>
  <c r="BK147" i="3"/>
  <c r="BA147" i="3"/>
  <c r="BM147" i="3"/>
  <c r="BN147" i="3"/>
  <c r="BO147" i="3"/>
  <c r="BP147" i="3"/>
  <c r="BR147" i="3"/>
  <c r="BT147" i="3"/>
  <c r="BL147" i="3"/>
  <c r="AZ147" i="3"/>
  <c r="BB148" i="3"/>
  <c r="BC148" i="3"/>
  <c r="BD148" i="3"/>
  <c r="BE148" i="3"/>
  <c r="BF148" i="3"/>
  <c r="BG148" i="3"/>
  <c r="BH148" i="3"/>
  <c r="BI148" i="3"/>
  <c r="BJ148" i="3"/>
  <c r="BK148" i="3"/>
  <c r="BA148" i="3"/>
  <c r="BM148" i="3"/>
  <c r="BN148" i="3"/>
  <c r="BO148" i="3"/>
  <c r="BP148" i="3"/>
  <c r="BR148" i="3"/>
  <c r="BT148" i="3"/>
  <c r="BL148" i="3"/>
  <c r="AZ148" i="3"/>
  <c r="BB149" i="3"/>
  <c r="BC149" i="3"/>
  <c r="BD149" i="3"/>
  <c r="BE149" i="3"/>
  <c r="BF149" i="3"/>
  <c r="BG149" i="3"/>
  <c r="BH149" i="3"/>
  <c r="BI149" i="3"/>
  <c r="BJ149" i="3"/>
  <c r="BK149" i="3"/>
  <c r="BA149" i="3"/>
  <c r="BM149" i="3"/>
  <c r="BN149" i="3"/>
  <c r="BO149" i="3"/>
  <c r="BP149" i="3"/>
  <c r="BR149" i="3"/>
  <c r="BT149" i="3"/>
  <c r="BL149" i="3"/>
  <c r="AZ149" i="3"/>
  <c r="BB150" i="3"/>
  <c r="BC150" i="3"/>
  <c r="BD150" i="3"/>
  <c r="BE150" i="3"/>
  <c r="BF150" i="3"/>
  <c r="BG150" i="3"/>
  <c r="BH150" i="3"/>
  <c r="BI150" i="3"/>
  <c r="BJ150" i="3"/>
  <c r="BK150" i="3"/>
  <c r="BA150" i="3"/>
  <c r="BM150" i="3"/>
  <c r="BN150" i="3"/>
  <c r="BO150" i="3"/>
  <c r="BP150" i="3"/>
  <c r="BR150" i="3"/>
  <c r="BT150" i="3"/>
  <c r="BL150" i="3"/>
  <c r="AZ150" i="3"/>
  <c r="BB151" i="3"/>
  <c r="BC151" i="3"/>
  <c r="BD151" i="3"/>
  <c r="BE151" i="3"/>
  <c r="BF151" i="3"/>
  <c r="BG151" i="3"/>
  <c r="BH151" i="3"/>
  <c r="BI151" i="3"/>
  <c r="BJ151" i="3"/>
  <c r="BK151" i="3"/>
  <c r="BA151" i="3"/>
  <c r="BM151" i="3"/>
  <c r="BN151" i="3"/>
  <c r="BO151" i="3"/>
  <c r="BP151" i="3"/>
  <c r="BR151" i="3"/>
  <c r="BT151" i="3"/>
  <c r="BL151" i="3"/>
  <c r="AZ151" i="3"/>
  <c r="BB152" i="3"/>
  <c r="BC152" i="3"/>
  <c r="BD152" i="3"/>
  <c r="BE152" i="3"/>
  <c r="BF152" i="3"/>
  <c r="BG152" i="3"/>
  <c r="BH152" i="3"/>
  <c r="BI152" i="3"/>
  <c r="BJ152" i="3"/>
  <c r="BK152" i="3"/>
  <c r="BA152" i="3"/>
  <c r="BM152" i="3"/>
  <c r="BN152" i="3"/>
  <c r="BO152" i="3"/>
  <c r="BP152" i="3"/>
  <c r="BR152" i="3"/>
  <c r="BT152" i="3"/>
  <c r="BL152" i="3"/>
  <c r="AZ152" i="3"/>
  <c r="BB153" i="3"/>
  <c r="BC153" i="3"/>
  <c r="BD153" i="3"/>
  <c r="BE153" i="3"/>
  <c r="BF153" i="3"/>
  <c r="BG153" i="3"/>
  <c r="BH153" i="3"/>
  <c r="BI153" i="3"/>
  <c r="BJ153" i="3"/>
  <c r="BK153" i="3"/>
  <c r="BA153" i="3"/>
  <c r="BM153" i="3"/>
  <c r="BN153" i="3"/>
  <c r="BO153" i="3"/>
  <c r="BP153" i="3"/>
  <c r="BR153" i="3"/>
  <c r="BT153" i="3"/>
  <c r="BL153" i="3"/>
  <c r="AZ153" i="3"/>
  <c r="BB154" i="3"/>
  <c r="BC154" i="3"/>
  <c r="BD154" i="3"/>
  <c r="BE154" i="3"/>
  <c r="BF154" i="3"/>
  <c r="BG154" i="3"/>
  <c r="BH154" i="3"/>
  <c r="BI154" i="3"/>
  <c r="BJ154" i="3"/>
  <c r="BK154" i="3"/>
  <c r="BA154" i="3"/>
  <c r="BM154" i="3"/>
  <c r="BN154" i="3"/>
  <c r="BO154" i="3"/>
  <c r="BP154" i="3"/>
  <c r="BR154" i="3"/>
  <c r="BT154" i="3"/>
  <c r="BL154" i="3"/>
  <c r="AZ154" i="3"/>
  <c r="BB155" i="3"/>
  <c r="BC155" i="3"/>
  <c r="BD155" i="3"/>
  <c r="BE155" i="3"/>
  <c r="BF155" i="3"/>
  <c r="BG155" i="3"/>
  <c r="BH155" i="3"/>
  <c r="BI155" i="3"/>
  <c r="BJ155" i="3"/>
  <c r="BK155" i="3"/>
  <c r="BA155" i="3"/>
  <c r="BM155" i="3"/>
  <c r="BN155" i="3"/>
  <c r="BO155" i="3"/>
  <c r="BP155" i="3"/>
  <c r="BR155" i="3"/>
  <c r="BT155" i="3"/>
  <c r="BL155" i="3"/>
  <c r="AZ155" i="3"/>
  <c r="BB156" i="3"/>
  <c r="BC156" i="3"/>
  <c r="BD156" i="3"/>
  <c r="BE156" i="3"/>
  <c r="BF156" i="3"/>
  <c r="BG156" i="3"/>
  <c r="BH156" i="3"/>
  <c r="BI156" i="3"/>
  <c r="BJ156" i="3"/>
  <c r="BK156" i="3"/>
  <c r="BA156" i="3"/>
  <c r="BM156" i="3"/>
  <c r="BN156" i="3"/>
  <c r="BO156" i="3"/>
  <c r="BP156" i="3"/>
  <c r="BR156" i="3"/>
  <c r="BT156" i="3"/>
  <c r="BL156" i="3"/>
  <c r="AZ156" i="3"/>
  <c r="BB157" i="3"/>
  <c r="BC157" i="3"/>
  <c r="BD157" i="3"/>
  <c r="BE157" i="3"/>
  <c r="BF157" i="3"/>
  <c r="BG157" i="3"/>
  <c r="BH157" i="3"/>
  <c r="BI157" i="3"/>
  <c r="BJ157" i="3"/>
  <c r="BK157" i="3"/>
  <c r="BA157" i="3"/>
  <c r="BM157" i="3"/>
  <c r="BN157" i="3"/>
  <c r="BO157" i="3"/>
  <c r="BP157" i="3"/>
  <c r="BR157" i="3"/>
  <c r="BT157" i="3"/>
  <c r="BL157" i="3"/>
  <c r="AZ157" i="3"/>
  <c r="BB158" i="3"/>
  <c r="BC158" i="3"/>
  <c r="BD158" i="3"/>
  <c r="BE158" i="3"/>
  <c r="BF158" i="3"/>
  <c r="BG158" i="3"/>
  <c r="BH158" i="3"/>
  <c r="BI158" i="3"/>
  <c r="BJ158" i="3"/>
  <c r="BK158" i="3"/>
  <c r="BA158" i="3"/>
  <c r="BM158" i="3"/>
  <c r="BN158" i="3"/>
  <c r="BO158" i="3"/>
  <c r="BP158" i="3"/>
  <c r="BR158" i="3"/>
  <c r="BT158" i="3"/>
  <c r="BL158" i="3"/>
  <c r="AZ158" i="3"/>
  <c r="BB159" i="3"/>
  <c r="BC159" i="3"/>
  <c r="BD159" i="3"/>
  <c r="BE159" i="3"/>
  <c r="BF159" i="3"/>
  <c r="BG159" i="3"/>
  <c r="BH159" i="3"/>
  <c r="BI159" i="3"/>
  <c r="BJ159" i="3"/>
  <c r="BK159" i="3"/>
  <c r="BA159" i="3"/>
  <c r="BM159" i="3"/>
  <c r="BN159" i="3"/>
  <c r="BO159" i="3"/>
  <c r="BP159" i="3"/>
  <c r="BR159" i="3"/>
  <c r="BT159" i="3"/>
  <c r="BL159" i="3"/>
  <c r="AZ159" i="3"/>
  <c r="BB160" i="3"/>
  <c r="BC160" i="3"/>
  <c r="BD160" i="3"/>
  <c r="BE160" i="3"/>
  <c r="BF160" i="3"/>
  <c r="BG160" i="3"/>
  <c r="BH160" i="3"/>
  <c r="BI160" i="3"/>
  <c r="BJ160" i="3"/>
  <c r="BK160" i="3"/>
  <c r="BA160" i="3"/>
  <c r="BM160" i="3"/>
  <c r="BN160" i="3"/>
  <c r="BO160" i="3"/>
  <c r="BP160" i="3"/>
  <c r="BR160" i="3"/>
  <c r="BT160" i="3"/>
  <c r="BL160" i="3"/>
  <c r="AZ160" i="3"/>
  <c r="BB161" i="3"/>
  <c r="BC161" i="3"/>
  <c r="BD161" i="3"/>
  <c r="BE161" i="3"/>
  <c r="BF161" i="3"/>
  <c r="BG161" i="3"/>
  <c r="BH161" i="3"/>
  <c r="BI161" i="3"/>
  <c r="BJ161" i="3"/>
  <c r="BK161" i="3"/>
  <c r="BA161" i="3"/>
  <c r="BM161" i="3"/>
  <c r="BN161" i="3"/>
  <c r="BO161" i="3"/>
  <c r="BP161" i="3"/>
  <c r="BR161" i="3"/>
  <c r="BT161" i="3"/>
  <c r="BL161" i="3"/>
  <c r="AZ161" i="3"/>
  <c r="BB162" i="3"/>
  <c r="BC162" i="3"/>
  <c r="BD162" i="3"/>
  <c r="BE162" i="3"/>
  <c r="BF162" i="3"/>
  <c r="BG162" i="3"/>
  <c r="BH162" i="3"/>
  <c r="BI162" i="3"/>
  <c r="BJ162" i="3"/>
  <c r="BK162" i="3"/>
  <c r="BA162" i="3"/>
  <c r="BM162" i="3"/>
  <c r="BN162" i="3"/>
  <c r="BO162" i="3"/>
  <c r="BP162" i="3"/>
  <c r="BR162" i="3"/>
  <c r="BT162" i="3"/>
  <c r="BL162" i="3"/>
  <c r="AZ162" i="3"/>
  <c r="BB163" i="3"/>
  <c r="BC163" i="3"/>
  <c r="BD163" i="3"/>
  <c r="BE163" i="3"/>
  <c r="BF163" i="3"/>
  <c r="BG163" i="3"/>
  <c r="BH163" i="3"/>
  <c r="BI163" i="3"/>
  <c r="BJ163" i="3"/>
  <c r="BK163" i="3"/>
  <c r="BA163" i="3"/>
  <c r="BM163" i="3"/>
  <c r="BN163" i="3"/>
  <c r="BO163" i="3"/>
  <c r="BP163" i="3"/>
  <c r="BR163" i="3"/>
  <c r="BT163" i="3"/>
  <c r="BL163" i="3"/>
  <c r="AZ163" i="3"/>
  <c r="BB164" i="3"/>
  <c r="BC164" i="3"/>
  <c r="BD164" i="3"/>
  <c r="BE164" i="3"/>
  <c r="BF164" i="3"/>
  <c r="BG164" i="3"/>
  <c r="BH164" i="3"/>
  <c r="BI164" i="3"/>
  <c r="BJ164" i="3"/>
  <c r="BK164" i="3"/>
  <c r="BA164" i="3"/>
  <c r="BM164" i="3"/>
  <c r="BN164" i="3"/>
  <c r="BO164" i="3"/>
  <c r="BP164" i="3"/>
  <c r="BR164" i="3"/>
  <c r="BT164" i="3"/>
  <c r="BL164" i="3"/>
  <c r="AZ164" i="3"/>
  <c r="BB165" i="3"/>
  <c r="BC165" i="3"/>
  <c r="BD165" i="3"/>
  <c r="BE165" i="3"/>
  <c r="BF165" i="3"/>
  <c r="BG165" i="3"/>
  <c r="BH165" i="3"/>
  <c r="BI165" i="3"/>
  <c r="BJ165" i="3"/>
  <c r="BK165" i="3"/>
  <c r="BA165" i="3"/>
  <c r="BM165" i="3"/>
  <c r="BN165" i="3"/>
  <c r="BO165" i="3"/>
  <c r="BP165" i="3"/>
  <c r="BR165" i="3"/>
  <c r="BT165" i="3"/>
  <c r="BL165" i="3"/>
  <c r="AZ165" i="3"/>
  <c r="BB166" i="3"/>
  <c r="BC166" i="3"/>
  <c r="BD166" i="3"/>
  <c r="BE166" i="3"/>
  <c r="BF166" i="3"/>
  <c r="BG166" i="3"/>
  <c r="BH166" i="3"/>
  <c r="BI166" i="3"/>
  <c r="BJ166" i="3"/>
  <c r="BK166" i="3"/>
  <c r="BA166" i="3"/>
  <c r="BM166" i="3"/>
  <c r="BN166" i="3"/>
  <c r="BO166" i="3"/>
  <c r="BP166" i="3"/>
  <c r="BR166" i="3"/>
  <c r="BT166" i="3"/>
  <c r="BL166" i="3"/>
  <c r="AZ166" i="3"/>
  <c r="BB167" i="3"/>
  <c r="BC167" i="3"/>
  <c r="BD167" i="3"/>
  <c r="BE167" i="3"/>
  <c r="BF167" i="3"/>
  <c r="BG167" i="3"/>
  <c r="BH167" i="3"/>
  <c r="BI167" i="3"/>
  <c r="BJ167" i="3"/>
  <c r="BK167" i="3"/>
  <c r="BA167" i="3"/>
  <c r="BM167" i="3"/>
  <c r="BN167" i="3"/>
  <c r="BO167" i="3"/>
  <c r="BP167" i="3"/>
  <c r="BR167" i="3"/>
  <c r="BT167" i="3"/>
  <c r="BL167" i="3"/>
  <c r="AZ167" i="3"/>
  <c r="BB168" i="3"/>
  <c r="BC168" i="3"/>
  <c r="BD168" i="3"/>
  <c r="BE168" i="3"/>
  <c r="BF168" i="3"/>
  <c r="BG168" i="3"/>
  <c r="BH168" i="3"/>
  <c r="BI168" i="3"/>
  <c r="BJ168" i="3"/>
  <c r="BK168" i="3"/>
  <c r="BA168" i="3"/>
  <c r="BM168" i="3"/>
  <c r="BN168" i="3"/>
  <c r="BO168" i="3"/>
  <c r="BP168" i="3"/>
  <c r="BR168" i="3"/>
  <c r="BT168" i="3"/>
  <c r="BL168" i="3"/>
  <c r="AZ168" i="3"/>
  <c r="BB169" i="3"/>
  <c r="BC169" i="3"/>
  <c r="BD169" i="3"/>
  <c r="BE169" i="3"/>
  <c r="BF169" i="3"/>
  <c r="BG169" i="3"/>
  <c r="BH169" i="3"/>
  <c r="BI169" i="3"/>
  <c r="BJ169" i="3"/>
  <c r="BK169" i="3"/>
  <c r="BA169" i="3"/>
  <c r="BM169" i="3"/>
  <c r="BN169" i="3"/>
  <c r="BO169" i="3"/>
  <c r="BP169" i="3"/>
  <c r="BR169" i="3"/>
  <c r="BT169" i="3"/>
  <c r="BL169" i="3"/>
  <c r="AZ169" i="3"/>
  <c r="BB170" i="3"/>
  <c r="BC170" i="3"/>
  <c r="BD170" i="3"/>
  <c r="BE170" i="3"/>
  <c r="BF170" i="3"/>
  <c r="BG170" i="3"/>
  <c r="BH170" i="3"/>
  <c r="BI170" i="3"/>
  <c r="BJ170" i="3"/>
  <c r="BK170" i="3"/>
  <c r="BA170" i="3"/>
  <c r="BM170" i="3"/>
  <c r="BN170" i="3"/>
  <c r="BO170" i="3"/>
  <c r="BP170" i="3"/>
  <c r="BR170" i="3"/>
  <c r="BT170" i="3"/>
  <c r="BL170" i="3"/>
  <c r="AZ170" i="3"/>
  <c r="BB171" i="3"/>
  <c r="BC171" i="3"/>
  <c r="BD171" i="3"/>
  <c r="BE171" i="3"/>
  <c r="BF171" i="3"/>
  <c r="BG171" i="3"/>
  <c r="BH171" i="3"/>
  <c r="BI171" i="3"/>
  <c r="BJ171" i="3"/>
  <c r="BK171" i="3"/>
  <c r="BA171" i="3"/>
  <c r="BM171" i="3"/>
  <c r="BN171" i="3"/>
  <c r="BO171" i="3"/>
  <c r="BP171" i="3"/>
  <c r="BR171" i="3"/>
  <c r="BT171" i="3"/>
  <c r="BL171" i="3"/>
  <c r="AZ171" i="3"/>
  <c r="BB172" i="3"/>
  <c r="BC172" i="3"/>
  <c r="BD172" i="3"/>
  <c r="BE172" i="3"/>
  <c r="BF172" i="3"/>
  <c r="BG172" i="3"/>
  <c r="BH172" i="3"/>
  <c r="BI172" i="3"/>
  <c r="BJ172" i="3"/>
  <c r="BK172" i="3"/>
  <c r="BA172" i="3"/>
  <c r="BM172" i="3"/>
  <c r="BN172" i="3"/>
  <c r="BO172" i="3"/>
  <c r="BP172" i="3"/>
  <c r="BR172" i="3"/>
  <c r="BT172" i="3"/>
  <c r="BL172" i="3"/>
  <c r="AZ172" i="3"/>
  <c r="BB173" i="3"/>
  <c r="BC173" i="3"/>
  <c r="BD173" i="3"/>
  <c r="BE173" i="3"/>
  <c r="BF173" i="3"/>
  <c r="BG173" i="3"/>
  <c r="BH173" i="3"/>
  <c r="BI173" i="3"/>
  <c r="BJ173" i="3"/>
  <c r="BK173" i="3"/>
  <c r="BA173" i="3"/>
  <c r="BM173" i="3"/>
  <c r="BN173" i="3"/>
  <c r="BO173" i="3"/>
  <c r="BP173" i="3"/>
  <c r="BR173" i="3"/>
  <c r="BT173" i="3"/>
  <c r="BL173" i="3"/>
  <c r="AZ173" i="3"/>
  <c r="BB174" i="3"/>
  <c r="BC174" i="3"/>
  <c r="BD174" i="3"/>
  <c r="BE174" i="3"/>
  <c r="BF174" i="3"/>
  <c r="BG174" i="3"/>
  <c r="BH174" i="3"/>
  <c r="BI174" i="3"/>
  <c r="BJ174" i="3"/>
  <c r="BK174" i="3"/>
  <c r="BA174" i="3"/>
  <c r="BM174" i="3"/>
  <c r="BN174" i="3"/>
  <c r="BO174" i="3"/>
  <c r="BP174" i="3"/>
  <c r="BR174" i="3"/>
  <c r="BT174" i="3"/>
  <c r="BL174" i="3"/>
  <c r="AZ174" i="3"/>
  <c r="BB175" i="3"/>
  <c r="BC175" i="3"/>
  <c r="BD175" i="3"/>
  <c r="BE175" i="3"/>
  <c r="BF175" i="3"/>
  <c r="BG175" i="3"/>
  <c r="BH175" i="3"/>
  <c r="BI175" i="3"/>
  <c r="BJ175" i="3"/>
  <c r="BK175" i="3"/>
  <c r="BA175" i="3"/>
  <c r="BM175" i="3"/>
  <c r="BN175" i="3"/>
  <c r="BO175" i="3"/>
  <c r="BP175" i="3"/>
  <c r="BR175" i="3"/>
  <c r="BT175" i="3"/>
  <c r="BL175" i="3"/>
  <c r="AZ175" i="3"/>
  <c r="BB176" i="3"/>
  <c r="BC176" i="3"/>
  <c r="BD176" i="3"/>
  <c r="BE176" i="3"/>
  <c r="BF176" i="3"/>
  <c r="BG176" i="3"/>
  <c r="BH176" i="3"/>
  <c r="BI176" i="3"/>
  <c r="BJ176" i="3"/>
  <c r="BK176" i="3"/>
  <c r="BA176" i="3"/>
  <c r="BM176" i="3"/>
  <c r="BN176" i="3"/>
  <c r="BO176" i="3"/>
  <c r="BP176" i="3"/>
  <c r="BR176" i="3"/>
  <c r="BT176" i="3"/>
  <c r="BL176" i="3"/>
  <c r="AZ176" i="3"/>
  <c r="BB177" i="3"/>
  <c r="BC177" i="3"/>
  <c r="BD177" i="3"/>
  <c r="BE177" i="3"/>
  <c r="BF177" i="3"/>
  <c r="BG177" i="3"/>
  <c r="BH177" i="3"/>
  <c r="BI177" i="3"/>
  <c r="BJ177" i="3"/>
  <c r="BK177" i="3"/>
  <c r="BA177" i="3"/>
  <c r="BM177" i="3"/>
  <c r="BN177" i="3"/>
  <c r="BO177" i="3"/>
  <c r="BP177" i="3"/>
  <c r="BR177" i="3"/>
  <c r="BT177" i="3"/>
  <c r="BL177" i="3"/>
  <c r="AZ177" i="3"/>
  <c r="BB178" i="3"/>
  <c r="BC178" i="3"/>
  <c r="BD178" i="3"/>
  <c r="BE178" i="3"/>
  <c r="BF178" i="3"/>
  <c r="BG178" i="3"/>
  <c r="BH178" i="3"/>
  <c r="BI178" i="3"/>
  <c r="BJ178" i="3"/>
  <c r="BK178" i="3"/>
  <c r="BA178" i="3"/>
  <c r="BM178" i="3"/>
  <c r="BN178" i="3"/>
  <c r="BO178" i="3"/>
  <c r="BP178" i="3"/>
  <c r="BR178" i="3"/>
  <c r="BT178" i="3"/>
  <c r="BL178" i="3"/>
  <c r="AZ178" i="3"/>
  <c r="BB179" i="3"/>
  <c r="BC179" i="3"/>
  <c r="BD179" i="3"/>
  <c r="BE179" i="3"/>
  <c r="BF179" i="3"/>
  <c r="BG179" i="3"/>
  <c r="BH179" i="3"/>
  <c r="BI179" i="3"/>
  <c r="BJ179" i="3"/>
  <c r="BK179" i="3"/>
  <c r="BA179" i="3"/>
  <c r="BM179" i="3"/>
  <c r="BN179" i="3"/>
  <c r="BO179" i="3"/>
  <c r="BP179" i="3"/>
  <c r="BR179" i="3"/>
  <c r="BT179" i="3"/>
  <c r="BL179" i="3"/>
  <c r="AZ179" i="3"/>
  <c r="BB180" i="3"/>
  <c r="BC180" i="3"/>
  <c r="BD180" i="3"/>
  <c r="BE180" i="3"/>
  <c r="BF180" i="3"/>
  <c r="BG180" i="3"/>
  <c r="BH180" i="3"/>
  <c r="BI180" i="3"/>
  <c r="BJ180" i="3"/>
  <c r="BK180" i="3"/>
  <c r="BA180" i="3"/>
  <c r="BM180" i="3"/>
  <c r="BN180" i="3"/>
  <c r="BO180" i="3"/>
  <c r="BP180" i="3"/>
  <c r="BR180" i="3"/>
  <c r="BT180" i="3"/>
  <c r="BL180" i="3"/>
  <c r="AZ180" i="3"/>
  <c r="BB181" i="3"/>
  <c r="BC181" i="3"/>
  <c r="BD181" i="3"/>
  <c r="BE181" i="3"/>
  <c r="BF181" i="3"/>
  <c r="BG181" i="3"/>
  <c r="BH181" i="3"/>
  <c r="BI181" i="3"/>
  <c r="BJ181" i="3"/>
  <c r="BK181" i="3"/>
  <c r="BA181" i="3"/>
  <c r="BM181" i="3"/>
  <c r="BN181" i="3"/>
  <c r="BO181" i="3"/>
  <c r="BP181" i="3"/>
  <c r="BR181" i="3"/>
  <c r="BT181" i="3"/>
  <c r="BL181" i="3"/>
  <c r="AZ181" i="3"/>
  <c r="BB182" i="3"/>
  <c r="BC182" i="3"/>
  <c r="BD182" i="3"/>
  <c r="BE182" i="3"/>
  <c r="BF182" i="3"/>
  <c r="BG182" i="3"/>
  <c r="BH182" i="3"/>
  <c r="BI182" i="3"/>
  <c r="BJ182" i="3"/>
  <c r="BK182" i="3"/>
  <c r="BA182" i="3"/>
  <c r="BM182" i="3"/>
  <c r="BN182" i="3"/>
  <c r="BO182" i="3"/>
  <c r="BP182" i="3"/>
  <c r="BR182" i="3"/>
  <c r="BT182" i="3"/>
  <c r="BL182" i="3"/>
  <c r="AZ182" i="3"/>
  <c r="BB183" i="3"/>
  <c r="BC183" i="3"/>
  <c r="BD183" i="3"/>
  <c r="BE183" i="3"/>
  <c r="BF183" i="3"/>
  <c r="BG183" i="3"/>
  <c r="BH183" i="3"/>
  <c r="BI183" i="3"/>
  <c r="BJ183" i="3"/>
  <c r="BK183" i="3"/>
  <c r="BA183" i="3"/>
  <c r="BM183" i="3"/>
  <c r="BN183" i="3"/>
  <c r="BO183" i="3"/>
  <c r="BP183" i="3"/>
  <c r="BR183" i="3"/>
  <c r="BT183" i="3"/>
  <c r="BL183" i="3"/>
  <c r="AZ183" i="3"/>
  <c r="BB184" i="3"/>
  <c r="BC184" i="3"/>
  <c r="BD184" i="3"/>
  <c r="BE184" i="3"/>
  <c r="BF184" i="3"/>
  <c r="BG184" i="3"/>
  <c r="BH184" i="3"/>
  <c r="BI184" i="3"/>
  <c r="BJ184" i="3"/>
  <c r="BK184" i="3"/>
  <c r="BA184" i="3"/>
  <c r="BM184" i="3"/>
  <c r="BN184" i="3"/>
  <c r="BO184" i="3"/>
  <c r="BP184" i="3"/>
  <c r="BR184" i="3"/>
  <c r="BT184" i="3"/>
  <c r="BL184" i="3"/>
  <c r="AZ184" i="3"/>
  <c r="BB185" i="3"/>
  <c r="BC185" i="3"/>
  <c r="BD185" i="3"/>
  <c r="BE185" i="3"/>
  <c r="BF185" i="3"/>
  <c r="BG185" i="3"/>
  <c r="BH185" i="3"/>
  <c r="BI185" i="3"/>
  <c r="BJ185" i="3"/>
  <c r="BK185" i="3"/>
  <c r="BA185" i="3"/>
  <c r="BM185" i="3"/>
  <c r="BN185" i="3"/>
  <c r="BO185" i="3"/>
  <c r="BP185" i="3"/>
  <c r="BR185" i="3"/>
  <c r="BT185" i="3"/>
  <c r="BL185" i="3"/>
  <c r="AZ185" i="3"/>
  <c r="BB186" i="3"/>
  <c r="BC186" i="3"/>
  <c r="BD186" i="3"/>
  <c r="BE186" i="3"/>
  <c r="BF186" i="3"/>
  <c r="BG186" i="3"/>
  <c r="BH186" i="3"/>
  <c r="BI186" i="3"/>
  <c r="BJ186" i="3"/>
  <c r="BK186" i="3"/>
  <c r="BA186" i="3"/>
  <c r="BM186" i="3"/>
  <c r="BN186" i="3"/>
  <c r="BO186" i="3"/>
  <c r="BP186" i="3"/>
  <c r="BR186" i="3"/>
  <c r="BT186" i="3"/>
  <c r="BL186" i="3"/>
  <c r="AZ186" i="3"/>
  <c r="BB187" i="3"/>
  <c r="BC187" i="3"/>
  <c r="BD187" i="3"/>
  <c r="BE187" i="3"/>
  <c r="BF187" i="3"/>
  <c r="BG187" i="3"/>
  <c r="BH187" i="3"/>
  <c r="BI187" i="3"/>
  <c r="BJ187" i="3"/>
  <c r="BK187" i="3"/>
  <c r="BA187" i="3"/>
  <c r="BM187" i="3"/>
  <c r="BN187" i="3"/>
  <c r="BO187" i="3"/>
  <c r="BP187" i="3"/>
  <c r="BR187" i="3"/>
  <c r="BT187" i="3"/>
  <c r="BL187" i="3"/>
  <c r="AZ187" i="3"/>
  <c r="BB188" i="3"/>
  <c r="BC188" i="3"/>
  <c r="BD188" i="3"/>
  <c r="BE188" i="3"/>
  <c r="BF188" i="3"/>
  <c r="BG188" i="3"/>
  <c r="BH188" i="3"/>
  <c r="BI188" i="3"/>
  <c r="BJ188" i="3"/>
  <c r="BK188" i="3"/>
  <c r="BA188" i="3"/>
  <c r="BM188" i="3"/>
  <c r="BN188" i="3"/>
  <c r="BO188" i="3"/>
  <c r="BP188" i="3"/>
  <c r="BR188" i="3"/>
  <c r="BT188" i="3"/>
  <c r="BL188" i="3"/>
  <c r="AZ188" i="3"/>
  <c r="BB189" i="3"/>
  <c r="BC189" i="3"/>
  <c r="BD189" i="3"/>
  <c r="BE189" i="3"/>
  <c r="BF189" i="3"/>
  <c r="BG189" i="3"/>
  <c r="BH189" i="3"/>
  <c r="BI189" i="3"/>
  <c r="BJ189" i="3"/>
  <c r="BK189" i="3"/>
  <c r="BA189" i="3"/>
  <c r="BM189" i="3"/>
  <c r="BN189" i="3"/>
  <c r="BO189" i="3"/>
  <c r="BP189" i="3"/>
  <c r="BR189" i="3"/>
  <c r="BT189" i="3"/>
  <c r="BL189" i="3"/>
  <c r="AZ189" i="3"/>
  <c r="BB190" i="3"/>
  <c r="BC190" i="3"/>
  <c r="BD190" i="3"/>
  <c r="BE190" i="3"/>
  <c r="BF190" i="3"/>
  <c r="BG190" i="3"/>
  <c r="BH190" i="3"/>
  <c r="BI190" i="3"/>
  <c r="BJ190" i="3"/>
  <c r="BK190" i="3"/>
  <c r="BA190" i="3"/>
  <c r="BM190" i="3"/>
  <c r="BN190" i="3"/>
  <c r="BO190" i="3"/>
  <c r="BP190" i="3"/>
  <c r="BR190" i="3"/>
  <c r="BT190" i="3"/>
  <c r="BL190" i="3"/>
  <c r="AZ190" i="3"/>
  <c r="BB191" i="3"/>
  <c r="BC191" i="3"/>
  <c r="BD191" i="3"/>
  <c r="BE191" i="3"/>
  <c r="BF191" i="3"/>
  <c r="BG191" i="3"/>
  <c r="BH191" i="3"/>
  <c r="BI191" i="3"/>
  <c r="BJ191" i="3"/>
  <c r="BK191" i="3"/>
  <c r="BA191" i="3"/>
  <c r="BM191" i="3"/>
  <c r="BN191" i="3"/>
  <c r="BO191" i="3"/>
  <c r="BP191" i="3"/>
  <c r="BR191" i="3"/>
  <c r="BT191" i="3"/>
  <c r="BL191" i="3"/>
  <c r="AZ191" i="3"/>
  <c r="BB192" i="3"/>
  <c r="BC192" i="3"/>
  <c r="BD192" i="3"/>
  <c r="BE192" i="3"/>
  <c r="BF192" i="3"/>
  <c r="BG192" i="3"/>
  <c r="BH192" i="3"/>
  <c r="BI192" i="3"/>
  <c r="BJ192" i="3"/>
  <c r="BK192" i="3"/>
  <c r="BA192" i="3"/>
  <c r="BM192" i="3"/>
  <c r="BN192" i="3"/>
  <c r="BO192" i="3"/>
  <c r="BP192" i="3"/>
  <c r="BR192" i="3"/>
  <c r="BT192" i="3"/>
  <c r="BL192" i="3"/>
  <c r="AZ192" i="3"/>
  <c r="BB193" i="3"/>
  <c r="BC193" i="3"/>
  <c r="BD193" i="3"/>
  <c r="BE193" i="3"/>
  <c r="BF193" i="3"/>
  <c r="BG193" i="3"/>
  <c r="BH193" i="3"/>
  <c r="BI193" i="3"/>
  <c r="BJ193" i="3"/>
  <c r="BK193" i="3"/>
  <c r="BA193" i="3"/>
  <c r="BM193" i="3"/>
  <c r="BN193" i="3"/>
  <c r="BO193" i="3"/>
  <c r="BP193" i="3"/>
  <c r="BR193" i="3"/>
  <c r="BT193" i="3"/>
  <c r="BL193" i="3"/>
  <c r="AZ193" i="3"/>
  <c r="BB194" i="3"/>
  <c r="BC194" i="3"/>
  <c r="BD194" i="3"/>
  <c r="BE194" i="3"/>
  <c r="BF194" i="3"/>
  <c r="BG194" i="3"/>
  <c r="BH194" i="3"/>
  <c r="BI194" i="3"/>
  <c r="BJ194" i="3"/>
  <c r="BK194" i="3"/>
  <c r="BA194" i="3"/>
  <c r="BM194" i="3"/>
  <c r="BN194" i="3"/>
  <c r="BO194" i="3"/>
  <c r="BP194" i="3"/>
  <c r="BR194" i="3"/>
  <c r="BT194" i="3"/>
  <c r="BL194" i="3"/>
  <c r="AZ194" i="3"/>
  <c r="BB195" i="3"/>
  <c r="BC195" i="3"/>
  <c r="BD195" i="3"/>
  <c r="BE195" i="3"/>
  <c r="BF195" i="3"/>
  <c r="BG195" i="3"/>
  <c r="BH195" i="3"/>
  <c r="BI195" i="3"/>
  <c r="BJ195" i="3"/>
  <c r="BK195" i="3"/>
  <c r="BA195" i="3"/>
  <c r="BM195" i="3"/>
  <c r="BN195" i="3"/>
  <c r="BO195" i="3"/>
  <c r="BP195" i="3"/>
  <c r="BR195" i="3"/>
  <c r="BT195" i="3"/>
  <c r="BL195" i="3"/>
  <c r="AZ195" i="3"/>
  <c r="BB196" i="3"/>
  <c r="BC196" i="3"/>
  <c r="BD196" i="3"/>
  <c r="BE196" i="3"/>
  <c r="BF196" i="3"/>
  <c r="BG196" i="3"/>
  <c r="BH196" i="3"/>
  <c r="BI196" i="3"/>
  <c r="BJ196" i="3"/>
  <c r="BK196" i="3"/>
  <c r="BA196" i="3"/>
  <c r="BM196" i="3"/>
  <c r="BN196" i="3"/>
  <c r="BO196" i="3"/>
  <c r="BP196" i="3"/>
  <c r="BR196" i="3"/>
  <c r="BT196" i="3"/>
  <c r="BL196" i="3"/>
  <c r="AZ196" i="3"/>
  <c r="BB197" i="3"/>
  <c r="BC197" i="3"/>
  <c r="BD197" i="3"/>
  <c r="BE197" i="3"/>
  <c r="BF197" i="3"/>
  <c r="BG197" i="3"/>
  <c r="BH197" i="3"/>
  <c r="BI197" i="3"/>
  <c r="BJ197" i="3"/>
  <c r="BK197" i="3"/>
  <c r="BA197" i="3"/>
  <c r="BM197" i="3"/>
  <c r="BN197" i="3"/>
  <c r="BO197" i="3"/>
  <c r="BP197" i="3"/>
  <c r="BR197" i="3"/>
  <c r="BT197" i="3"/>
  <c r="BL197" i="3"/>
  <c r="AZ197" i="3"/>
  <c r="BB198" i="3"/>
  <c r="BC198" i="3"/>
  <c r="BD198" i="3"/>
  <c r="BE198" i="3"/>
  <c r="BF198" i="3"/>
  <c r="BG198" i="3"/>
  <c r="BH198" i="3"/>
  <c r="BI198" i="3"/>
  <c r="BJ198" i="3"/>
  <c r="BK198" i="3"/>
  <c r="BA198" i="3"/>
  <c r="BM198" i="3"/>
  <c r="BN198" i="3"/>
  <c r="BO198" i="3"/>
  <c r="BP198" i="3"/>
  <c r="BR198" i="3"/>
  <c r="BT198" i="3"/>
  <c r="BL198" i="3"/>
  <c r="AZ198" i="3"/>
  <c r="BB199" i="3"/>
  <c r="BC199" i="3"/>
  <c r="BD199" i="3"/>
  <c r="BE199" i="3"/>
  <c r="BF199" i="3"/>
  <c r="BG199" i="3"/>
  <c r="BH199" i="3"/>
  <c r="BI199" i="3"/>
  <c r="BJ199" i="3"/>
  <c r="BK199" i="3"/>
  <c r="BA199" i="3"/>
  <c r="BM199" i="3"/>
  <c r="BN199" i="3"/>
  <c r="BO199" i="3"/>
  <c r="BP199" i="3"/>
  <c r="BR199" i="3"/>
  <c r="BT199" i="3"/>
  <c r="BL199" i="3"/>
  <c r="AZ199" i="3"/>
  <c r="BB200" i="3"/>
  <c r="BC200" i="3"/>
  <c r="BD200" i="3"/>
  <c r="BE200" i="3"/>
  <c r="BF200" i="3"/>
  <c r="BG200" i="3"/>
  <c r="BH200" i="3"/>
  <c r="BI200" i="3"/>
  <c r="BJ200" i="3"/>
  <c r="BK200" i="3"/>
  <c r="BA200" i="3"/>
  <c r="BM200" i="3"/>
  <c r="BN200" i="3"/>
  <c r="BO200" i="3"/>
  <c r="BP200" i="3"/>
  <c r="BR200" i="3"/>
  <c r="BT200" i="3"/>
  <c r="BL200" i="3"/>
  <c r="AZ200" i="3"/>
  <c r="BB201" i="3"/>
  <c r="BC201" i="3"/>
  <c r="BD201" i="3"/>
  <c r="BE201" i="3"/>
  <c r="BF201" i="3"/>
  <c r="BG201" i="3"/>
  <c r="BH201" i="3"/>
  <c r="BI201" i="3"/>
  <c r="BJ201" i="3"/>
  <c r="BK201" i="3"/>
  <c r="BA201" i="3"/>
  <c r="BM201" i="3"/>
  <c r="BN201" i="3"/>
  <c r="BO201" i="3"/>
  <c r="BP201" i="3"/>
  <c r="BR201" i="3"/>
  <c r="BT201" i="3"/>
  <c r="BL201" i="3"/>
  <c r="AZ201" i="3"/>
  <c r="BB202" i="3"/>
  <c r="BC202" i="3"/>
  <c r="BD202" i="3"/>
  <c r="BE202" i="3"/>
  <c r="BF202" i="3"/>
  <c r="BG202" i="3"/>
  <c r="BH202" i="3"/>
  <c r="BI202" i="3"/>
  <c r="BJ202" i="3"/>
  <c r="BK202" i="3"/>
  <c r="BA202" i="3"/>
  <c r="BM202" i="3"/>
  <c r="BN202" i="3"/>
  <c r="BO202" i="3"/>
  <c r="BP202" i="3"/>
  <c r="BR202" i="3"/>
  <c r="BT202" i="3"/>
  <c r="BL202" i="3"/>
  <c r="AZ202" i="3"/>
  <c r="BB203" i="3"/>
  <c r="BC203" i="3"/>
  <c r="BD203" i="3"/>
  <c r="BE203" i="3"/>
  <c r="BF203" i="3"/>
  <c r="BG203" i="3"/>
  <c r="BH203" i="3"/>
  <c r="BI203" i="3"/>
  <c r="BJ203" i="3"/>
  <c r="BK203" i="3"/>
  <c r="BA203" i="3"/>
  <c r="BM203" i="3"/>
  <c r="BN203" i="3"/>
  <c r="BO203" i="3"/>
  <c r="BP203" i="3"/>
  <c r="BR203" i="3"/>
  <c r="BT203" i="3"/>
  <c r="BL203" i="3"/>
  <c r="AZ203" i="3"/>
  <c r="BB204" i="3"/>
  <c r="BC204" i="3"/>
  <c r="BD204" i="3"/>
  <c r="BE204" i="3"/>
  <c r="BF204" i="3"/>
  <c r="BG204" i="3"/>
  <c r="BH204" i="3"/>
  <c r="BI204" i="3"/>
  <c r="BJ204" i="3"/>
  <c r="BK204" i="3"/>
  <c r="BA204" i="3"/>
  <c r="BM204" i="3"/>
  <c r="BN204" i="3"/>
  <c r="BO204" i="3"/>
  <c r="BP204" i="3"/>
  <c r="BR204" i="3"/>
  <c r="BT204" i="3"/>
  <c r="BL204" i="3"/>
  <c r="AZ204" i="3"/>
  <c r="BB205" i="3"/>
  <c r="BC205" i="3"/>
  <c r="BD205" i="3"/>
  <c r="BE205" i="3"/>
  <c r="BF205" i="3"/>
  <c r="BG205" i="3"/>
  <c r="BH205" i="3"/>
  <c r="BI205" i="3"/>
  <c r="BJ205" i="3"/>
  <c r="BK205" i="3"/>
  <c r="BA205" i="3"/>
  <c r="BM205" i="3"/>
  <c r="BN205" i="3"/>
  <c r="BO205" i="3"/>
  <c r="BP205" i="3"/>
  <c r="BR205" i="3"/>
  <c r="BT205" i="3"/>
  <c r="BL205" i="3"/>
  <c r="AZ205" i="3"/>
  <c r="BB206" i="3"/>
  <c r="BC206" i="3"/>
  <c r="BD206" i="3"/>
  <c r="BE206" i="3"/>
  <c r="BF206" i="3"/>
  <c r="BG206" i="3"/>
  <c r="BH206" i="3"/>
  <c r="BI206" i="3"/>
  <c r="BJ206" i="3"/>
  <c r="BK206" i="3"/>
  <c r="BA206" i="3"/>
  <c r="BM206" i="3"/>
  <c r="BN206" i="3"/>
  <c r="BO206" i="3"/>
  <c r="BP206" i="3"/>
  <c r="BR206" i="3"/>
  <c r="BT206" i="3"/>
  <c r="BL206" i="3"/>
  <c r="AZ206" i="3"/>
  <c r="BB207" i="3"/>
  <c r="BC207" i="3"/>
  <c r="BD207" i="3"/>
  <c r="BE207" i="3"/>
  <c r="BF207" i="3"/>
  <c r="BG207" i="3"/>
  <c r="BH207" i="3"/>
  <c r="BI207" i="3"/>
  <c r="BJ207" i="3"/>
  <c r="BK207" i="3"/>
  <c r="BA207" i="3"/>
  <c r="BM207" i="3"/>
  <c r="BN207" i="3"/>
  <c r="BO207" i="3"/>
  <c r="BP207" i="3"/>
  <c r="BR207" i="3"/>
  <c r="BT207" i="3"/>
  <c r="BL207" i="3"/>
  <c r="AZ207" i="3"/>
  <c r="BB208" i="3"/>
  <c r="BC208" i="3"/>
  <c r="BD208" i="3"/>
  <c r="BE208" i="3"/>
  <c r="BF208" i="3"/>
  <c r="BG208" i="3"/>
  <c r="BH208" i="3"/>
  <c r="BI208" i="3"/>
  <c r="BJ208" i="3"/>
  <c r="BK208" i="3"/>
  <c r="BA208" i="3"/>
  <c r="BM208" i="3"/>
  <c r="BN208" i="3"/>
  <c r="BO208" i="3"/>
  <c r="BP208" i="3"/>
  <c r="BR208" i="3"/>
  <c r="BT208" i="3"/>
  <c r="BL208" i="3"/>
  <c r="AZ208" i="3"/>
  <c r="BB209" i="3"/>
  <c r="BC209" i="3"/>
  <c r="BD209" i="3"/>
  <c r="BE209" i="3"/>
  <c r="BF209" i="3"/>
  <c r="BG209" i="3"/>
  <c r="BH209" i="3"/>
  <c r="BI209" i="3"/>
  <c r="BJ209" i="3"/>
  <c r="BK209" i="3"/>
  <c r="BA209" i="3"/>
  <c r="BM209" i="3"/>
  <c r="BN209" i="3"/>
  <c r="BO209" i="3"/>
  <c r="BP209" i="3"/>
  <c r="BR209" i="3"/>
  <c r="BT209" i="3"/>
  <c r="BL209" i="3"/>
  <c r="AZ209" i="3"/>
  <c r="BB210" i="3"/>
  <c r="BC210" i="3"/>
  <c r="BD210" i="3"/>
  <c r="BE210" i="3"/>
  <c r="BF210" i="3"/>
  <c r="BG210" i="3"/>
  <c r="BH210" i="3"/>
  <c r="BI210" i="3"/>
  <c r="BJ210" i="3"/>
  <c r="BK210" i="3"/>
  <c r="BA210" i="3"/>
  <c r="BM210" i="3"/>
  <c r="BN210" i="3"/>
  <c r="BO210" i="3"/>
  <c r="BP210" i="3"/>
  <c r="BR210" i="3"/>
  <c r="BT210" i="3"/>
  <c r="BL210" i="3"/>
  <c r="AZ210" i="3"/>
  <c r="BB211" i="3"/>
  <c r="BC211" i="3"/>
  <c r="BD211" i="3"/>
  <c r="BE211" i="3"/>
  <c r="BF211" i="3"/>
  <c r="BG211" i="3"/>
  <c r="BH211" i="3"/>
  <c r="BI211" i="3"/>
  <c r="BJ211" i="3"/>
  <c r="BK211" i="3"/>
  <c r="BA211" i="3"/>
  <c r="BM211" i="3"/>
  <c r="BN211" i="3"/>
  <c r="BO211" i="3"/>
  <c r="BP211" i="3"/>
  <c r="BR211" i="3"/>
  <c r="BT211" i="3"/>
  <c r="BL211" i="3"/>
  <c r="AZ211" i="3"/>
  <c r="BB212" i="3"/>
  <c r="BC212" i="3"/>
  <c r="BD212" i="3"/>
  <c r="BE212" i="3"/>
  <c r="BF212" i="3"/>
  <c r="BG212" i="3"/>
  <c r="BH212" i="3"/>
  <c r="BI212" i="3"/>
  <c r="BJ212" i="3"/>
  <c r="BK212" i="3"/>
  <c r="BA212" i="3"/>
  <c r="BM212" i="3"/>
  <c r="BN212" i="3"/>
  <c r="BO212" i="3"/>
  <c r="BP212" i="3"/>
  <c r="BR212" i="3"/>
  <c r="BT212" i="3"/>
  <c r="BL212" i="3"/>
  <c r="AZ212" i="3"/>
  <c r="BB213" i="3"/>
  <c r="BC213" i="3"/>
  <c r="BD213" i="3"/>
  <c r="BE213" i="3"/>
  <c r="BF213" i="3"/>
  <c r="BG213" i="3"/>
  <c r="BH213" i="3"/>
  <c r="BI213" i="3"/>
  <c r="BJ213" i="3"/>
  <c r="BK213" i="3"/>
  <c r="BA213" i="3"/>
  <c r="BM213" i="3"/>
  <c r="BN213" i="3"/>
  <c r="BO213" i="3"/>
  <c r="BP213" i="3"/>
  <c r="BR213" i="3"/>
  <c r="BT213" i="3"/>
  <c r="BL213" i="3"/>
  <c r="AZ213" i="3"/>
  <c r="BB214" i="3"/>
  <c r="BC214" i="3"/>
  <c r="BD214" i="3"/>
  <c r="BE214" i="3"/>
  <c r="BF214" i="3"/>
  <c r="BG214" i="3"/>
  <c r="BH214" i="3"/>
  <c r="BI214" i="3"/>
  <c r="BJ214" i="3"/>
  <c r="BK214" i="3"/>
  <c r="BA214" i="3"/>
  <c r="BM214" i="3"/>
  <c r="BN214" i="3"/>
  <c r="BO214" i="3"/>
  <c r="BP214" i="3"/>
  <c r="BR214" i="3"/>
  <c r="BT214" i="3"/>
  <c r="BL214" i="3"/>
  <c r="AZ214" i="3"/>
  <c r="BB215" i="3"/>
  <c r="BC215" i="3"/>
  <c r="BD215" i="3"/>
  <c r="BE215" i="3"/>
  <c r="BF215" i="3"/>
  <c r="BG215" i="3"/>
  <c r="BH215" i="3"/>
  <c r="BI215" i="3"/>
  <c r="BJ215" i="3"/>
  <c r="BK215" i="3"/>
  <c r="BA215" i="3"/>
  <c r="BM215" i="3"/>
  <c r="BN215" i="3"/>
  <c r="BO215" i="3"/>
  <c r="BP215" i="3"/>
  <c r="BR215" i="3"/>
  <c r="BT215" i="3"/>
  <c r="BL215" i="3"/>
  <c r="AZ215" i="3"/>
  <c r="BB216" i="3"/>
  <c r="BC216" i="3"/>
  <c r="BD216" i="3"/>
  <c r="BE216" i="3"/>
  <c r="BF216" i="3"/>
  <c r="BG216" i="3"/>
  <c r="BH216" i="3"/>
  <c r="BI216" i="3"/>
  <c r="BJ216" i="3"/>
  <c r="BK216" i="3"/>
  <c r="BA216" i="3"/>
  <c r="BM216" i="3"/>
  <c r="BN216" i="3"/>
  <c r="BO216" i="3"/>
  <c r="BP216" i="3"/>
  <c r="BR216" i="3"/>
  <c r="BT216" i="3"/>
  <c r="BL216" i="3"/>
  <c r="AZ216" i="3"/>
  <c r="BB217" i="3"/>
  <c r="BC217" i="3"/>
  <c r="BD217" i="3"/>
  <c r="BE217" i="3"/>
  <c r="BF217" i="3"/>
  <c r="BG217" i="3"/>
  <c r="BH217" i="3"/>
  <c r="BI217" i="3"/>
  <c r="BJ217" i="3"/>
  <c r="BK217" i="3"/>
  <c r="BA217" i="3"/>
  <c r="BM217" i="3"/>
  <c r="BN217" i="3"/>
  <c r="BO217" i="3"/>
  <c r="BP217" i="3"/>
  <c r="BR217" i="3"/>
  <c r="BT217" i="3"/>
  <c r="BL217" i="3"/>
  <c r="AZ217" i="3"/>
  <c r="BB218" i="3"/>
  <c r="BC218" i="3"/>
  <c r="BD218" i="3"/>
  <c r="BE218" i="3"/>
  <c r="BF218" i="3"/>
  <c r="BG218" i="3"/>
  <c r="BH218" i="3"/>
  <c r="BI218" i="3"/>
  <c r="BJ218" i="3"/>
  <c r="BK218" i="3"/>
  <c r="BA218" i="3"/>
  <c r="BM218" i="3"/>
  <c r="BN218" i="3"/>
  <c r="BO218" i="3"/>
  <c r="BP218" i="3"/>
  <c r="BR218" i="3"/>
  <c r="BT218" i="3"/>
  <c r="BL218" i="3"/>
  <c r="AZ218" i="3"/>
  <c r="BB219" i="3"/>
  <c r="BC219" i="3"/>
  <c r="BD219" i="3"/>
  <c r="BE219" i="3"/>
  <c r="BF219" i="3"/>
  <c r="BG219" i="3"/>
  <c r="BH219" i="3"/>
  <c r="BI219" i="3"/>
  <c r="BJ219" i="3"/>
  <c r="BK219" i="3"/>
  <c r="BA219" i="3"/>
  <c r="BM219" i="3"/>
  <c r="BN219" i="3"/>
  <c r="BO219" i="3"/>
  <c r="BP219" i="3"/>
  <c r="BR219" i="3"/>
  <c r="BT219" i="3"/>
  <c r="BL219" i="3"/>
  <c r="AZ219" i="3"/>
  <c r="BB220" i="3"/>
  <c r="BC220" i="3"/>
  <c r="BD220" i="3"/>
  <c r="BE220" i="3"/>
  <c r="BF220" i="3"/>
  <c r="BG220" i="3"/>
  <c r="BH220" i="3"/>
  <c r="BI220" i="3"/>
  <c r="BJ220" i="3"/>
  <c r="BK220" i="3"/>
  <c r="BA220" i="3"/>
  <c r="BM220" i="3"/>
  <c r="BN220" i="3"/>
  <c r="BO220" i="3"/>
  <c r="BP220" i="3"/>
  <c r="BR220" i="3"/>
  <c r="BT220" i="3"/>
  <c r="BL220" i="3"/>
  <c r="AZ220" i="3"/>
  <c r="BB221" i="3"/>
  <c r="BC221" i="3"/>
  <c r="BD221" i="3"/>
  <c r="BE221" i="3"/>
  <c r="BF221" i="3"/>
  <c r="BG221" i="3"/>
  <c r="BH221" i="3"/>
  <c r="BI221" i="3"/>
  <c r="BJ221" i="3"/>
  <c r="BK221" i="3"/>
  <c r="BA221" i="3"/>
  <c r="BM221" i="3"/>
  <c r="BN221" i="3"/>
  <c r="BO221" i="3"/>
  <c r="BP221" i="3"/>
  <c r="BR221" i="3"/>
  <c r="BT221" i="3"/>
  <c r="BL221" i="3"/>
  <c r="AZ221" i="3"/>
  <c r="BB222" i="3"/>
  <c r="BC222" i="3"/>
  <c r="BD222" i="3"/>
  <c r="BE222" i="3"/>
  <c r="BF222" i="3"/>
  <c r="BG222" i="3"/>
  <c r="BH222" i="3"/>
  <c r="BI222" i="3"/>
  <c r="BJ222" i="3"/>
  <c r="BK222" i="3"/>
  <c r="BA222" i="3"/>
  <c r="BM222" i="3"/>
  <c r="BN222" i="3"/>
  <c r="BO222" i="3"/>
  <c r="BP222" i="3"/>
  <c r="BR222" i="3"/>
  <c r="BT222" i="3"/>
  <c r="BL222" i="3"/>
  <c r="AZ222" i="3"/>
  <c r="BB223" i="3"/>
  <c r="BC223" i="3"/>
  <c r="BD223" i="3"/>
  <c r="BE223" i="3"/>
  <c r="BF223" i="3"/>
  <c r="BG223" i="3"/>
  <c r="BH223" i="3"/>
  <c r="BI223" i="3"/>
  <c r="BJ223" i="3"/>
  <c r="BK223" i="3"/>
  <c r="BA223" i="3"/>
  <c r="BM223" i="3"/>
  <c r="BN223" i="3"/>
  <c r="BO223" i="3"/>
  <c r="BP223" i="3"/>
  <c r="BR223" i="3"/>
  <c r="BT223" i="3"/>
  <c r="BL223" i="3"/>
  <c r="AZ223" i="3"/>
  <c r="BB224" i="3"/>
  <c r="BC224" i="3"/>
  <c r="BD224" i="3"/>
  <c r="BE224" i="3"/>
  <c r="BF224" i="3"/>
  <c r="BG224" i="3"/>
  <c r="BH224" i="3"/>
  <c r="BI224" i="3"/>
  <c r="BJ224" i="3"/>
  <c r="BK224" i="3"/>
  <c r="BA224" i="3"/>
  <c r="BM224" i="3"/>
  <c r="BN224" i="3"/>
  <c r="BO224" i="3"/>
  <c r="BP224" i="3"/>
  <c r="BR224" i="3"/>
  <c r="BT224" i="3"/>
  <c r="BL224" i="3"/>
  <c r="AZ224" i="3"/>
  <c r="BB225" i="3"/>
  <c r="BC225" i="3"/>
  <c r="BD225" i="3"/>
  <c r="BE225" i="3"/>
  <c r="BF225" i="3"/>
  <c r="BG225" i="3"/>
  <c r="BH225" i="3"/>
  <c r="BI225" i="3"/>
  <c r="BJ225" i="3"/>
  <c r="BK225" i="3"/>
  <c r="BA225" i="3"/>
  <c r="BM225" i="3"/>
  <c r="BN225" i="3"/>
  <c r="BO225" i="3"/>
  <c r="BP225" i="3"/>
  <c r="BR225" i="3"/>
  <c r="BT225" i="3"/>
  <c r="BL225" i="3"/>
  <c r="AZ225" i="3"/>
  <c r="BB226" i="3"/>
  <c r="BC226" i="3"/>
  <c r="BD226" i="3"/>
  <c r="BE226" i="3"/>
  <c r="BF226" i="3"/>
  <c r="BG226" i="3"/>
  <c r="BH226" i="3"/>
  <c r="BI226" i="3"/>
  <c r="BJ226" i="3"/>
  <c r="BK226" i="3"/>
  <c r="BA226" i="3"/>
  <c r="BM226" i="3"/>
  <c r="BN226" i="3"/>
  <c r="BO226" i="3"/>
  <c r="BP226" i="3"/>
  <c r="BR226" i="3"/>
  <c r="BT226" i="3"/>
  <c r="BL226" i="3"/>
  <c r="AZ226" i="3"/>
  <c r="BB227" i="3"/>
  <c r="BC227" i="3"/>
  <c r="BD227" i="3"/>
  <c r="BE227" i="3"/>
  <c r="BF227" i="3"/>
  <c r="BG227" i="3"/>
  <c r="BH227" i="3"/>
  <c r="BI227" i="3"/>
  <c r="BJ227" i="3"/>
  <c r="BK227" i="3"/>
  <c r="BA227" i="3"/>
  <c r="BM227" i="3"/>
  <c r="BN227" i="3"/>
  <c r="BO227" i="3"/>
  <c r="BP227" i="3"/>
  <c r="BR227" i="3"/>
  <c r="BT227" i="3"/>
  <c r="BL227" i="3"/>
  <c r="AZ227" i="3"/>
  <c r="BB228" i="3"/>
  <c r="BC228" i="3"/>
  <c r="BD228" i="3"/>
  <c r="BE228" i="3"/>
  <c r="BF228" i="3"/>
  <c r="BG228" i="3"/>
  <c r="BH228" i="3"/>
  <c r="BI228" i="3"/>
  <c r="BJ228" i="3"/>
  <c r="BK228" i="3"/>
  <c r="BA228" i="3"/>
  <c r="BM228" i="3"/>
  <c r="BN228" i="3"/>
  <c r="BO228" i="3"/>
  <c r="BP228" i="3"/>
  <c r="BR228" i="3"/>
  <c r="BT228" i="3"/>
  <c r="BL228" i="3"/>
  <c r="AZ228" i="3"/>
  <c r="BB229" i="3"/>
  <c r="BC229" i="3"/>
  <c r="BD229" i="3"/>
  <c r="BE229" i="3"/>
  <c r="BF229" i="3"/>
  <c r="BG229" i="3"/>
  <c r="BH229" i="3"/>
  <c r="BI229" i="3"/>
  <c r="BJ229" i="3"/>
  <c r="BK229" i="3"/>
  <c r="BA229" i="3"/>
  <c r="BM229" i="3"/>
  <c r="BN229" i="3"/>
  <c r="BO229" i="3"/>
  <c r="BP229" i="3"/>
  <c r="BR229" i="3"/>
  <c r="BT229" i="3"/>
  <c r="BL229" i="3"/>
  <c r="AZ229" i="3"/>
  <c r="BB230" i="3"/>
  <c r="BC230" i="3"/>
  <c r="BD230" i="3"/>
  <c r="BE230" i="3"/>
  <c r="BF230" i="3"/>
  <c r="BG230" i="3"/>
  <c r="BH230" i="3"/>
  <c r="BI230" i="3"/>
  <c r="BJ230" i="3"/>
  <c r="BK230" i="3"/>
  <c r="BA230" i="3"/>
  <c r="BM230" i="3"/>
  <c r="BN230" i="3"/>
  <c r="BO230" i="3"/>
  <c r="BP230" i="3"/>
  <c r="BR230" i="3"/>
  <c r="BT230" i="3"/>
  <c r="BL230" i="3"/>
  <c r="AZ230" i="3"/>
  <c r="BB231" i="3"/>
  <c r="BC231" i="3"/>
  <c r="BD231" i="3"/>
  <c r="BE231" i="3"/>
  <c r="BF231" i="3"/>
  <c r="BG231" i="3"/>
  <c r="BH231" i="3"/>
  <c r="BI231" i="3"/>
  <c r="BJ231" i="3"/>
  <c r="BK231" i="3"/>
  <c r="BA231" i="3"/>
  <c r="BM231" i="3"/>
  <c r="BN231" i="3"/>
  <c r="BO231" i="3"/>
  <c r="BP231" i="3"/>
  <c r="BR231" i="3"/>
  <c r="BT231" i="3"/>
  <c r="BL231" i="3"/>
  <c r="AZ231" i="3"/>
  <c r="BB232" i="3"/>
  <c r="BC232" i="3"/>
  <c r="BD232" i="3"/>
  <c r="BE232" i="3"/>
  <c r="BF232" i="3"/>
  <c r="BG232" i="3"/>
  <c r="BH232" i="3"/>
  <c r="BI232" i="3"/>
  <c r="BJ232" i="3"/>
  <c r="BK232" i="3"/>
  <c r="BA232" i="3"/>
  <c r="BM232" i="3"/>
  <c r="BN232" i="3"/>
  <c r="BO232" i="3"/>
  <c r="BP232" i="3"/>
  <c r="BR232" i="3"/>
  <c r="BT232" i="3"/>
  <c r="BL232" i="3"/>
  <c r="AZ232" i="3"/>
  <c r="BB233" i="3"/>
  <c r="BC233" i="3"/>
  <c r="BD233" i="3"/>
  <c r="BE233" i="3"/>
  <c r="BF233" i="3"/>
  <c r="BG233" i="3"/>
  <c r="BH233" i="3"/>
  <c r="BI233" i="3"/>
  <c r="BJ233" i="3"/>
  <c r="BK233" i="3"/>
  <c r="BA233" i="3"/>
  <c r="BM233" i="3"/>
  <c r="BN233" i="3"/>
  <c r="BO233" i="3"/>
  <c r="BP233" i="3"/>
  <c r="BR233" i="3"/>
  <c r="BT233" i="3"/>
  <c r="BL233" i="3"/>
  <c r="AZ233" i="3"/>
  <c r="BB234" i="3"/>
  <c r="BC234" i="3"/>
  <c r="BD234" i="3"/>
  <c r="BE234" i="3"/>
  <c r="BF234" i="3"/>
  <c r="BG234" i="3"/>
  <c r="BH234" i="3"/>
  <c r="BI234" i="3"/>
  <c r="BJ234" i="3"/>
  <c r="BK234" i="3"/>
  <c r="BA234" i="3"/>
  <c r="BM234" i="3"/>
  <c r="BN234" i="3"/>
  <c r="BO234" i="3"/>
  <c r="BP234" i="3"/>
  <c r="BR234" i="3"/>
  <c r="BT234" i="3"/>
  <c r="BL234" i="3"/>
  <c r="AZ234" i="3"/>
  <c r="BB235" i="3"/>
  <c r="BC235" i="3"/>
  <c r="BD235" i="3"/>
  <c r="BE235" i="3"/>
  <c r="BF235" i="3"/>
  <c r="BG235" i="3"/>
  <c r="BH235" i="3"/>
  <c r="BI235" i="3"/>
  <c r="BJ235" i="3"/>
  <c r="BK235" i="3"/>
  <c r="BA235" i="3"/>
  <c r="BM235" i="3"/>
  <c r="BN235" i="3"/>
  <c r="BO235" i="3"/>
  <c r="BP235" i="3"/>
  <c r="BR235" i="3"/>
  <c r="BT235" i="3"/>
  <c r="BL235" i="3"/>
  <c r="AZ235" i="3"/>
  <c r="BB236" i="3"/>
  <c r="BC236" i="3"/>
  <c r="BD236" i="3"/>
  <c r="BE236" i="3"/>
  <c r="BF236" i="3"/>
  <c r="BG236" i="3"/>
  <c r="BH236" i="3"/>
  <c r="BI236" i="3"/>
  <c r="BJ236" i="3"/>
  <c r="BK236" i="3"/>
  <c r="BA236" i="3"/>
  <c r="BM236" i="3"/>
  <c r="BN236" i="3"/>
  <c r="BO236" i="3"/>
  <c r="BP236" i="3"/>
  <c r="BR236" i="3"/>
  <c r="BT236" i="3"/>
  <c r="BL236" i="3"/>
  <c r="AZ236" i="3"/>
  <c r="BB237" i="3"/>
  <c r="BC237" i="3"/>
  <c r="BD237" i="3"/>
  <c r="BE237" i="3"/>
  <c r="BF237" i="3"/>
  <c r="BG237" i="3"/>
  <c r="BH237" i="3"/>
  <c r="BI237" i="3"/>
  <c r="BJ237" i="3"/>
  <c r="BK237" i="3"/>
  <c r="BA237" i="3"/>
  <c r="BM237" i="3"/>
  <c r="BN237" i="3"/>
  <c r="BO237" i="3"/>
  <c r="BP237" i="3"/>
  <c r="BR237" i="3"/>
  <c r="BT237" i="3"/>
  <c r="BL237" i="3"/>
  <c r="AZ237" i="3"/>
  <c r="BB238" i="3"/>
  <c r="BC238" i="3"/>
  <c r="BD238" i="3"/>
  <c r="BE238" i="3"/>
  <c r="BF238" i="3"/>
  <c r="BG238" i="3"/>
  <c r="BH238" i="3"/>
  <c r="BI238" i="3"/>
  <c r="BJ238" i="3"/>
  <c r="BK238" i="3"/>
  <c r="BA238" i="3"/>
  <c r="BM238" i="3"/>
  <c r="BN238" i="3"/>
  <c r="BO238" i="3"/>
  <c r="BP238" i="3"/>
  <c r="BR238" i="3"/>
  <c r="BT238" i="3"/>
  <c r="BL238" i="3"/>
  <c r="AZ238" i="3"/>
  <c r="BB239" i="3"/>
  <c r="BC239" i="3"/>
  <c r="BD239" i="3"/>
  <c r="BE239" i="3"/>
  <c r="BF239" i="3"/>
  <c r="BG239" i="3"/>
  <c r="BH239" i="3"/>
  <c r="BI239" i="3"/>
  <c r="BJ239" i="3"/>
  <c r="BK239" i="3"/>
  <c r="BA239" i="3"/>
  <c r="BM239" i="3"/>
  <c r="BN239" i="3"/>
  <c r="BO239" i="3"/>
  <c r="BP239" i="3"/>
  <c r="BR239" i="3"/>
  <c r="BT239" i="3"/>
  <c r="BL239" i="3"/>
  <c r="AZ239" i="3"/>
  <c r="BB240" i="3"/>
  <c r="BC240" i="3"/>
  <c r="BD240" i="3"/>
  <c r="BE240" i="3"/>
  <c r="BF240" i="3"/>
  <c r="BG240" i="3"/>
  <c r="BH240" i="3"/>
  <c r="BI240" i="3"/>
  <c r="BJ240" i="3"/>
  <c r="BK240" i="3"/>
  <c r="BA240" i="3"/>
  <c r="BM240" i="3"/>
  <c r="BN240" i="3"/>
  <c r="BO240" i="3"/>
  <c r="BP240" i="3"/>
  <c r="BR240" i="3"/>
  <c r="BT240" i="3"/>
  <c r="BL240" i="3"/>
  <c r="AZ240" i="3"/>
  <c r="BB241" i="3"/>
  <c r="BC241" i="3"/>
  <c r="BD241" i="3"/>
  <c r="BE241" i="3"/>
  <c r="BF241" i="3"/>
  <c r="BG241" i="3"/>
  <c r="BH241" i="3"/>
  <c r="BI241" i="3"/>
  <c r="BJ241" i="3"/>
  <c r="BK241" i="3"/>
  <c r="BA241" i="3"/>
  <c r="BM241" i="3"/>
  <c r="BN241" i="3"/>
  <c r="BO241" i="3"/>
  <c r="BP241" i="3"/>
  <c r="BR241" i="3"/>
  <c r="BT241" i="3"/>
  <c r="BL241" i="3"/>
  <c r="AZ241" i="3"/>
  <c r="BB242" i="3"/>
  <c r="BC242" i="3"/>
  <c r="BD242" i="3"/>
  <c r="BE242" i="3"/>
  <c r="BF242" i="3"/>
  <c r="BG242" i="3"/>
  <c r="BH242" i="3"/>
  <c r="BI242" i="3"/>
  <c r="BJ242" i="3"/>
  <c r="BK242" i="3"/>
  <c r="BA242" i="3"/>
  <c r="BM242" i="3"/>
  <c r="BN242" i="3"/>
  <c r="BO242" i="3"/>
  <c r="BP242" i="3"/>
  <c r="BR242" i="3"/>
  <c r="BT242" i="3"/>
  <c r="BL242" i="3"/>
  <c r="AZ242" i="3"/>
  <c r="BB243" i="3"/>
  <c r="BC243" i="3"/>
  <c r="BD243" i="3"/>
  <c r="BE243" i="3"/>
  <c r="BF243" i="3"/>
  <c r="BG243" i="3"/>
  <c r="BH243" i="3"/>
  <c r="BI243" i="3"/>
  <c r="BJ243" i="3"/>
  <c r="BK243" i="3"/>
  <c r="BA243" i="3"/>
  <c r="BM243" i="3"/>
  <c r="BN243" i="3"/>
  <c r="BO243" i="3"/>
  <c r="BP243" i="3"/>
  <c r="BR243" i="3"/>
  <c r="BT243" i="3"/>
  <c r="BL243" i="3"/>
  <c r="AZ243" i="3"/>
  <c r="BB244" i="3"/>
  <c r="BC244" i="3"/>
  <c r="BD244" i="3"/>
  <c r="BE244" i="3"/>
  <c r="BF244" i="3"/>
  <c r="BG244" i="3"/>
  <c r="BH244" i="3"/>
  <c r="BI244" i="3"/>
  <c r="BJ244" i="3"/>
  <c r="BK244" i="3"/>
  <c r="BA244" i="3"/>
  <c r="BM244" i="3"/>
  <c r="BN244" i="3"/>
  <c r="BO244" i="3"/>
  <c r="BP244" i="3"/>
  <c r="BR244" i="3"/>
  <c r="BT244" i="3"/>
  <c r="BL244" i="3"/>
  <c r="AZ244" i="3"/>
  <c r="BB245" i="3"/>
  <c r="BC245" i="3"/>
  <c r="BD245" i="3"/>
  <c r="BE245" i="3"/>
  <c r="BF245" i="3"/>
  <c r="BG245" i="3"/>
  <c r="BH245" i="3"/>
  <c r="BI245" i="3"/>
  <c r="BJ245" i="3"/>
  <c r="BK245" i="3"/>
  <c r="BA245" i="3"/>
  <c r="BM245" i="3"/>
  <c r="BN245" i="3"/>
  <c r="BO245" i="3"/>
  <c r="BP245" i="3"/>
  <c r="BR245" i="3"/>
  <c r="BT245" i="3"/>
  <c r="BL245" i="3"/>
  <c r="AZ245" i="3"/>
  <c r="BB246" i="3"/>
  <c r="BC246" i="3"/>
  <c r="BD246" i="3"/>
  <c r="BE246" i="3"/>
  <c r="BF246" i="3"/>
  <c r="BG246" i="3"/>
  <c r="BH246" i="3"/>
  <c r="BI246" i="3"/>
  <c r="BJ246" i="3"/>
  <c r="BK246" i="3"/>
  <c r="BA246" i="3"/>
  <c r="BM246" i="3"/>
  <c r="BN246" i="3"/>
  <c r="BO246" i="3"/>
  <c r="BP246" i="3"/>
  <c r="BR246" i="3"/>
  <c r="BT246" i="3"/>
  <c r="BL246" i="3"/>
  <c r="AZ246" i="3"/>
  <c r="BB247" i="3"/>
  <c r="BC247" i="3"/>
  <c r="BD247" i="3"/>
  <c r="BE247" i="3"/>
  <c r="BF247" i="3"/>
  <c r="BG247" i="3"/>
  <c r="BH247" i="3"/>
  <c r="BI247" i="3"/>
  <c r="BJ247" i="3"/>
  <c r="BK247" i="3"/>
  <c r="BA247" i="3"/>
  <c r="BM247" i="3"/>
  <c r="BN247" i="3"/>
  <c r="BO247" i="3"/>
  <c r="BP247" i="3"/>
  <c r="BR247" i="3"/>
  <c r="BT247" i="3"/>
  <c r="BL247" i="3"/>
  <c r="AZ247" i="3"/>
  <c r="BB248" i="3"/>
  <c r="BC248" i="3"/>
  <c r="BD248" i="3"/>
  <c r="BE248" i="3"/>
  <c r="BF248" i="3"/>
  <c r="BG248" i="3"/>
  <c r="BH248" i="3"/>
  <c r="BI248" i="3"/>
  <c r="BJ248" i="3"/>
  <c r="BK248" i="3"/>
  <c r="BA248" i="3"/>
  <c r="BM248" i="3"/>
  <c r="BN248" i="3"/>
  <c r="BO248" i="3"/>
  <c r="BP248" i="3"/>
  <c r="BR248" i="3"/>
  <c r="BT248" i="3"/>
  <c r="BL248" i="3"/>
  <c r="AZ248" i="3"/>
  <c r="BB249" i="3"/>
  <c r="BC249" i="3"/>
  <c r="BD249" i="3"/>
  <c r="BE249" i="3"/>
  <c r="BF249" i="3"/>
  <c r="BG249" i="3"/>
  <c r="BH249" i="3"/>
  <c r="BI249" i="3"/>
  <c r="BJ249" i="3"/>
  <c r="BK249" i="3"/>
  <c r="BA249" i="3"/>
  <c r="BM249" i="3"/>
  <c r="BN249" i="3"/>
  <c r="BO249" i="3"/>
  <c r="BP249" i="3"/>
  <c r="BR249" i="3"/>
  <c r="BT249" i="3"/>
  <c r="BL249" i="3"/>
  <c r="AZ249" i="3"/>
  <c r="BB250" i="3"/>
  <c r="BC250" i="3"/>
  <c r="BD250" i="3"/>
  <c r="BE250" i="3"/>
  <c r="BF250" i="3"/>
  <c r="BG250" i="3"/>
  <c r="BH250" i="3"/>
  <c r="BI250" i="3"/>
  <c r="BJ250" i="3"/>
  <c r="BK250" i="3"/>
  <c r="BA250" i="3"/>
  <c r="BM250" i="3"/>
  <c r="BN250" i="3"/>
  <c r="BO250" i="3"/>
  <c r="BP250" i="3"/>
  <c r="BR250" i="3"/>
  <c r="BT250" i="3"/>
  <c r="BL250" i="3"/>
  <c r="AZ250" i="3"/>
  <c r="BB251" i="3"/>
  <c r="BC251" i="3"/>
  <c r="BD251" i="3"/>
  <c r="BE251" i="3"/>
  <c r="BF251" i="3"/>
  <c r="BG251" i="3"/>
  <c r="BH251" i="3"/>
  <c r="BI251" i="3"/>
  <c r="BJ251" i="3"/>
  <c r="BK251" i="3"/>
  <c r="BA251" i="3"/>
  <c r="BM251" i="3"/>
  <c r="BN251" i="3"/>
  <c r="BO251" i="3"/>
  <c r="BP251" i="3"/>
  <c r="BR251" i="3"/>
  <c r="BT251" i="3"/>
  <c r="BL251" i="3"/>
  <c r="AZ251" i="3"/>
  <c r="BB252" i="3"/>
  <c r="BC252" i="3"/>
  <c r="BD252" i="3"/>
  <c r="BE252" i="3"/>
  <c r="BF252" i="3"/>
  <c r="BG252" i="3"/>
  <c r="BH252" i="3"/>
  <c r="BI252" i="3"/>
  <c r="BJ252" i="3"/>
  <c r="BK252" i="3"/>
  <c r="BA252" i="3"/>
  <c r="BM252" i="3"/>
  <c r="BN252" i="3"/>
  <c r="BO252" i="3"/>
  <c r="BP252" i="3"/>
  <c r="BR252" i="3"/>
  <c r="BT252" i="3"/>
  <c r="BL252" i="3"/>
  <c r="AZ252" i="3"/>
  <c r="BB253" i="3"/>
  <c r="BC253" i="3"/>
  <c r="BD253" i="3"/>
  <c r="BE253" i="3"/>
  <c r="BF253" i="3"/>
  <c r="BG253" i="3"/>
  <c r="BH253" i="3"/>
  <c r="BI253" i="3"/>
  <c r="BJ253" i="3"/>
  <c r="BK253" i="3"/>
  <c r="BA253" i="3"/>
  <c r="BM253" i="3"/>
  <c r="BN253" i="3"/>
  <c r="BO253" i="3"/>
  <c r="BP253" i="3"/>
  <c r="BR253" i="3"/>
  <c r="BT253" i="3"/>
  <c r="BL253" i="3"/>
  <c r="AZ253" i="3"/>
  <c r="BB254" i="3"/>
  <c r="BC254" i="3"/>
  <c r="BD254" i="3"/>
  <c r="BE254" i="3"/>
  <c r="BF254" i="3"/>
  <c r="BG254" i="3"/>
  <c r="BH254" i="3"/>
  <c r="BI254" i="3"/>
  <c r="BJ254" i="3"/>
  <c r="BK254" i="3"/>
  <c r="BA254" i="3"/>
  <c r="BM254" i="3"/>
  <c r="BN254" i="3"/>
  <c r="BO254" i="3"/>
  <c r="BP254" i="3"/>
  <c r="BR254" i="3"/>
  <c r="BT254" i="3"/>
  <c r="BL254" i="3"/>
  <c r="AZ254" i="3"/>
  <c r="BB255" i="3"/>
  <c r="BC255" i="3"/>
  <c r="BD255" i="3"/>
  <c r="BE255" i="3"/>
  <c r="BF255" i="3"/>
  <c r="BG255" i="3"/>
  <c r="BH255" i="3"/>
  <c r="BI255" i="3"/>
  <c r="BJ255" i="3"/>
  <c r="BK255" i="3"/>
  <c r="BA255" i="3"/>
  <c r="BM255" i="3"/>
  <c r="BN255" i="3"/>
  <c r="BO255" i="3"/>
  <c r="BP255" i="3"/>
  <c r="BR255" i="3"/>
  <c r="BT255" i="3"/>
  <c r="BL255" i="3"/>
  <c r="AZ255" i="3"/>
  <c r="BB256" i="3"/>
  <c r="BC256" i="3"/>
  <c r="BD256" i="3"/>
  <c r="BE256" i="3"/>
  <c r="BF256" i="3"/>
  <c r="BG256" i="3"/>
  <c r="BH256" i="3"/>
  <c r="BI256" i="3"/>
  <c r="BJ256" i="3"/>
  <c r="BK256" i="3"/>
  <c r="BA256" i="3"/>
  <c r="BM256" i="3"/>
  <c r="BN256" i="3"/>
  <c r="BO256" i="3"/>
  <c r="BP256" i="3"/>
  <c r="BR256" i="3"/>
  <c r="BT256" i="3"/>
  <c r="BL256" i="3"/>
  <c r="AZ256" i="3"/>
  <c r="BB257" i="3"/>
  <c r="BC257" i="3"/>
  <c r="BD257" i="3"/>
  <c r="BE257" i="3"/>
  <c r="BF257" i="3"/>
  <c r="BG257" i="3"/>
  <c r="BH257" i="3"/>
  <c r="BI257" i="3"/>
  <c r="BJ257" i="3"/>
  <c r="BK257" i="3"/>
  <c r="BA257" i="3"/>
  <c r="BM257" i="3"/>
  <c r="BN257" i="3"/>
  <c r="BO257" i="3"/>
  <c r="BP257" i="3"/>
  <c r="BR257" i="3"/>
  <c r="BT257" i="3"/>
  <c r="BL257" i="3"/>
  <c r="AZ257" i="3"/>
  <c r="BB258" i="3"/>
  <c r="BC258" i="3"/>
  <c r="BD258" i="3"/>
  <c r="BE258" i="3"/>
  <c r="BF258" i="3"/>
  <c r="BG258" i="3"/>
  <c r="BH258" i="3"/>
  <c r="BI258" i="3"/>
  <c r="BJ258" i="3"/>
  <c r="BK258" i="3"/>
  <c r="BA258" i="3"/>
  <c r="BM258" i="3"/>
  <c r="BN258" i="3"/>
  <c r="BO258" i="3"/>
  <c r="BP258" i="3"/>
  <c r="BR258" i="3"/>
  <c r="BT258" i="3"/>
  <c r="BL258" i="3"/>
  <c r="AZ258" i="3"/>
  <c r="BB259" i="3"/>
  <c r="BC259" i="3"/>
  <c r="BD259" i="3"/>
  <c r="BE259" i="3"/>
  <c r="BF259" i="3"/>
  <c r="BG259" i="3"/>
  <c r="BH259" i="3"/>
  <c r="BI259" i="3"/>
  <c r="BJ259" i="3"/>
  <c r="BK259" i="3"/>
  <c r="BA259" i="3"/>
  <c r="BM259" i="3"/>
  <c r="BN259" i="3"/>
  <c r="BO259" i="3"/>
  <c r="BP259" i="3"/>
  <c r="BR259" i="3"/>
  <c r="BT259" i="3"/>
  <c r="BL259" i="3"/>
  <c r="AZ259" i="3"/>
  <c r="BB260" i="3"/>
  <c r="BC260" i="3"/>
  <c r="BD260" i="3"/>
  <c r="BE260" i="3"/>
  <c r="BF260" i="3"/>
  <c r="BG260" i="3"/>
  <c r="BH260" i="3"/>
  <c r="BI260" i="3"/>
  <c r="BJ260" i="3"/>
  <c r="BK260" i="3"/>
  <c r="BA260" i="3"/>
  <c r="BM260" i="3"/>
  <c r="BN260" i="3"/>
  <c r="BO260" i="3"/>
  <c r="BP260" i="3"/>
  <c r="BR260" i="3"/>
  <c r="BT260" i="3"/>
  <c r="BL260" i="3"/>
  <c r="AZ260" i="3"/>
  <c r="BB261" i="3"/>
  <c r="BC261" i="3"/>
  <c r="BD261" i="3"/>
  <c r="BE261" i="3"/>
  <c r="BF261" i="3"/>
  <c r="BG261" i="3"/>
  <c r="BH261" i="3"/>
  <c r="BI261" i="3"/>
  <c r="BJ261" i="3"/>
  <c r="BK261" i="3"/>
  <c r="BA261" i="3"/>
  <c r="BM261" i="3"/>
  <c r="BN261" i="3"/>
  <c r="BO261" i="3"/>
  <c r="BP261" i="3"/>
  <c r="BR261" i="3"/>
  <c r="BT261" i="3"/>
  <c r="BL261" i="3"/>
  <c r="AZ261" i="3"/>
  <c r="BB262" i="3"/>
  <c r="BC262" i="3"/>
  <c r="BD262" i="3"/>
  <c r="BE262" i="3"/>
  <c r="BF262" i="3"/>
  <c r="BG262" i="3"/>
  <c r="BH262" i="3"/>
  <c r="BI262" i="3"/>
  <c r="BJ262" i="3"/>
  <c r="BK262" i="3"/>
  <c r="BA262" i="3"/>
  <c r="BM262" i="3"/>
  <c r="BN262" i="3"/>
  <c r="BO262" i="3"/>
  <c r="BP262" i="3"/>
  <c r="BR262" i="3"/>
  <c r="BT262" i="3"/>
  <c r="BL262" i="3"/>
  <c r="AZ262" i="3"/>
  <c r="BB263" i="3"/>
  <c r="BC263" i="3"/>
  <c r="BD263" i="3"/>
  <c r="BE263" i="3"/>
  <c r="BF263" i="3"/>
  <c r="BG263" i="3"/>
  <c r="BH263" i="3"/>
  <c r="BI263" i="3"/>
  <c r="BJ263" i="3"/>
  <c r="BK263" i="3"/>
  <c r="BA263" i="3"/>
  <c r="BM263" i="3"/>
  <c r="BN263" i="3"/>
  <c r="BO263" i="3"/>
  <c r="BP263" i="3"/>
  <c r="BR263" i="3"/>
  <c r="BT263" i="3"/>
  <c r="BL263" i="3"/>
  <c r="AZ263" i="3"/>
  <c r="BB264" i="3"/>
  <c r="BC264" i="3"/>
  <c r="BD264" i="3"/>
  <c r="BE264" i="3"/>
  <c r="BF264" i="3"/>
  <c r="BG264" i="3"/>
  <c r="BH264" i="3"/>
  <c r="BI264" i="3"/>
  <c r="BJ264" i="3"/>
  <c r="BK264" i="3"/>
  <c r="BA264" i="3"/>
  <c r="BM264" i="3"/>
  <c r="BN264" i="3"/>
  <c r="BO264" i="3"/>
  <c r="BP264" i="3"/>
  <c r="BR264" i="3"/>
  <c r="BT264" i="3"/>
  <c r="BL264" i="3"/>
  <c r="AZ264" i="3"/>
  <c r="BB265" i="3"/>
  <c r="BC265" i="3"/>
  <c r="BD265" i="3"/>
  <c r="BE265" i="3"/>
  <c r="BF265" i="3"/>
  <c r="BG265" i="3"/>
  <c r="BH265" i="3"/>
  <c r="BI265" i="3"/>
  <c r="BJ265" i="3"/>
  <c r="BK265" i="3"/>
  <c r="BA265" i="3"/>
  <c r="BM265" i="3"/>
  <c r="BN265" i="3"/>
  <c r="BO265" i="3"/>
  <c r="BP265" i="3"/>
  <c r="BR265" i="3"/>
  <c r="BT265" i="3"/>
  <c r="BL265" i="3"/>
  <c r="AZ265" i="3"/>
  <c r="BB266" i="3"/>
  <c r="BC266" i="3"/>
  <c r="BD266" i="3"/>
  <c r="BE266" i="3"/>
  <c r="BF266" i="3"/>
  <c r="BG266" i="3"/>
  <c r="BH266" i="3"/>
  <c r="BI266" i="3"/>
  <c r="BJ266" i="3"/>
  <c r="BK266" i="3"/>
  <c r="BA266" i="3"/>
  <c r="BM266" i="3"/>
  <c r="BN266" i="3"/>
  <c r="BO266" i="3"/>
  <c r="BP266" i="3"/>
  <c r="BR266" i="3"/>
  <c r="BT266" i="3"/>
  <c r="BL266" i="3"/>
  <c r="AZ266" i="3"/>
  <c r="BB267" i="3"/>
  <c r="BC267" i="3"/>
  <c r="BD267" i="3"/>
  <c r="BE267" i="3"/>
  <c r="BF267" i="3"/>
  <c r="BG267" i="3"/>
  <c r="BH267" i="3"/>
  <c r="BI267" i="3"/>
  <c r="BJ267" i="3"/>
  <c r="BK267" i="3"/>
  <c r="BA267" i="3"/>
  <c r="BM267" i="3"/>
  <c r="BN267" i="3"/>
  <c r="BO267" i="3"/>
  <c r="BP267" i="3"/>
  <c r="BR267" i="3"/>
  <c r="BT267" i="3"/>
  <c r="BL267" i="3"/>
  <c r="AZ267" i="3"/>
  <c r="BB268" i="3"/>
  <c r="BC268" i="3"/>
  <c r="BD268" i="3"/>
  <c r="BE268" i="3"/>
  <c r="BF268" i="3"/>
  <c r="BG268" i="3"/>
  <c r="BH268" i="3"/>
  <c r="BI268" i="3"/>
  <c r="BJ268" i="3"/>
  <c r="BK268" i="3"/>
  <c r="BA268" i="3"/>
  <c r="BM268" i="3"/>
  <c r="BN268" i="3"/>
  <c r="BO268" i="3"/>
  <c r="BP268" i="3"/>
  <c r="BR268" i="3"/>
  <c r="BT268" i="3"/>
  <c r="BL268" i="3"/>
  <c r="AZ268" i="3"/>
  <c r="BB269" i="3"/>
  <c r="BC269" i="3"/>
  <c r="BD269" i="3"/>
  <c r="BE269" i="3"/>
  <c r="BF269" i="3"/>
  <c r="BG269" i="3"/>
  <c r="BH269" i="3"/>
  <c r="BI269" i="3"/>
  <c r="BJ269" i="3"/>
  <c r="BK269" i="3"/>
  <c r="BA269" i="3"/>
  <c r="BM269" i="3"/>
  <c r="BN269" i="3"/>
  <c r="BO269" i="3"/>
  <c r="BP269" i="3"/>
  <c r="BR269" i="3"/>
  <c r="BT269" i="3"/>
  <c r="BL269" i="3"/>
  <c r="AZ269" i="3"/>
  <c r="BB270" i="3"/>
  <c r="BC270" i="3"/>
  <c r="BD270" i="3"/>
  <c r="BE270" i="3"/>
  <c r="BF270" i="3"/>
  <c r="BG270" i="3"/>
  <c r="BH270" i="3"/>
  <c r="BI270" i="3"/>
  <c r="BJ270" i="3"/>
  <c r="BK270" i="3"/>
  <c r="BA270" i="3"/>
  <c r="BM270" i="3"/>
  <c r="BN270" i="3"/>
  <c r="BO270" i="3"/>
  <c r="BP270" i="3"/>
  <c r="BR270" i="3"/>
  <c r="BT270" i="3"/>
  <c r="BL270" i="3"/>
  <c r="AZ270" i="3"/>
  <c r="BB271" i="3"/>
  <c r="BC271" i="3"/>
  <c r="BD271" i="3"/>
  <c r="BE271" i="3"/>
  <c r="BF271" i="3"/>
  <c r="BG271" i="3"/>
  <c r="BH271" i="3"/>
  <c r="BI271" i="3"/>
  <c r="BJ271" i="3"/>
  <c r="BK271" i="3"/>
  <c r="BA271" i="3"/>
  <c r="BM271" i="3"/>
  <c r="BN271" i="3"/>
  <c r="BO271" i="3"/>
  <c r="BP271" i="3"/>
  <c r="BR271" i="3"/>
  <c r="BT271" i="3"/>
  <c r="BL271" i="3"/>
  <c r="AZ271" i="3"/>
  <c r="BB272" i="3"/>
  <c r="BC272" i="3"/>
  <c r="BD272" i="3"/>
  <c r="BE272" i="3"/>
  <c r="BF272" i="3"/>
  <c r="BG272" i="3"/>
  <c r="BH272" i="3"/>
  <c r="BI272" i="3"/>
  <c r="BJ272" i="3"/>
  <c r="BK272" i="3"/>
  <c r="BA272" i="3"/>
  <c r="BM272" i="3"/>
  <c r="BN272" i="3"/>
  <c r="BO272" i="3"/>
  <c r="BP272" i="3"/>
  <c r="BR272" i="3"/>
  <c r="BT272" i="3"/>
  <c r="BL272" i="3"/>
  <c r="AZ272" i="3"/>
  <c r="BB273" i="3"/>
  <c r="BC273" i="3"/>
  <c r="BD273" i="3"/>
  <c r="BE273" i="3"/>
  <c r="BF273" i="3"/>
  <c r="BG273" i="3"/>
  <c r="BH273" i="3"/>
  <c r="BI273" i="3"/>
  <c r="BJ273" i="3"/>
  <c r="BK273" i="3"/>
  <c r="BA273" i="3"/>
  <c r="BM273" i="3"/>
  <c r="BN273" i="3"/>
  <c r="BO273" i="3"/>
  <c r="BP273" i="3"/>
  <c r="BR273" i="3"/>
  <c r="BT273" i="3"/>
  <c r="BL273" i="3"/>
  <c r="AZ273" i="3"/>
  <c r="BB274" i="3"/>
  <c r="BC274" i="3"/>
  <c r="BD274" i="3"/>
  <c r="BE274" i="3"/>
  <c r="BF274" i="3"/>
  <c r="BG274" i="3"/>
  <c r="BH274" i="3"/>
  <c r="BI274" i="3"/>
  <c r="BJ274" i="3"/>
  <c r="BK274" i="3"/>
  <c r="BA274" i="3"/>
  <c r="BM274" i="3"/>
  <c r="BN274" i="3"/>
  <c r="BO274" i="3"/>
  <c r="BP274" i="3"/>
  <c r="BR274" i="3"/>
  <c r="BT274" i="3"/>
  <c r="BL274" i="3"/>
  <c r="AZ274" i="3"/>
  <c r="BB275" i="3"/>
  <c r="BC275" i="3"/>
  <c r="BD275" i="3"/>
  <c r="BE275" i="3"/>
  <c r="BF275" i="3"/>
  <c r="BG275" i="3"/>
  <c r="BH275" i="3"/>
  <c r="BI275" i="3"/>
  <c r="BJ275" i="3"/>
  <c r="BK275" i="3"/>
  <c r="BA275" i="3"/>
  <c r="BM275" i="3"/>
  <c r="BN275" i="3"/>
  <c r="BO275" i="3"/>
  <c r="BP275" i="3"/>
  <c r="BR275" i="3"/>
  <c r="BT275" i="3"/>
  <c r="BL275" i="3"/>
  <c r="AZ275" i="3"/>
  <c r="BB276" i="3"/>
  <c r="BC276" i="3"/>
  <c r="BD276" i="3"/>
  <c r="BE276" i="3"/>
  <c r="BF276" i="3"/>
  <c r="BG276" i="3"/>
  <c r="BH276" i="3"/>
  <c r="BI276" i="3"/>
  <c r="BJ276" i="3"/>
  <c r="BK276" i="3"/>
  <c r="BA276" i="3"/>
  <c r="BM276" i="3"/>
  <c r="BN276" i="3"/>
  <c r="BO276" i="3"/>
  <c r="BP276" i="3"/>
  <c r="BR276" i="3"/>
  <c r="BT276" i="3"/>
  <c r="BL276" i="3"/>
  <c r="AZ276" i="3"/>
  <c r="BB277" i="3"/>
  <c r="BC277" i="3"/>
  <c r="BD277" i="3"/>
  <c r="BE277" i="3"/>
  <c r="BF277" i="3"/>
  <c r="BG277" i="3"/>
  <c r="BH277" i="3"/>
  <c r="BI277" i="3"/>
  <c r="BJ277" i="3"/>
  <c r="BK277" i="3"/>
  <c r="BA277" i="3"/>
  <c r="BM277" i="3"/>
  <c r="BN277" i="3"/>
  <c r="BO277" i="3"/>
  <c r="BP277" i="3"/>
  <c r="BR277" i="3"/>
  <c r="BT277" i="3"/>
  <c r="BL277" i="3"/>
  <c r="AZ277" i="3"/>
  <c r="BB278" i="3"/>
  <c r="BC278" i="3"/>
  <c r="BD278" i="3"/>
  <c r="BE278" i="3"/>
  <c r="BF278" i="3"/>
  <c r="BG278" i="3"/>
  <c r="BH278" i="3"/>
  <c r="BI278" i="3"/>
  <c r="BJ278" i="3"/>
  <c r="BK278" i="3"/>
  <c r="BA278" i="3"/>
  <c r="BM278" i="3"/>
  <c r="BN278" i="3"/>
  <c r="BO278" i="3"/>
  <c r="BP278" i="3"/>
  <c r="BR278" i="3"/>
  <c r="BT278" i="3"/>
  <c r="BL278" i="3"/>
  <c r="AZ278" i="3"/>
  <c r="BB279" i="3"/>
  <c r="BC279" i="3"/>
  <c r="BD279" i="3"/>
  <c r="BE279" i="3"/>
  <c r="BF279" i="3"/>
  <c r="BG279" i="3"/>
  <c r="BH279" i="3"/>
  <c r="BI279" i="3"/>
  <c r="BJ279" i="3"/>
  <c r="BK279" i="3"/>
  <c r="BA279" i="3"/>
  <c r="BM279" i="3"/>
  <c r="BN279" i="3"/>
  <c r="BO279" i="3"/>
  <c r="BP279" i="3"/>
  <c r="BR279" i="3"/>
  <c r="BT279" i="3"/>
  <c r="BL279" i="3"/>
  <c r="AZ279" i="3"/>
  <c r="BB280" i="3"/>
  <c r="BC280" i="3"/>
  <c r="BD280" i="3"/>
  <c r="BE280" i="3"/>
  <c r="BF280" i="3"/>
  <c r="BG280" i="3"/>
  <c r="BH280" i="3"/>
  <c r="BI280" i="3"/>
  <c r="BJ280" i="3"/>
  <c r="BK280" i="3"/>
  <c r="BA280" i="3"/>
  <c r="BM280" i="3"/>
  <c r="BN280" i="3"/>
  <c r="BO280" i="3"/>
  <c r="BP280" i="3"/>
  <c r="BR280" i="3"/>
  <c r="BT280" i="3"/>
  <c r="BL280" i="3"/>
  <c r="AZ280" i="3"/>
  <c r="BB281" i="3"/>
  <c r="BC281" i="3"/>
  <c r="BD281" i="3"/>
  <c r="BE281" i="3"/>
  <c r="BF281" i="3"/>
  <c r="BG281" i="3"/>
  <c r="BH281" i="3"/>
  <c r="BI281" i="3"/>
  <c r="BJ281" i="3"/>
  <c r="BK281" i="3"/>
  <c r="BA281" i="3"/>
  <c r="BM281" i="3"/>
  <c r="BN281" i="3"/>
  <c r="BO281" i="3"/>
  <c r="BP281" i="3"/>
  <c r="BR281" i="3"/>
  <c r="BT281" i="3"/>
  <c r="BL281" i="3"/>
  <c r="AZ281" i="3"/>
  <c r="BB282" i="3"/>
  <c r="BC282" i="3"/>
  <c r="BD282" i="3"/>
  <c r="BE282" i="3"/>
  <c r="BF282" i="3"/>
  <c r="BG282" i="3"/>
  <c r="BH282" i="3"/>
  <c r="BI282" i="3"/>
  <c r="BJ282" i="3"/>
  <c r="BK282" i="3"/>
  <c r="BA282" i="3"/>
  <c r="BM282" i="3"/>
  <c r="BN282" i="3"/>
  <c r="BO282" i="3"/>
  <c r="BP282" i="3"/>
  <c r="BR282" i="3"/>
  <c r="BT282" i="3"/>
  <c r="BL282" i="3"/>
  <c r="AZ282" i="3"/>
  <c r="BB283" i="3"/>
  <c r="BC283" i="3"/>
  <c r="BD283" i="3"/>
  <c r="BE283" i="3"/>
  <c r="BF283" i="3"/>
  <c r="BG283" i="3"/>
  <c r="BH283" i="3"/>
  <c r="BI283" i="3"/>
  <c r="BJ283" i="3"/>
  <c r="BK283" i="3"/>
  <c r="BA283" i="3"/>
  <c r="BM283" i="3"/>
  <c r="BN283" i="3"/>
  <c r="BO283" i="3"/>
  <c r="BP283" i="3"/>
  <c r="BR283" i="3"/>
  <c r="BT283" i="3"/>
  <c r="BL283" i="3"/>
  <c r="AZ283" i="3"/>
  <c r="BB284" i="3"/>
  <c r="BC284" i="3"/>
  <c r="BD284" i="3"/>
  <c r="BE284" i="3"/>
  <c r="BF284" i="3"/>
  <c r="BG284" i="3"/>
  <c r="BH284" i="3"/>
  <c r="BI284" i="3"/>
  <c r="BJ284" i="3"/>
  <c r="BK284" i="3"/>
  <c r="BA284" i="3"/>
  <c r="BM284" i="3"/>
  <c r="BN284" i="3"/>
  <c r="BO284" i="3"/>
  <c r="BP284" i="3"/>
  <c r="BR284" i="3"/>
  <c r="BT284" i="3"/>
  <c r="BL284" i="3"/>
  <c r="AZ284" i="3"/>
  <c r="BB285" i="3"/>
  <c r="BC285" i="3"/>
  <c r="BD285" i="3"/>
  <c r="BE285" i="3"/>
  <c r="BF285" i="3"/>
  <c r="BG285" i="3"/>
  <c r="BH285" i="3"/>
  <c r="BI285" i="3"/>
  <c r="BJ285" i="3"/>
  <c r="BK285" i="3"/>
  <c r="BA285" i="3"/>
  <c r="BM285" i="3"/>
  <c r="BN285" i="3"/>
  <c r="BO285" i="3"/>
  <c r="BP285" i="3"/>
  <c r="BR285" i="3"/>
  <c r="BT285" i="3"/>
  <c r="BL285" i="3"/>
  <c r="AZ285" i="3"/>
  <c r="BB286" i="3"/>
  <c r="BC286" i="3"/>
  <c r="BD286" i="3"/>
  <c r="BE286" i="3"/>
  <c r="BF286" i="3"/>
  <c r="BG286" i="3"/>
  <c r="BH286" i="3"/>
  <c r="BI286" i="3"/>
  <c r="BJ286" i="3"/>
  <c r="BK286" i="3"/>
  <c r="BA286" i="3"/>
  <c r="BM286" i="3"/>
  <c r="BN286" i="3"/>
  <c r="BO286" i="3"/>
  <c r="BP286" i="3"/>
  <c r="BR286" i="3"/>
  <c r="BT286" i="3"/>
  <c r="BL286" i="3"/>
  <c r="AZ286" i="3"/>
  <c r="BB287" i="3"/>
  <c r="BC287" i="3"/>
  <c r="BD287" i="3"/>
  <c r="BE287" i="3"/>
  <c r="BF287" i="3"/>
  <c r="BG287" i="3"/>
  <c r="BH287" i="3"/>
  <c r="BI287" i="3"/>
  <c r="BJ287" i="3"/>
  <c r="BK287" i="3"/>
  <c r="BA287" i="3"/>
  <c r="BM287" i="3"/>
  <c r="BN287" i="3"/>
  <c r="BO287" i="3"/>
  <c r="BP287" i="3"/>
  <c r="BR287" i="3"/>
  <c r="BT287" i="3"/>
  <c r="BL287" i="3"/>
  <c r="AZ287" i="3"/>
  <c r="BB288" i="3"/>
  <c r="BC288" i="3"/>
  <c r="BD288" i="3"/>
  <c r="BE288" i="3"/>
  <c r="BF288" i="3"/>
  <c r="BG288" i="3"/>
  <c r="BH288" i="3"/>
  <c r="BI288" i="3"/>
  <c r="BJ288" i="3"/>
  <c r="BK288" i="3"/>
  <c r="BA288" i="3"/>
  <c r="BM288" i="3"/>
  <c r="BN288" i="3"/>
  <c r="BO288" i="3"/>
  <c r="BP288" i="3"/>
  <c r="BR288" i="3"/>
  <c r="BT288" i="3"/>
  <c r="BL288" i="3"/>
  <c r="AZ288" i="3"/>
  <c r="BB289" i="3"/>
  <c r="BC289" i="3"/>
  <c r="BD289" i="3"/>
  <c r="BE289" i="3"/>
  <c r="BF289" i="3"/>
  <c r="BG289" i="3"/>
  <c r="BH289" i="3"/>
  <c r="BI289" i="3"/>
  <c r="BJ289" i="3"/>
  <c r="BK289" i="3"/>
  <c r="BA289" i="3"/>
  <c r="BM289" i="3"/>
  <c r="BN289" i="3"/>
  <c r="BO289" i="3"/>
  <c r="BP289" i="3"/>
  <c r="BR289" i="3"/>
  <c r="BT289" i="3"/>
  <c r="BL289" i="3"/>
  <c r="AZ289" i="3"/>
  <c r="BB290" i="3"/>
  <c r="BC290" i="3"/>
  <c r="BD290" i="3"/>
  <c r="BE290" i="3"/>
  <c r="BF290" i="3"/>
  <c r="BG290" i="3"/>
  <c r="BH290" i="3"/>
  <c r="BI290" i="3"/>
  <c r="BJ290" i="3"/>
  <c r="BK290" i="3"/>
  <c r="BA290" i="3"/>
  <c r="BM290" i="3"/>
  <c r="BN290" i="3"/>
  <c r="BO290" i="3"/>
  <c r="BP290" i="3"/>
  <c r="BR290" i="3"/>
  <c r="BT290" i="3"/>
  <c r="BL290" i="3"/>
  <c r="AZ290" i="3"/>
  <c r="BB291" i="3"/>
  <c r="BC291" i="3"/>
  <c r="BD291" i="3"/>
  <c r="BE291" i="3"/>
  <c r="BF291" i="3"/>
  <c r="BG291" i="3"/>
  <c r="BH291" i="3"/>
  <c r="BI291" i="3"/>
  <c r="BJ291" i="3"/>
  <c r="BK291" i="3"/>
  <c r="BA291" i="3"/>
  <c r="BM291" i="3"/>
  <c r="BN291" i="3"/>
  <c r="BO291" i="3"/>
  <c r="BP291" i="3"/>
  <c r="BR291" i="3"/>
  <c r="BT291" i="3"/>
  <c r="BL291" i="3"/>
  <c r="AZ291" i="3"/>
  <c r="BB292" i="3"/>
  <c r="BC292" i="3"/>
  <c r="BD292" i="3"/>
  <c r="BE292" i="3"/>
  <c r="BF292" i="3"/>
  <c r="BG292" i="3"/>
  <c r="BH292" i="3"/>
  <c r="BI292" i="3"/>
  <c r="BJ292" i="3"/>
  <c r="BK292" i="3"/>
  <c r="BA292" i="3"/>
  <c r="BM292" i="3"/>
  <c r="BN292" i="3"/>
  <c r="BO292" i="3"/>
  <c r="BP292" i="3"/>
  <c r="BR292" i="3"/>
  <c r="BT292" i="3"/>
  <c r="BL292" i="3"/>
  <c r="AZ292" i="3"/>
  <c r="BB293" i="3"/>
  <c r="BC293" i="3"/>
  <c r="BD293" i="3"/>
  <c r="BE293" i="3"/>
  <c r="BF293" i="3"/>
  <c r="BG293" i="3"/>
  <c r="BH293" i="3"/>
  <c r="BI293" i="3"/>
  <c r="BJ293" i="3"/>
  <c r="BK293" i="3"/>
  <c r="BA293" i="3"/>
  <c r="BM293" i="3"/>
  <c r="BN293" i="3"/>
  <c r="BO293" i="3"/>
  <c r="BP293" i="3"/>
  <c r="BR293" i="3"/>
  <c r="BT293" i="3"/>
  <c r="BL293" i="3"/>
  <c r="AZ293" i="3"/>
  <c r="BB294" i="3"/>
  <c r="BC294" i="3"/>
  <c r="BD294" i="3"/>
  <c r="BE294" i="3"/>
  <c r="BF294" i="3"/>
  <c r="BG294" i="3"/>
  <c r="BH294" i="3"/>
  <c r="BI294" i="3"/>
  <c r="BJ294" i="3"/>
  <c r="BK294" i="3"/>
  <c r="BA294" i="3"/>
  <c r="BM294" i="3"/>
  <c r="BN294" i="3"/>
  <c r="BO294" i="3"/>
  <c r="BP294" i="3"/>
  <c r="BR294" i="3"/>
  <c r="BT294" i="3"/>
  <c r="BL294" i="3"/>
  <c r="AZ294" i="3"/>
  <c r="BB295" i="3"/>
  <c r="BC295" i="3"/>
  <c r="BD295" i="3"/>
  <c r="BE295" i="3"/>
  <c r="BF295" i="3"/>
  <c r="BG295" i="3"/>
  <c r="BH295" i="3"/>
  <c r="BI295" i="3"/>
  <c r="BJ295" i="3"/>
  <c r="BK295" i="3"/>
  <c r="BA295" i="3"/>
  <c r="BM295" i="3"/>
  <c r="BN295" i="3"/>
  <c r="BO295" i="3"/>
  <c r="BP295" i="3"/>
  <c r="BR295" i="3"/>
  <c r="BT295" i="3"/>
  <c r="BL295" i="3"/>
  <c r="AZ295" i="3"/>
  <c r="BB296" i="3"/>
  <c r="BC296" i="3"/>
  <c r="BD296" i="3"/>
  <c r="BE296" i="3"/>
  <c r="BF296" i="3"/>
  <c r="BG296" i="3"/>
  <c r="BH296" i="3"/>
  <c r="BI296" i="3"/>
  <c r="BJ296" i="3"/>
  <c r="BK296" i="3"/>
  <c r="BA296" i="3"/>
  <c r="BM296" i="3"/>
  <c r="BN296" i="3"/>
  <c r="BO296" i="3"/>
  <c r="BP296" i="3"/>
  <c r="BR296" i="3"/>
  <c r="BT296" i="3"/>
  <c r="BL296" i="3"/>
  <c r="AZ296" i="3"/>
  <c r="BB297" i="3"/>
  <c r="BC297" i="3"/>
  <c r="BD297" i="3"/>
  <c r="BE297" i="3"/>
  <c r="BF297" i="3"/>
  <c r="BG297" i="3"/>
  <c r="BH297" i="3"/>
  <c r="BI297" i="3"/>
  <c r="BJ297" i="3"/>
  <c r="BK297" i="3"/>
  <c r="BA297" i="3"/>
  <c r="BM297" i="3"/>
  <c r="BN297" i="3"/>
  <c r="BO297" i="3"/>
  <c r="BP297" i="3"/>
  <c r="BR297" i="3"/>
  <c r="BT297" i="3"/>
  <c r="BL297" i="3"/>
  <c r="AZ297" i="3"/>
  <c r="BB298" i="3"/>
  <c r="BC298" i="3"/>
  <c r="BD298" i="3"/>
  <c r="BE298" i="3"/>
  <c r="BF298" i="3"/>
  <c r="BG298" i="3"/>
  <c r="BH298" i="3"/>
  <c r="BI298" i="3"/>
  <c r="BJ298" i="3"/>
  <c r="BK298" i="3"/>
  <c r="BA298" i="3"/>
  <c r="BM298" i="3"/>
  <c r="BN298" i="3"/>
  <c r="BO298" i="3"/>
  <c r="BP298" i="3"/>
  <c r="BR298" i="3"/>
  <c r="BT298" i="3"/>
  <c r="BL298" i="3"/>
  <c r="AZ298" i="3"/>
  <c r="BB299" i="3"/>
  <c r="BC299" i="3"/>
  <c r="BD299" i="3"/>
  <c r="BE299" i="3"/>
  <c r="BF299" i="3"/>
  <c r="BG299" i="3"/>
  <c r="BH299" i="3"/>
  <c r="BI299" i="3"/>
  <c r="BJ299" i="3"/>
  <c r="BK299" i="3"/>
  <c r="BA299" i="3"/>
  <c r="BM299" i="3"/>
  <c r="BN299" i="3"/>
  <c r="BO299" i="3"/>
  <c r="BP299" i="3"/>
  <c r="BR299" i="3"/>
  <c r="BT299" i="3"/>
  <c r="BL299" i="3"/>
  <c r="AZ299" i="3"/>
  <c r="BB300" i="3"/>
  <c r="BC300" i="3"/>
  <c r="BD300" i="3"/>
  <c r="BE300" i="3"/>
  <c r="BF300" i="3"/>
  <c r="BG300" i="3"/>
  <c r="BH300" i="3"/>
  <c r="BI300" i="3"/>
  <c r="BJ300" i="3"/>
  <c r="BK300" i="3"/>
  <c r="BA300" i="3"/>
  <c r="BM300" i="3"/>
  <c r="BN300" i="3"/>
  <c r="BO300" i="3"/>
  <c r="BP300" i="3"/>
  <c r="BR300" i="3"/>
  <c r="BT300" i="3"/>
  <c r="BL300" i="3"/>
  <c r="AZ300" i="3"/>
  <c r="BB301" i="3"/>
  <c r="BC301" i="3"/>
  <c r="BD301" i="3"/>
  <c r="BE301" i="3"/>
  <c r="BF301" i="3"/>
  <c r="BG301" i="3"/>
  <c r="BH301" i="3"/>
  <c r="BI301" i="3"/>
  <c r="BJ301" i="3"/>
  <c r="BK301" i="3"/>
  <c r="BA301" i="3"/>
  <c r="BM301" i="3"/>
  <c r="BN301" i="3"/>
  <c r="BO301" i="3"/>
  <c r="BP301" i="3"/>
  <c r="BR301" i="3"/>
  <c r="BT301" i="3"/>
  <c r="BL301" i="3"/>
  <c r="AZ301" i="3"/>
  <c r="BB302" i="3"/>
  <c r="BC302" i="3"/>
  <c r="BD302" i="3"/>
  <c r="BE302" i="3"/>
  <c r="BF302" i="3"/>
  <c r="BG302" i="3"/>
  <c r="BH302" i="3"/>
  <c r="BI302" i="3"/>
  <c r="BJ302" i="3"/>
  <c r="BK302" i="3"/>
  <c r="BA302" i="3"/>
  <c r="BM302" i="3"/>
  <c r="BN302" i="3"/>
  <c r="BO302" i="3"/>
  <c r="BP302" i="3"/>
  <c r="BR302" i="3"/>
  <c r="BT302" i="3"/>
  <c r="BL302" i="3"/>
  <c r="AZ302" i="3"/>
  <c r="BB303" i="3"/>
  <c r="BC303" i="3"/>
  <c r="BD303" i="3"/>
  <c r="BE303" i="3"/>
  <c r="BF303" i="3"/>
  <c r="BG303" i="3"/>
  <c r="BH303" i="3"/>
  <c r="BI303" i="3"/>
  <c r="BJ303" i="3"/>
  <c r="BK303" i="3"/>
  <c r="BA303" i="3"/>
  <c r="BM303" i="3"/>
  <c r="BN303" i="3"/>
  <c r="BO303" i="3"/>
  <c r="BP303" i="3"/>
  <c r="BR303" i="3"/>
  <c r="BT303" i="3"/>
  <c r="BL303" i="3"/>
  <c r="AZ303" i="3"/>
  <c r="BB304" i="3"/>
  <c r="BC304" i="3"/>
  <c r="BD304" i="3"/>
  <c r="BE304" i="3"/>
  <c r="BF304" i="3"/>
  <c r="BG304" i="3"/>
  <c r="BH304" i="3"/>
  <c r="BI304" i="3"/>
  <c r="BJ304" i="3"/>
  <c r="BK304" i="3"/>
  <c r="BA304" i="3"/>
  <c r="BM304" i="3"/>
  <c r="BN304" i="3"/>
  <c r="BO304" i="3"/>
  <c r="BP304" i="3"/>
  <c r="BR304" i="3"/>
  <c r="BT304" i="3"/>
  <c r="BL304" i="3"/>
  <c r="AZ304" i="3"/>
  <c r="BB305" i="3"/>
  <c r="BC305" i="3"/>
  <c r="BD305" i="3"/>
  <c r="BE305" i="3"/>
  <c r="BF305" i="3"/>
  <c r="BG305" i="3"/>
  <c r="BH305" i="3"/>
  <c r="BI305" i="3"/>
  <c r="BJ305" i="3"/>
  <c r="BK305" i="3"/>
  <c r="BA305" i="3"/>
  <c r="BM305" i="3"/>
  <c r="BN305" i="3"/>
  <c r="BO305" i="3"/>
  <c r="BP305" i="3"/>
  <c r="BR305" i="3"/>
  <c r="BT305" i="3"/>
  <c r="BL305" i="3"/>
  <c r="AZ305" i="3"/>
  <c r="BB306" i="3"/>
  <c r="BC306" i="3"/>
  <c r="BD306" i="3"/>
  <c r="BE306" i="3"/>
  <c r="BF306" i="3"/>
  <c r="BG306" i="3"/>
  <c r="BH306" i="3"/>
  <c r="BI306" i="3"/>
  <c r="BJ306" i="3"/>
  <c r="BK306" i="3"/>
  <c r="BA306" i="3"/>
  <c r="BM306" i="3"/>
  <c r="BN306" i="3"/>
  <c r="BO306" i="3"/>
  <c r="BP306" i="3"/>
  <c r="BR306" i="3"/>
  <c r="BT306" i="3"/>
  <c r="BL306" i="3"/>
  <c r="AZ306" i="3"/>
  <c r="BB307" i="3"/>
  <c r="BC307" i="3"/>
  <c r="BD307" i="3"/>
  <c r="BE307" i="3"/>
  <c r="BF307" i="3"/>
  <c r="BG307" i="3"/>
  <c r="BH307" i="3"/>
  <c r="BI307" i="3"/>
  <c r="BJ307" i="3"/>
  <c r="BK307" i="3"/>
  <c r="BA307" i="3"/>
  <c r="BM307" i="3"/>
  <c r="BN307" i="3"/>
  <c r="BO307" i="3"/>
  <c r="BP307" i="3"/>
  <c r="BR307" i="3"/>
  <c r="BT307" i="3"/>
  <c r="BL307" i="3"/>
  <c r="AZ307" i="3"/>
  <c r="BB308" i="3"/>
  <c r="BC308" i="3"/>
  <c r="BD308" i="3"/>
  <c r="BE308" i="3"/>
  <c r="BF308" i="3"/>
  <c r="BG308" i="3"/>
  <c r="BH308" i="3"/>
  <c r="BI308" i="3"/>
  <c r="BJ308" i="3"/>
  <c r="BK308" i="3"/>
  <c r="BA308" i="3"/>
  <c r="BM308" i="3"/>
  <c r="BN308" i="3"/>
  <c r="BO308" i="3"/>
  <c r="BP308" i="3"/>
  <c r="BR308" i="3"/>
  <c r="BT308" i="3"/>
  <c r="BL308" i="3"/>
  <c r="AZ308" i="3"/>
  <c r="BB309" i="3"/>
  <c r="BC309" i="3"/>
  <c r="BD309" i="3"/>
  <c r="BE309" i="3"/>
  <c r="BF309" i="3"/>
  <c r="BG309" i="3"/>
  <c r="BH309" i="3"/>
  <c r="BI309" i="3"/>
  <c r="BJ309" i="3"/>
  <c r="BK309" i="3"/>
  <c r="BA309" i="3"/>
  <c r="BM309" i="3"/>
  <c r="BN309" i="3"/>
  <c r="BO309" i="3"/>
  <c r="BP309" i="3"/>
  <c r="BR309" i="3"/>
  <c r="BT309" i="3"/>
  <c r="BL309" i="3"/>
  <c r="AZ309" i="3"/>
  <c r="BB310" i="3"/>
  <c r="BC310" i="3"/>
  <c r="BD310" i="3"/>
  <c r="BE310" i="3"/>
  <c r="BF310" i="3"/>
  <c r="BG310" i="3"/>
  <c r="BH310" i="3"/>
  <c r="BI310" i="3"/>
  <c r="BJ310" i="3"/>
  <c r="BK310" i="3"/>
  <c r="BA310" i="3"/>
  <c r="BM310" i="3"/>
  <c r="BN310" i="3"/>
  <c r="BO310" i="3"/>
  <c r="BP310" i="3"/>
  <c r="BR310" i="3"/>
  <c r="BT310" i="3"/>
  <c r="BL310" i="3"/>
  <c r="AZ310" i="3"/>
  <c r="BB311" i="3"/>
  <c r="BC311" i="3"/>
  <c r="BD311" i="3"/>
  <c r="BE311" i="3"/>
  <c r="BF311" i="3"/>
  <c r="BG311" i="3"/>
  <c r="BH311" i="3"/>
  <c r="BI311" i="3"/>
  <c r="BJ311" i="3"/>
  <c r="BK311" i="3"/>
  <c r="BA311" i="3"/>
  <c r="BM311" i="3"/>
  <c r="BN311" i="3"/>
  <c r="BO311" i="3"/>
  <c r="BP311" i="3"/>
  <c r="BR311" i="3"/>
  <c r="BT311" i="3"/>
  <c r="BL311" i="3"/>
  <c r="AZ311" i="3"/>
  <c r="BB312" i="3"/>
  <c r="BC312" i="3"/>
  <c r="BD312" i="3"/>
  <c r="BE312" i="3"/>
  <c r="BF312" i="3"/>
  <c r="BG312" i="3"/>
  <c r="BH312" i="3"/>
  <c r="BI312" i="3"/>
  <c r="BJ312" i="3"/>
  <c r="BK312" i="3"/>
  <c r="BA312" i="3"/>
  <c r="BM312" i="3"/>
  <c r="BN312" i="3"/>
  <c r="BO312" i="3"/>
  <c r="BP312" i="3"/>
  <c r="BR312" i="3"/>
  <c r="BT312" i="3"/>
  <c r="BL312" i="3"/>
  <c r="AZ312" i="3"/>
  <c r="BB313" i="3"/>
  <c r="BC313" i="3"/>
  <c r="BD313" i="3"/>
  <c r="BE313" i="3"/>
  <c r="BF313" i="3"/>
  <c r="BG313" i="3"/>
  <c r="BH313" i="3"/>
  <c r="BI313" i="3"/>
  <c r="BJ313" i="3"/>
  <c r="BK313" i="3"/>
  <c r="BA313" i="3"/>
  <c r="BM313" i="3"/>
  <c r="BN313" i="3"/>
  <c r="BO313" i="3"/>
  <c r="BP313" i="3"/>
  <c r="BR313" i="3"/>
  <c r="BT313" i="3"/>
  <c r="BL313" i="3"/>
  <c r="AZ313" i="3"/>
  <c r="BB314" i="3"/>
  <c r="BC314" i="3"/>
  <c r="BD314" i="3"/>
  <c r="BE314" i="3"/>
  <c r="BF314" i="3"/>
  <c r="BG314" i="3"/>
  <c r="BH314" i="3"/>
  <c r="BI314" i="3"/>
  <c r="BJ314" i="3"/>
  <c r="BK314" i="3"/>
  <c r="BA314" i="3"/>
  <c r="BM314" i="3"/>
  <c r="BN314" i="3"/>
  <c r="BO314" i="3"/>
  <c r="BP314" i="3"/>
  <c r="BR314" i="3"/>
  <c r="BT314" i="3"/>
  <c r="BL314" i="3"/>
  <c r="AZ314" i="3"/>
  <c r="BB315" i="3"/>
  <c r="BC315" i="3"/>
  <c r="BD315" i="3"/>
  <c r="BE315" i="3"/>
  <c r="BF315" i="3"/>
  <c r="BG315" i="3"/>
  <c r="BH315" i="3"/>
  <c r="BI315" i="3"/>
  <c r="BJ315" i="3"/>
  <c r="BK315" i="3"/>
  <c r="BA315" i="3"/>
  <c r="BM315" i="3"/>
  <c r="BN315" i="3"/>
  <c r="BO315" i="3"/>
  <c r="BP315" i="3"/>
  <c r="BR315" i="3"/>
  <c r="BT315" i="3"/>
  <c r="BL315" i="3"/>
  <c r="AZ315" i="3"/>
  <c r="BB316" i="3"/>
  <c r="BC316" i="3"/>
  <c r="BD316" i="3"/>
  <c r="BE316" i="3"/>
  <c r="BF316" i="3"/>
  <c r="BG316" i="3"/>
  <c r="BH316" i="3"/>
  <c r="BI316" i="3"/>
  <c r="BJ316" i="3"/>
  <c r="BK316" i="3"/>
  <c r="BA316" i="3"/>
  <c r="BM316" i="3"/>
  <c r="BN316" i="3"/>
  <c r="BO316" i="3"/>
  <c r="BP316" i="3"/>
  <c r="BR316" i="3"/>
  <c r="BT316" i="3"/>
  <c r="BL316" i="3"/>
  <c r="AZ316" i="3"/>
  <c r="BB317" i="3"/>
  <c r="BC317" i="3"/>
  <c r="BD317" i="3"/>
  <c r="BE317" i="3"/>
  <c r="BF317" i="3"/>
  <c r="BG317" i="3"/>
  <c r="BH317" i="3"/>
  <c r="BI317" i="3"/>
  <c r="BJ317" i="3"/>
  <c r="BK317" i="3"/>
  <c r="BA317" i="3"/>
  <c r="BM317" i="3"/>
  <c r="BN317" i="3"/>
  <c r="BO317" i="3"/>
  <c r="BP317" i="3"/>
  <c r="BR317" i="3"/>
  <c r="BT317" i="3"/>
  <c r="BL317" i="3"/>
  <c r="AZ317" i="3"/>
  <c r="BB318" i="3"/>
  <c r="BC318" i="3"/>
  <c r="BD318" i="3"/>
  <c r="BE318" i="3"/>
  <c r="BF318" i="3"/>
  <c r="BG318" i="3"/>
  <c r="BH318" i="3"/>
  <c r="BI318" i="3"/>
  <c r="BJ318" i="3"/>
  <c r="BK318" i="3"/>
  <c r="BA318" i="3"/>
  <c r="BM318" i="3"/>
  <c r="BN318" i="3"/>
  <c r="BO318" i="3"/>
  <c r="BP318" i="3"/>
  <c r="BR318" i="3"/>
  <c r="BT318" i="3"/>
  <c r="BL318" i="3"/>
  <c r="AZ318" i="3"/>
  <c r="BB319" i="3"/>
  <c r="BC319" i="3"/>
  <c r="BD319" i="3"/>
  <c r="BE319" i="3"/>
  <c r="BF319" i="3"/>
  <c r="BG319" i="3"/>
  <c r="BH319" i="3"/>
  <c r="BI319" i="3"/>
  <c r="BJ319" i="3"/>
  <c r="BK319" i="3"/>
  <c r="BA319" i="3"/>
  <c r="BM319" i="3"/>
  <c r="BN319" i="3"/>
  <c r="BO319" i="3"/>
  <c r="BP319" i="3"/>
  <c r="BR319" i="3"/>
  <c r="BT319" i="3"/>
  <c r="BL319" i="3"/>
  <c r="AZ319" i="3"/>
  <c r="BB320" i="3"/>
  <c r="BC320" i="3"/>
  <c r="BD320" i="3"/>
  <c r="BE320" i="3"/>
  <c r="BF320" i="3"/>
  <c r="BG320" i="3"/>
  <c r="BH320" i="3"/>
  <c r="BI320" i="3"/>
  <c r="BJ320" i="3"/>
  <c r="BK320" i="3"/>
  <c r="BA320" i="3"/>
  <c r="BM320" i="3"/>
  <c r="BN320" i="3"/>
  <c r="BO320" i="3"/>
  <c r="BP320" i="3"/>
  <c r="BR320" i="3"/>
  <c r="BT320" i="3"/>
  <c r="BL320" i="3"/>
  <c r="AZ320" i="3"/>
  <c r="BB321" i="3"/>
  <c r="BC321" i="3"/>
  <c r="BD321" i="3"/>
  <c r="BE321" i="3"/>
  <c r="BF321" i="3"/>
  <c r="BG321" i="3"/>
  <c r="BH321" i="3"/>
  <c r="BI321" i="3"/>
  <c r="BJ321" i="3"/>
  <c r="BK321" i="3"/>
  <c r="BA321" i="3"/>
  <c r="BM321" i="3"/>
  <c r="BN321" i="3"/>
  <c r="BO321" i="3"/>
  <c r="BP321" i="3"/>
  <c r="BR321" i="3"/>
  <c r="BT321" i="3"/>
  <c r="BL321" i="3"/>
  <c r="AZ321" i="3"/>
  <c r="BB322" i="3"/>
  <c r="BC322" i="3"/>
  <c r="BD322" i="3"/>
  <c r="BE322" i="3"/>
  <c r="BF322" i="3"/>
  <c r="BG322" i="3"/>
  <c r="BH322" i="3"/>
  <c r="BI322" i="3"/>
  <c r="BJ322" i="3"/>
  <c r="BK322" i="3"/>
  <c r="BA322" i="3"/>
  <c r="BM322" i="3"/>
  <c r="BN322" i="3"/>
  <c r="BO322" i="3"/>
  <c r="BP322" i="3"/>
  <c r="BR322" i="3"/>
  <c r="BT322" i="3"/>
  <c r="BL322" i="3"/>
  <c r="AZ322" i="3"/>
  <c r="BB323" i="3"/>
  <c r="BC323" i="3"/>
  <c r="BD323" i="3"/>
  <c r="BE323" i="3"/>
  <c r="BF323" i="3"/>
  <c r="BG323" i="3"/>
  <c r="BH323" i="3"/>
  <c r="BI323" i="3"/>
  <c r="BJ323" i="3"/>
  <c r="BK323" i="3"/>
  <c r="BA323" i="3"/>
  <c r="BM323" i="3"/>
  <c r="BN323" i="3"/>
  <c r="BO323" i="3"/>
  <c r="BP323" i="3"/>
  <c r="BR323" i="3"/>
  <c r="BT323" i="3"/>
  <c r="BL323" i="3"/>
  <c r="AZ323" i="3"/>
  <c r="BB324" i="3"/>
  <c r="BC324" i="3"/>
  <c r="BD324" i="3"/>
  <c r="BE324" i="3"/>
  <c r="BF324" i="3"/>
  <c r="BG324" i="3"/>
  <c r="BH324" i="3"/>
  <c r="BI324" i="3"/>
  <c r="BJ324" i="3"/>
  <c r="BK324" i="3"/>
  <c r="BA324" i="3"/>
  <c r="BM324" i="3"/>
  <c r="BN324" i="3"/>
  <c r="BO324" i="3"/>
  <c r="BP324" i="3"/>
  <c r="BR324" i="3"/>
  <c r="BT324" i="3"/>
  <c r="BL324" i="3"/>
  <c r="AZ324" i="3"/>
  <c r="BB325" i="3"/>
  <c r="BC325" i="3"/>
  <c r="BD325" i="3"/>
  <c r="BE325" i="3"/>
  <c r="BF325" i="3"/>
  <c r="BG325" i="3"/>
  <c r="BH325" i="3"/>
  <c r="BI325" i="3"/>
  <c r="BJ325" i="3"/>
  <c r="BK325" i="3"/>
  <c r="BA325" i="3"/>
  <c r="BM325" i="3"/>
  <c r="BN325" i="3"/>
  <c r="BO325" i="3"/>
  <c r="BP325" i="3"/>
  <c r="BR325" i="3"/>
  <c r="BT325" i="3"/>
  <c r="BL325" i="3"/>
  <c r="AZ325" i="3"/>
  <c r="BB326" i="3"/>
  <c r="BC326" i="3"/>
  <c r="BD326" i="3"/>
  <c r="BE326" i="3"/>
  <c r="BF326" i="3"/>
  <c r="BG326" i="3"/>
  <c r="BH326" i="3"/>
  <c r="BI326" i="3"/>
  <c r="BJ326" i="3"/>
  <c r="BK326" i="3"/>
  <c r="BA326" i="3"/>
  <c r="BM326" i="3"/>
  <c r="BN326" i="3"/>
  <c r="BO326" i="3"/>
  <c r="BP326" i="3"/>
  <c r="BR326" i="3"/>
  <c r="BT326" i="3"/>
  <c r="BL326" i="3"/>
  <c r="AZ326" i="3"/>
  <c r="BB327" i="3"/>
  <c r="BC327" i="3"/>
  <c r="BD327" i="3"/>
  <c r="BE327" i="3"/>
  <c r="BF327" i="3"/>
  <c r="BG327" i="3"/>
  <c r="BH327" i="3"/>
  <c r="BI327" i="3"/>
  <c r="BJ327" i="3"/>
  <c r="BK327" i="3"/>
  <c r="BA327" i="3"/>
  <c r="BM327" i="3"/>
  <c r="BN327" i="3"/>
  <c r="BO327" i="3"/>
  <c r="BP327" i="3"/>
  <c r="BR327" i="3"/>
  <c r="BT327" i="3"/>
  <c r="BL327" i="3"/>
  <c r="AZ327" i="3"/>
  <c r="BB328" i="3"/>
  <c r="BC328" i="3"/>
  <c r="BD328" i="3"/>
  <c r="BE328" i="3"/>
  <c r="BF328" i="3"/>
  <c r="BG328" i="3"/>
  <c r="BH328" i="3"/>
  <c r="BI328" i="3"/>
  <c r="BJ328" i="3"/>
  <c r="BK328" i="3"/>
  <c r="BA328" i="3"/>
  <c r="BM328" i="3"/>
  <c r="BN328" i="3"/>
  <c r="BO328" i="3"/>
  <c r="BP328" i="3"/>
  <c r="BR328" i="3"/>
  <c r="BT328" i="3"/>
  <c r="BL328" i="3"/>
  <c r="AZ328" i="3"/>
  <c r="BB329" i="3"/>
  <c r="BC329" i="3"/>
  <c r="BD329" i="3"/>
  <c r="BE329" i="3"/>
  <c r="BF329" i="3"/>
  <c r="BG329" i="3"/>
  <c r="BH329" i="3"/>
  <c r="BI329" i="3"/>
  <c r="BJ329" i="3"/>
  <c r="BK329" i="3"/>
  <c r="BA329" i="3"/>
  <c r="BM329" i="3"/>
  <c r="BN329" i="3"/>
  <c r="BO329" i="3"/>
  <c r="BP329" i="3"/>
  <c r="BR329" i="3"/>
  <c r="BT329" i="3"/>
  <c r="BL329" i="3"/>
  <c r="AZ329" i="3"/>
  <c r="BB330" i="3"/>
  <c r="BC330" i="3"/>
  <c r="BD330" i="3"/>
  <c r="BE330" i="3"/>
  <c r="BF330" i="3"/>
  <c r="BG330" i="3"/>
  <c r="BH330" i="3"/>
  <c r="BI330" i="3"/>
  <c r="BJ330" i="3"/>
  <c r="BK330" i="3"/>
  <c r="BA330" i="3"/>
  <c r="BM330" i="3"/>
  <c r="BN330" i="3"/>
  <c r="BO330" i="3"/>
  <c r="BP330" i="3"/>
  <c r="BR330" i="3"/>
  <c r="BT330" i="3"/>
  <c r="BL330" i="3"/>
  <c r="AZ330" i="3"/>
  <c r="BB331" i="3"/>
  <c r="BC331" i="3"/>
  <c r="BD331" i="3"/>
  <c r="BE331" i="3"/>
  <c r="BF331" i="3"/>
  <c r="BG331" i="3"/>
  <c r="BH331" i="3"/>
  <c r="BI331" i="3"/>
  <c r="BJ331" i="3"/>
  <c r="BK331" i="3"/>
  <c r="BA331" i="3"/>
  <c r="BM331" i="3"/>
  <c r="BN331" i="3"/>
  <c r="BO331" i="3"/>
  <c r="BP331" i="3"/>
  <c r="BR331" i="3"/>
  <c r="BT331" i="3"/>
  <c r="BL331" i="3"/>
  <c r="AZ331" i="3"/>
  <c r="BB332" i="3"/>
  <c r="BC332" i="3"/>
  <c r="BD332" i="3"/>
  <c r="BE332" i="3"/>
  <c r="BF332" i="3"/>
  <c r="BG332" i="3"/>
  <c r="BH332" i="3"/>
  <c r="BI332" i="3"/>
  <c r="BJ332" i="3"/>
  <c r="BK332" i="3"/>
  <c r="BA332" i="3"/>
  <c r="BM332" i="3"/>
  <c r="BN332" i="3"/>
  <c r="BO332" i="3"/>
  <c r="BP332" i="3"/>
  <c r="BR332" i="3"/>
  <c r="BT332" i="3"/>
  <c r="BL332" i="3"/>
  <c r="AZ332" i="3"/>
  <c r="BB333" i="3"/>
  <c r="BC333" i="3"/>
  <c r="BD333" i="3"/>
  <c r="BE333" i="3"/>
  <c r="BF333" i="3"/>
  <c r="BG333" i="3"/>
  <c r="BH333" i="3"/>
  <c r="BI333" i="3"/>
  <c r="BJ333" i="3"/>
  <c r="BK333" i="3"/>
  <c r="BA333" i="3"/>
  <c r="BM333" i="3"/>
  <c r="BN333" i="3"/>
  <c r="BO333" i="3"/>
  <c r="BP333" i="3"/>
  <c r="BR333" i="3"/>
  <c r="BT333" i="3"/>
  <c r="BL333" i="3"/>
  <c r="AZ333" i="3"/>
  <c r="BB334" i="3"/>
  <c r="BC334" i="3"/>
  <c r="BD334" i="3"/>
  <c r="BE334" i="3"/>
  <c r="BF334" i="3"/>
  <c r="BG334" i="3"/>
  <c r="BH334" i="3"/>
  <c r="BI334" i="3"/>
  <c r="BJ334" i="3"/>
  <c r="BK334" i="3"/>
  <c r="BA334" i="3"/>
  <c r="BM334" i="3"/>
  <c r="BN334" i="3"/>
  <c r="BO334" i="3"/>
  <c r="BP334" i="3"/>
  <c r="BR334" i="3"/>
  <c r="BT334" i="3"/>
  <c r="BL334" i="3"/>
  <c r="AZ334" i="3"/>
  <c r="BB335" i="3"/>
  <c r="BC335" i="3"/>
  <c r="BD335" i="3"/>
  <c r="BE335" i="3"/>
  <c r="BF335" i="3"/>
  <c r="BG335" i="3"/>
  <c r="BH335" i="3"/>
  <c r="BI335" i="3"/>
  <c r="BJ335" i="3"/>
  <c r="BK335" i="3"/>
  <c r="BA335" i="3"/>
  <c r="BM335" i="3"/>
  <c r="BN335" i="3"/>
  <c r="BO335" i="3"/>
  <c r="BP335" i="3"/>
  <c r="BR335" i="3"/>
  <c r="BT335" i="3"/>
  <c r="BL335" i="3"/>
  <c r="AZ335" i="3"/>
  <c r="BB336" i="3"/>
  <c r="BC336" i="3"/>
  <c r="BD336" i="3"/>
  <c r="BE336" i="3"/>
  <c r="BF336" i="3"/>
  <c r="BG336" i="3"/>
  <c r="BH336" i="3"/>
  <c r="BI336" i="3"/>
  <c r="BJ336" i="3"/>
  <c r="BK336" i="3"/>
  <c r="BA336" i="3"/>
  <c r="BM336" i="3"/>
  <c r="BN336" i="3"/>
  <c r="BO336" i="3"/>
  <c r="BP336" i="3"/>
  <c r="BR336" i="3"/>
  <c r="BT336" i="3"/>
  <c r="BL336" i="3"/>
  <c r="AZ336" i="3"/>
  <c r="BB337" i="3"/>
  <c r="BC337" i="3"/>
  <c r="BD337" i="3"/>
  <c r="BE337" i="3"/>
  <c r="BF337" i="3"/>
  <c r="BG337" i="3"/>
  <c r="BH337" i="3"/>
  <c r="BI337" i="3"/>
  <c r="BJ337" i="3"/>
  <c r="BK337" i="3"/>
  <c r="BA337" i="3"/>
  <c r="BM337" i="3"/>
  <c r="BN337" i="3"/>
  <c r="BO337" i="3"/>
  <c r="BP337" i="3"/>
  <c r="BR337" i="3"/>
  <c r="BT337" i="3"/>
  <c r="BL337" i="3"/>
  <c r="AZ337" i="3"/>
  <c r="BB338" i="3"/>
  <c r="BC338" i="3"/>
  <c r="BD338" i="3"/>
  <c r="BE338" i="3"/>
  <c r="BF338" i="3"/>
  <c r="BG338" i="3"/>
  <c r="BH338" i="3"/>
  <c r="BI338" i="3"/>
  <c r="BJ338" i="3"/>
  <c r="BK338" i="3"/>
  <c r="BA338" i="3"/>
  <c r="BM338" i="3"/>
  <c r="BN338" i="3"/>
  <c r="BO338" i="3"/>
  <c r="BP338" i="3"/>
  <c r="BR338" i="3"/>
  <c r="BT338" i="3"/>
  <c r="BL338" i="3"/>
  <c r="AZ338" i="3"/>
  <c r="BB339" i="3"/>
  <c r="BC339" i="3"/>
  <c r="BD339" i="3"/>
  <c r="BE339" i="3"/>
  <c r="BF339" i="3"/>
  <c r="BG339" i="3"/>
  <c r="BH339" i="3"/>
  <c r="BI339" i="3"/>
  <c r="BJ339" i="3"/>
  <c r="BK339" i="3"/>
  <c r="BA339" i="3"/>
  <c r="BM339" i="3"/>
  <c r="BN339" i="3"/>
  <c r="BO339" i="3"/>
  <c r="BP339" i="3"/>
  <c r="BR339" i="3"/>
  <c r="BT339" i="3"/>
  <c r="BL339" i="3"/>
  <c r="AZ339" i="3"/>
  <c r="BB340" i="3"/>
  <c r="BC340" i="3"/>
  <c r="BD340" i="3"/>
  <c r="BE340" i="3"/>
  <c r="BF340" i="3"/>
  <c r="BG340" i="3"/>
  <c r="BH340" i="3"/>
  <c r="BI340" i="3"/>
  <c r="BJ340" i="3"/>
  <c r="BK340" i="3"/>
  <c r="BA340" i="3"/>
  <c r="BM340" i="3"/>
  <c r="BN340" i="3"/>
  <c r="BO340" i="3"/>
  <c r="BP340" i="3"/>
  <c r="BR340" i="3"/>
  <c r="BT340" i="3"/>
  <c r="BL340" i="3"/>
  <c r="AZ340" i="3"/>
  <c r="BB341" i="3"/>
  <c r="BC341" i="3"/>
  <c r="BD341" i="3"/>
  <c r="BE341" i="3"/>
  <c r="BF341" i="3"/>
  <c r="BG341" i="3"/>
  <c r="BH341" i="3"/>
  <c r="BI341" i="3"/>
  <c r="BJ341" i="3"/>
  <c r="BK341" i="3"/>
  <c r="BA341" i="3"/>
  <c r="BM341" i="3"/>
  <c r="BN341" i="3"/>
  <c r="BO341" i="3"/>
  <c r="BP341" i="3"/>
  <c r="BR341" i="3"/>
  <c r="BT341" i="3"/>
  <c r="BL341" i="3"/>
  <c r="AZ341" i="3"/>
  <c r="BB342" i="3"/>
  <c r="BC342" i="3"/>
  <c r="BD342" i="3"/>
  <c r="BE342" i="3"/>
  <c r="BF342" i="3"/>
  <c r="BG342" i="3"/>
  <c r="BH342" i="3"/>
  <c r="BI342" i="3"/>
  <c r="BJ342" i="3"/>
  <c r="BK342" i="3"/>
  <c r="BA342" i="3"/>
  <c r="BM342" i="3"/>
  <c r="BN342" i="3"/>
  <c r="BO342" i="3"/>
  <c r="BP342" i="3"/>
  <c r="BR342" i="3"/>
  <c r="BT342" i="3"/>
  <c r="BL342" i="3"/>
  <c r="AZ342" i="3"/>
  <c r="BB343" i="3"/>
  <c r="BC343" i="3"/>
  <c r="BD343" i="3"/>
  <c r="BE343" i="3"/>
  <c r="BF343" i="3"/>
  <c r="BG343" i="3"/>
  <c r="BH343" i="3"/>
  <c r="BI343" i="3"/>
  <c r="BJ343" i="3"/>
  <c r="BK343" i="3"/>
  <c r="BA343" i="3"/>
  <c r="BM343" i="3"/>
  <c r="BN343" i="3"/>
  <c r="BO343" i="3"/>
  <c r="BP343" i="3"/>
  <c r="BR343" i="3"/>
  <c r="BT343" i="3"/>
  <c r="BL343" i="3"/>
  <c r="AZ343" i="3"/>
  <c r="BB344" i="3"/>
  <c r="BC344" i="3"/>
  <c r="BD344" i="3"/>
  <c r="BE344" i="3"/>
  <c r="BF344" i="3"/>
  <c r="BG344" i="3"/>
  <c r="BH344" i="3"/>
  <c r="BI344" i="3"/>
  <c r="BJ344" i="3"/>
  <c r="BK344" i="3"/>
  <c r="BA344" i="3"/>
  <c r="BM344" i="3"/>
  <c r="BN344" i="3"/>
  <c r="BO344" i="3"/>
  <c r="BP344" i="3"/>
  <c r="BR344" i="3"/>
  <c r="BT344" i="3"/>
  <c r="BL344" i="3"/>
  <c r="AZ344" i="3"/>
  <c r="BB345" i="3"/>
  <c r="BC345" i="3"/>
  <c r="BD345" i="3"/>
  <c r="BE345" i="3"/>
  <c r="BF345" i="3"/>
  <c r="BG345" i="3"/>
  <c r="BH345" i="3"/>
  <c r="BI345" i="3"/>
  <c r="BJ345" i="3"/>
  <c r="BK345" i="3"/>
  <c r="BA345" i="3"/>
  <c r="BM345" i="3"/>
  <c r="BN345" i="3"/>
  <c r="BO345" i="3"/>
  <c r="BP345" i="3"/>
  <c r="BR345" i="3"/>
  <c r="BT345" i="3"/>
  <c r="BL345" i="3"/>
  <c r="AZ345" i="3"/>
  <c r="BB346" i="3"/>
  <c r="BC346" i="3"/>
  <c r="BD346" i="3"/>
  <c r="BE346" i="3"/>
  <c r="BF346" i="3"/>
  <c r="BG346" i="3"/>
  <c r="BH346" i="3"/>
  <c r="BI346" i="3"/>
  <c r="BJ346" i="3"/>
  <c r="BK346" i="3"/>
  <c r="BA346" i="3"/>
  <c r="BM346" i="3"/>
  <c r="BN346" i="3"/>
  <c r="BO346" i="3"/>
  <c r="BP346" i="3"/>
  <c r="BR346" i="3"/>
  <c r="BT346" i="3"/>
  <c r="BL346" i="3"/>
  <c r="AZ346" i="3"/>
  <c r="BB347" i="3"/>
  <c r="BC347" i="3"/>
  <c r="BD347" i="3"/>
  <c r="BE347" i="3"/>
  <c r="BF347" i="3"/>
  <c r="BG347" i="3"/>
  <c r="BH347" i="3"/>
  <c r="BI347" i="3"/>
  <c r="BJ347" i="3"/>
  <c r="BK347" i="3"/>
  <c r="BA347" i="3"/>
  <c r="BM347" i="3"/>
  <c r="BN347" i="3"/>
  <c r="BO347" i="3"/>
  <c r="BP347" i="3"/>
  <c r="BR347" i="3"/>
  <c r="BT347" i="3"/>
  <c r="BL347" i="3"/>
  <c r="AZ347" i="3"/>
  <c r="BB348" i="3"/>
  <c r="BC348" i="3"/>
  <c r="BD348" i="3"/>
  <c r="BE348" i="3"/>
  <c r="BF348" i="3"/>
  <c r="BG348" i="3"/>
  <c r="BH348" i="3"/>
  <c r="BI348" i="3"/>
  <c r="BJ348" i="3"/>
  <c r="BK348" i="3"/>
  <c r="BA348" i="3"/>
  <c r="BM348" i="3"/>
  <c r="BN348" i="3"/>
  <c r="BO348" i="3"/>
  <c r="BP348" i="3"/>
  <c r="BR348" i="3"/>
  <c r="BT348" i="3"/>
  <c r="BL348" i="3"/>
  <c r="AZ348" i="3"/>
  <c r="BB349" i="3"/>
  <c r="BC349" i="3"/>
  <c r="BD349" i="3"/>
  <c r="BE349" i="3"/>
  <c r="BF349" i="3"/>
  <c r="BG349" i="3"/>
  <c r="BH349" i="3"/>
  <c r="BI349" i="3"/>
  <c r="BJ349" i="3"/>
  <c r="BK349" i="3"/>
  <c r="BA349" i="3"/>
  <c r="BM349" i="3"/>
  <c r="BN349" i="3"/>
  <c r="BO349" i="3"/>
  <c r="BP349" i="3"/>
  <c r="BR349" i="3"/>
  <c r="BT349" i="3"/>
  <c r="BL349" i="3"/>
  <c r="AZ349" i="3"/>
  <c r="BB350" i="3"/>
  <c r="BC350" i="3"/>
  <c r="BD350" i="3"/>
  <c r="BE350" i="3"/>
  <c r="BF350" i="3"/>
  <c r="BG350" i="3"/>
  <c r="BH350" i="3"/>
  <c r="BI350" i="3"/>
  <c r="BJ350" i="3"/>
  <c r="BK350" i="3"/>
  <c r="BA350" i="3"/>
  <c r="BM350" i="3"/>
  <c r="BN350" i="3"/>
  <c r="BO350" i="3"/>
  <c r="BP350" i="3"/>
  <c r="BR350" i="3"/>
  <c r="BT350" i="3"/>
  <c r="BL350" i="3"/>
  <c r="AZ350" i="3"/>
  <c r="BB351" i="3"/>
  <c r="BC351" i="3"/>
  <c r="BD351" i="3"/>
  <c r="BE351" i="3"/>
  <c r="BF351" i="3"/>
  <c r="BG351" i="3"/>
  <c r="BH351" i="3"/>
  <c r="BI351" i="3"/>
  <c r="BJ351" i="3"/>
  <c r="BK351" i="3"/>
  <c r="BA351" i="3"/>
  <c r="BM351" i="3"/>
  <c r="BN351" i="3"/>
  <c r="BO351" i="3"/>
  <c r="BP351" i="3"/>
  <c r="BR351" i="3"/>
  <c r="BT351" i="3"/>
  <c r="BL351" i="3"/>
  <c r="AZ351" i="3"/>
  <c r="BB352" i="3"/>
  <c r="BC352" i="3"/>
  <c r="BD352" i="3"/>
  <c r="BE352" i="3"/>
  <c r="BF352" i="3"/>
  <c r="BG352" i="3"/>
  <c r="BH352" i="3"/>
  <c r="BI352" i="3"/>
  <c r="BJ352" i="3"/>
  <c r="BK352" i="3"/>
  <c r="BA352" i="3"/>
  <c r="BM352" i="3"/>
  <c r="BN352" i="3"/>
  <c r="BO352" i="3"/>
  <c r="BP352" i="3"/>
  <c r="BR352" i="3"/>
  <c r="BT352" i="3"/>
  <c r="BL352" i="3"/>
  <c r="AZ352" i="3"/>
  <c r="BB353" i="3"/>
  <c r="BC353" i="3"/>
  <c r="BD353" i="3"/>
  <c r="BE353" i="3"/>
  <c r="BF353" i="3"/>
  <c r="BG353" i="3"/>
  <c r="BH353" i="3"/>
  <c r="BI353" i="3"/>
  <c r="BJ353" i="3"/>
  <c r="BK353" i="3"/>
  <c r="BA353" i="3"/>
  <c r="BM353" i="3"/>
  <c r="BN353" i="3"/>
  <c r="BO353" i="3"/>
  <c r="BP353" i="3"/>
  <c r="BR353" i="3"/>
  <c r="BT353" i="3"/>
  <c r="BL353" i="3"/>
  <c r="AZ353" i="3"/>
  <c r="BB354" i="3"/>
  <c r="BC354" i="3"/>
  <c r="BD354" i="3"/>
  <c r="BE354" i="3"/>
  <c r="BF354" i="3"/>
  <c r="BG354" i="3"/>
  <c r="BH354" i="3"/>
  <c r="BI354" i="3"/>
  <c r="BJ354" i="3"/>
  <c r="BK354" i="3"/>
  <c r="BA354" i="3"/>
  <c r="BM354" i="3"/>
  <c r="BN354" i="3"/>
  <c r="BO354" i="3"/>
  <c r="BP354" i="3"/>
  <c r="BR354" i="3"/>
  <c r="BT354" i="3"/>
  <c r="BL354" i="3"/>
  <c r="AZ354" i="3"/>
  <c r="BB355" i="3"/>
  <c r="BC355" i="3"/>
  <c r="BD355" i="3"/>
  <c r="BE355" i="3"/>
  <c r="BF355" i="3"/>
  <c r="BG355" i="3"/>
  <c r="BH355" i="3"/>
  <c r="BI355" i="3"/>
  <c r="BJ355" i="3"/>
  <c r="BK355" i="3"/>
  <c r="BA355" i="3"/>
  <c r="BM355" i="3"/>
  <c r="BN355" i="3"/>
  <c r="BO355" i="3"/>
  <c r="BP355" i="3"/>
  <c r="BR355" i="3"/>
  <c r="BT355" i="3"/>
  <c r="BL355" i="3"/>
  <c r="AZ355" i="3"/>
  <c r="BB356" i="3"/>
  <c r="BC356" i="3"/>
  <c r="BD356" i="3"/>
  <c r="BE356" i="3"/>
  <c r="BF356" i="3"/>
  <c r="BG356" i="3"/>
  <c r="BH356" i="3"/>
  <c r="BI356" i="3"/>
  <c r="BJ356" i="3"/>
  <c r="BK356" i="3"/>
  <c r="BA356" i="3"/>
  <c r="BM356" i="3"/>
  <c r="BN356" i="3"/>
  <c r="BO356" i="3"/>
  <c r="BP356" i="3"/>
  <c r="BR356" i="3"/>
  <c r="BT356" i="3"/>
  <c r="BL356" i="3"/>
  <c r="AZ356" i="3"/>
  <c r="BB357" i="3"/>
  <c r="BC357" i="3"/>
  <c r="BD357" i="3"/>
  <c r="BE357" i="3"/>
  <c r="BF357" i="3"/>
  <c r="BG357" i="3"/>
  <c r="BH357" i="3"/>
  <c r="BI357" i="3"/>
  <c r="BJ357" i="3"/>
  <c r="BK357" i="3"/>
  <c r="BA357" i="3"/>
  <c r="BM357" i="3"/>
  <c r="BN357" i="3"/>
  <c r="BO357" i="3"/>
  <c r="BP357" i="3"/>
  <c r="BR357" i="3"/>
  <c r="BT357" i="3"/>
  <c r="BL357" i="3"/>
  <c r="AZ357" i="3"/>
  <c r="BB358" i="3"/>
  <c r="BC358" i="3"/>
  <c r="BD358" i="3"/>
  <c r="BE358" i="3"/>
  <c r="BF358" i="3"/>
  <c r="BG358" i="3"/>
  <c r="BH358" i="3"/>
  <c r="BI358" i="3"/>
  <c r="BJ358" i="3"/>
  <c r="BK358" i="3"/>
  <c r="BA358" i="3"/>
  <c r="BM358" i="3"/>
  <c r="BN358" i="3"/>
  <c r="BO358" i="3"/>
  <c r="BP358" i="3"/>
  <c r="BR358" i="3"/>
  <c r="BT358" i="3"/>
  <c r="BL358" i="3"/>
  <c r="AZ358" i="3"/>
  <c r="BB359" i="3"/>
  <c r="BC359" i="3"/>
  <c r="BD359" i="3"/>
  <c r="BE359" i="3"/>
  <c r="BF359" i="3"/>
  <c r="BG359" i="3"/>
  <c r="BH359" i="3"/>
  <c r="BI359" i="3"/>
  <c r="BJ359" i="3"/>
  <c r="BK359" i="3"/>
  <c r="BA359" i="3"/>
  <c r="BM359" i="3"/>
  <c r="BN359" i="3"/>
  <c r="BO359" i="3"/>
  <c r="BP359" i="3"/>
  <c r="BR359" i="3"/>
  <c r="BT359" i="3"/>
  <c r="BL359" i="3"/>
  <c r="AZ359" i="3"/>
  <c r="BB360" i="3"/>
  <c r="BC360" i="3"/>
  <c r="BD360" i="3"/>
  <c r="BE360" i="3"/>
  <c r="BF360" i="3"/>
  <c r="BG360" i="3"/>
  <c r="BH360" i="3"/>
  <c r="BI360" i="3"/>
  <c r="BJ360" i="3"/>
  <c r="BK360" i="3"/>
  <c r="BA360" i="3"/>
  <c r="BM360" i="3"/>
  <c r="BN360" i="3"/>
  <c r="BO360" i="3"/>
  <c r="BP360" i="3"/>
  <c r="BR360" i="3"/>
  <c r="BT360" i="3"/>
  <c r="BL360" i="3"/>
  <c r="AZ360" i="3"/>
  <c r="BB361" i="3"/>
  <c r="BC361" i="3"/>
  <c r="BD361" i="3"/>
  <c r="BE361" i="3"/>
  <c r="BF361" i="3"/>
  <c r="BG361" i="3"/>
  <c r="BH361" i="3"/>
  <c r="BI361" i="3"/>
  <c r="BJ361" i="3"/>
  <c r="BK361" i="3"/>
  <c r="BA361" i="3"/>
  <c r="BM361" i="3"/>
  <c r="BN361" i="3"/>
  <c r="BO361" i="3"/>
  <c r="BP361" i="3"/>
  <c r="BR361" i="3"/>
  <c r="BT361" i="3"/>
  <c r="BL361" i="3"/>
  <c r="AZ361" i="3"/>
  <c r="BB362" i="3"/>
  <c r="BC362" i="3"/>
  <c r="BD362" i="3"/>
  <c r="BE362" i="3"/>
  <c r="BF362" i="3"/>
  <c r="BG362" i="3"/>
  <c r="BH362" i="3"/>
  <c r="BI362" i="3"/>
  <c r="BJ362" i="3"/>
  <c r="BK362" i="3"/>
  <c r="BA362" i="3"/>
  <c r="BM362" i="3"/>
  <c r="BN362" i="3"/>
  <c r="BO362" i="3"/>
  <c r="BP362" i="3"/>
  <c r="BR362" i="3"/>
  <c r="BT362" i="3"/>
  <c r="BL362" i="3"/>
  <c r="AZ362" i="3"/>
  <c r="BB363" i="3"/>
  <c r="BC363" i="3"/>
  <c r="BD363" i="3"/>
  <c r="BE363" i="3"/>
  <c r="BF363" i="3"/>
  <c r="BG363" i="3"/>
  <c r="BH363" i="3"/>
  <c r="BI363" i="3"/>
  <c r="BJ363" i="3"/>
  <c r="BK363" i="3"/>
  <c r="BA363" i="3"/>
  <c r="BM363" i="3"/>
  <c r="BN363" i="3"/>
  <c r="BO363" i="3"/>
  <c r="BP363" i="3"/>
  <c r="BR363" i="3"/>
  <c r="BT363" i="3"/>
  <c r="BL363" i="3"/>
  <c r="AZ363" i="3"/>
  <c r="BB364" i="3"/>
  <c r="BC364" i="3"/>
  <c r="BD364" i="3"/>
  <c r="BE364" i="3"/>
  <c r="BF364" i="3"/>
  <c r="BG364" i="3"/>
  <c r="BH364" i="3"/>
  <c r="BI364" i="3"/>
  <c r="BJ364" i="3"/>
  <c r="BK364" i="3"/>
  <c r="BA364" i="3"/>
  <c r="BM364" i="3"/>
  <c r="BN364" i="3"/>
  <c r="BO364" i="3"/>
  <c r="BP364" i="3"/>
  <c r="BR364" i="3"/>
  <c r="BT364" i="3"/>
  <c r="BL364" i="3"/>
  <c r="AZ364" i="3"/>
  <c r="BB365" i="3"/>
  <c r="BC365" i="3"/>
  <c r="BD365" i="3"/>
  <c r="BE365" i="3"/>
  <c r="BF365" i="3"/>
  <c r="BG365" i="3"/>
  <c r="BH365" i="3"/>
  <c r="BI365" i="3"/>
  <c r="BJ365" i="3"/>
  <c r="BK365" i="3"/>
  <c r="BA365" i="3"/>
  <c r="BM365" i="3"/>
  <c r="BN365" i="3"/>
  <c r="BO365" i="3"/>
  <c r="BP365" i="3"/>
  <c r="BR365" i="3"/>
  <c r="BT365" i="3"/>
  <c r="BL365" i="3"/>
  <c r="AZ365" i="3"/>
  <c r="BB366" i="3"/>
  <c r="BC366" i="3"/>
  <c r="BD366" i="3"/>
  <c r="BE366" i="3"/>
  <c r="BF366" i="3"/>
  <c r="BG366" i="3"/>
  <c r="BH366" i="3"/>
  <c r="BI366" i="3"/>
  <c r="BJ366" i="3"/>
  <c r="BK366" i="3"/>
  <c r="BA366" i="3"/>
  <c r="BM366" i="3"/>
  <c r="BN366" i="3"/>
  <c r="BO366" i="3"/>
  <c r="BP366" i="3"/>
  <c r="BR366" i="3"/>
  <c r="BT366" i="3"/>
  <c r="BL366" i="3"/>
  <c r="AZ366" i="3"/>
  <c r="BB367" i="3"/>
  <c r="BC367" i="3"/>
  <c r="BD367" i="3"/>
  <c r="BE367" i="3"/>
  <c r="BF367" i="3"/>
  <c r="BG367" i="3"/>
  <c r="BH367" i="3"/>
  <c r="BI367" i="3"/>
  <c r="BJ367" i="3"/>
  <c r="BK367" i="3"/>
  <c r="BA367" i="3"/>
  <c r="BM367" i="3"/>
  <c r="BN367" i="3"/>
  <c r="BO367" i="3"/>
  <c r="BP367" i="3"/>
  <c r="BR367" i="3"/>
  <c r="BT367" i="3"/>
  <c r="BL367" i="3"/>
  <c r="AZ367" i="3"/>
  <c r="BB368" i="3"/>
  <c r="BC368" i="3"/>
  <c r="BD368" i="3"/>
  <c r="BE368" i="3"/>
  <c r="BF368" i="3"/>
  <c r="BG368" i="3"/>
  <c r="BH368" i="3"/>
  <c r="BI368" i="3"/>
  <c r="BJ368" i="3"/>
  <c r="BK368" i="3"/>
  <c r="BA368" i="3"/>
  <c r="BM368" i="3"/>
  <c r="BN368" i="3"/>
  <c r="BO368" i="3"/>
  <c r="BP368" i="3"/>
  <c r="BR368" i="3"/>
  <c r="BT368" i="3"/>
  <c r="BL368" i="3"/>
  <c r="AZ368" i="3"/>
  <c r="BB369" i="3"/>
  <c r="BC369" i="3"/>
  <c r="BD369" i="3"/>
  <c r="BE369" i="3"/>
  <c r="BF369" i="3"/>
  <c r="BG369" i="3"/>
  <c r="BH369" i="3"/>
  <c r="BI369" i="3"/>
  <c r="BJ369" i="3"/>
  <c r="BK369" i="3"/>
  <c r="BA369" i="3"/>
  <c r="BM369" i="3"/>
  <c r="BN369" i="3"/>
  <c r="BO369" i="3"/>
  <c r="BP369" i="3"/>
  <c r="BR369" i="3"/>
  <c r="BT369" i="3"/>
  <c r="BL369" i="3"/>
  <c r="AZ369" i="3"/>
  <c r="BB370" i="3"/>
  <c r="BC370" i="3"/>
  <c r="BD370" i="3"/>
  <c r="BE370" i="3"/>
  <c r="BF370" i="3"/>
  <c r="BG370" i="3"/>
  <c r="BH370" i="3"/>
  <c r="BI370" i="3"/>
  <c r="BJ370" i="3"/>
  <c r="BK370" i="3"/>
  <c r="BA370" i="3"/>
  <c r="BM370" i="3"/>
  <c r="BN370" i="3"/>
  <c r="BO370" i="3"/>
  <c r="BP370" i="3"/>
  <c r="BR370" i="3"/>
  <c r="BT370" i="3"/>
  <c r="BL370" i="3"/>
  <c r="AZ370" i="3"/>
  <c r="BB371" i="3"/>
  <c r="BC371" i="3"/>
  <c r="BD371" i="3"/>
  <c r="BE371" i="3"/>
  <c r="BF371" i="3"/>
  <c r="BG371" i="3"/>
  <c r="BH371" i="3"/>
  <c r="BI371" i="3"/>
  <c r="BJ371" i="3"/>
  <c r="BK371" i="3"/>
  <c r="BA371" i="3"/>
  <c r="BM371" i="3"/>
  <c r="BN371" i="3"/>
  <c r="BO371" i="3"/>
  <c r="BP371" i="3"/>
  <c r="BR371" i="3"/>
  <c r="BT371" i="3"/>
  <c r="BL371" i="3"/>
  <c r="AZ371" i="3"/>
  <c r="BB372" i="3"/>
  <c r="BC372" i="3"/>
  <c r="BD372" i="3"/>
  <c r="BE372" i="3"/>
  <c r="BF372" i="3"/>
  <c r="BG372" i="3"/>
  <c r="BH372" i="3"/>
  <c r="BI372" i="3"/>
  <c r="BJ372" i="3"/>
  <c r="BK372" i="3"/>
  <c r="BA372" i="3"/>
  <c r="BM372" i="3"/>
  <c r="BN372" i="3"/>
  <c r="BO372" i="3"/>
  <c r="BP372" i="3"/>
  <c r="BR372" i="3"/>
  <c r="BT372" i="3"/>
  <c r="BL372" i="3"/>
  <c r="AZ372" i="3"/>
  <c r="BB373" i="3"/>
  <c r="BC373" i="3"/>
  <c r="BD373" i="3"/>
  <c r="BE373" i="3"/>
  <c r="BF373" i="3"/>
  <c r="BG373" i="3"/>
  <c r="BH373" i="3"/>
  <c r="BI373" i="3"/>
  <c r="BJ373" i="3"/>
  <c r="BK373" i="3"/>
  <c r="BA373" i="3"/>
  <c r="BM373" i="3"/>
  <c r="BN373" i="3"/>
  <c r="BO373" i="3"/>
  <c r="BP373" i="3"/>
  <c r="BR373" i="3"/>
  <c r="BT373" i="3"/>
  <c r="BL373" i="3"/>
  <c r="AZ373" i="3"/>
  <c r="BB374" i="3"/>
  <c r="BC374" i="3"/>
  <c r="BD374" i="3"/>
  <c r="BE374" i="3"/>
  <c r="BF374" i="3"/>
  <c r="BG374" i="3"/>
  <c r="BH374" i="3"/>
  <c r="BI374" i="3"/>
  <c r="BJ374" i="3"/>
  <c r="BK374" i="3"/>
  <c r="BA374" i="3"/>
  <c r="BM374" i="3"/>
  <c r="BN374" i="3"/>
  <c r="BO374" i="3"/>
  <c r="BP374" i="3"/>
  <c r="BR374" i="3"/>
  <c r="BT374" i="3"/>
  <c r="BL374" i="3"/>
  <c r="AZ374" i="3"/>
  <c r="BB375" i="3"/>
  <c r="BC375" i="3"/>
  <c r="BD375" i="3"/>
  <c r="BE375" i="3"/>
  <c r="BF375" i="3"/>
  <c r="BG375" i="3"/>
  <c r="BH375" i="3"/>
  <c r="BI375" i="3"/>
  <c r="BJ375" i="3"/>
  <c r="BK375" i="3"/>
  <c r="BA375" i="3"/>
  <c r="BM375" i="3"/>
  <c r="BN375" i="3"/>
  <c r="BO375" i="3"/>
  <c r="BP375" i="3"/>
  <c r="BR375" i="3"/>
  <c r="BT375" i="3"/>
  <c r="BL375" i="3"/>
  <c r="AZ375" i="3"/>
  <c r="BB376" i="3"/>
  <c r="BC376" i="3"/>
  <c r="BD376" i="3"/>
  <c r="BE376" i="3"/>
  <c r="BF376" i="3"/>
  <c r="BG376" i="3"/>
  <c r="BH376" i="3"/>
  <c r="BI376" i="3"/>
  <c r="BJ376" i="3"/>
  <c r="BK376" i="3"/>
  <c r="BA376" i="3"/>
  <c r="BM376" i="3"/>
  <c r="BN376" i="3"/>
  <c r="BO376" i="3"/>
  <c r="BP376" i="3"/>
  <c r="BR376" i="3"/>
  <c r="BT376" i="3"/>
  <c r="BL376" i="3"/>
  <c r="AZ376" i="3"/>
  <c r="BB377" i="3"/>
  <c r="BC377" i="3"/>
  <c r="BD377" i="3"/>
  <c r="BE377" i="3"/>
  <c r="BF377" i="3"/>
  <c r="BG377" i="3"/>
  <c r="BH377" i="3"/>
  <c r="BI377" i="3"/>
  <c r="BJ377" i="3"/>
  <c r="BK377" i="3"/>
  <c r="BA377" i="3"/>
  <c r="BM377" i="3"/>
  <c r="BN377" i="3"/>
  <c r="BO377" i="3"/>
  <c r="BP377" i="3"/>
  <c r="BR377" i="3"/>
  <c r="BT377" i="3"/>
  <c r="BL377" i="3"/>
  <c r="AZ377" i="3"/>
  <c r="BB378" i="3"/>
  <c r="BC378" i="3"/>
  <c r="BD378" i="3"/>
  <c r="BE378" i="3"/>
  <c r="BF378" i="3"/>
  <c r="BG378" i="3"/>
  <c r="BH378" i="3"/>
  <c r="BI378" i="3"/>
  <c r="BJ378" i="3"/>
  <c r="BK378" i="3"/>
  <c r="BA378" i="3"/>
  <c r="BM378" i="3"/>
  <c r="BN378" i="3"/>
  <c r="BO378" i="3"/>
  <c r="BP378" i="3"/>
  <c r="BR378" i="3"/>
  <c r="BT378" i="3"/>
  <c r="BL378" i="3"/>
  <c r="AZ378" i="3"/>
  <c r="BB379" i="3"/>
  <c r="BC379" i="3"/>
  <c r="BD379" i="3"/>
  <c r="BE379" i="3"/>
  <c r="BF379" i="3"/>
  <c r="BG379" i="3"/>
  <c r="BH379" i="3"/>
  <c r="BI379" i="3"/>
  <c r="BJ379" i="3"/>
  <c r="BK379" i="3"/>
  <c r="BA379" i="3"/>
  <c r="BM379" i="3"/>
  <c r="BN379" i="3"/>
  <c r="BO379" i="3"/>
  <c r="BP379" i="3"/>
  <c r="BR379" i="3"/>
  <c r="BT379" i="3"/>
  <c r="BL379" i="3"/>
  <c r="AZ379" i="3"/>
  <c r="BB380" i="3"/>
  <c r="BC380" i="3"/>
  <c r="BD380" i="3"/>
  <c r="BE380" i="3"/>
  <c r="BF380" i="3"/>
  <c r="BG380" i="3"/>
  <c r="BH380" i="3"/>
  <c r="BI380" i="3"/>
  <c r="BJ380" i="3"/>
  <c r="BK380" i="3"/>
  <c r="BA380" i="3"/>
  <c r="BM380" i="3"/>
  <c r="BN380" i="3"/>
  <c r="BO380" i="3"/>
  <c r="BP380" i="3"/>
  <c r="BR380" i="3"/>
  <c r="BT380" i="3"/>
  <c r="BL380" i="3"/>
  <c r="AZ380" i="3"/>
  <c r="BB381" i="3"/>
  <c r="BC381" i="3"/>
  <c r="BD381" i="3"/>
  <c r="BE381" i="3"/>
  <c r="BF381" i="3"/>
  <c r="BG381" i="3"/>
  <c r="BH381" i="3"/>
  <c r="BI381" i="3"/>
  <c r="BJ381" i="3"/>
  <c r="BK381" i="3"/>
  <c r="BA381" i="3"/>
  <c r="BM381" i="3"/>
  <c r="BN381" i="3"/>
  <c r="BO381" i="3"/>
  <c r="BP381" i="3"/>
  <c r="BR381" i="3"/>
  <c r="BT381" i="3"/>
  <c r="BL381" i="3"/>
  <c r="AZ381" i="3"/>
  <c r="BB382" i="3"/>
  <c r="BC382" i="3"/>
  <c r="BD382" i="3"/>
  <c r="BE382" i="3"/>
  <c r="BF382" i="3"/>
  <c r="BG382" i="3"/>
  <c r="BH382" i="3"/>
  <c r="BI382" i="3"/>
  <c r="BJ382" i="3"/>
  <c r="BK382" i="3"/>
  <c r="BA382" i="3"/>
  <c r="BM382" i="3"/>
  <c r="BN382" i="3"/>
  <c r="BO382" i="3"/>
  <c r="BP382" i="3"/>
  <c r="BR382" i="3"/>
  <c r="BT382" i="3"/>
  <c r="BL382" i="3"/>
  <c r="AZ382" i="3"/>
  <c r="BB383" i="3"/>
  <c r="BC383" i="3"/>
  <c r="BD383" i="3"/>
  <c r="BE383" i="3"/>
  <c r="BF383" i="3"/>
  <c r="BG383" i="3"/>
  <c r="BH383" i="3"/>
  <c r="BI383" i="3"/>
  <c r="BJ383" i="3"/>
  <c r="BK383" i="3"/>
  <c r="BA383" i="3"/>
  <c r="BM383" i="3"/>
  <c r="BN383" i="3"/>
  <c r="BO383" i="3"/>
  <c r="BP383" i="3"/>
  <c r="BR383" i="3"/>
  <c r="BT383" i="3"/>
  <c r="BL383" i="3"/>
  <c r="AZ383" i="3"/>
  <c r="BB384" i="3"/>
  <c r="BC384" i="3"/>
  <c r="BD384" i="3"/>
  <c r="BE384" i="3"/>
  <c r="BF384" i="3"/>
  <c r="BG384" i="3"/>
  <c r="BH384" i="3"/>
  <c r="BI384" i="3"/>
  <c r="BJ384" i="3"/>
  <c r="BK384" i="3"/>
  <c r="BA384" i="3"/>
  <c r="BM384" i="3"/>
  <c r="BN384" i="3"/>
  <c r="BO384" i="3"/>
  <c r="BP384" i="3"/>
  <c r="BR384" i="3"/>
  <c r="BT384" i="3"/>
  <c r="BL384" i="3"/>
  <c r="AZ384" i="3"/>
  <c r="BB385" i="3"/>
  <c r="BC385" i="3"/>
  <c r="BD385" i="3"/>
  <c r="BE385" i="3"/>
  <c r="BF385" i="3"/>
  <c r="BG385" i="3"/>
  <c r="BH385" i="3"/>
  <c r="BI385" i="3"/>
  <c r="BJ385" i="3"/>
  <c r="BK385" i="3"/>
  <c r="BA385" i="3"/>
  <c r="BM385" i="3"/>
  <c r="BN385" i="3"/>
  <c r="BO385" i="3"/>
  <c r="BP385" i="3"/>
  <c r="BR385" i="3"/>
  <c r="BT385" i="3"/>
  <c r="BL385" i="3"/>
  <c r="AZ385" i="3"/>
  <c r="BB386" i="3"/>
  <c r="BC386" i="3"/>
  <c r="BD386" i="3"/>
  <c r="BE386" i="3"/>
  <c r="BF386" i="3"/>
  <c r="BG386" i="3"/>
  <c r="BH386" i="3"/>
  <c r="BI386" i="3"/>
  <c r="BJ386" i="3"/>
  <c r="BK386" i="3"/>
  <c r="BA386" i="3"/>
  <c r="BM386" i="3"/>
  <c r="BN386" i="3"/>
  <c r="BO386" i="3"/>
  <c r="BP386" i="3"/>
  <c r="BR386" i="3"/>
  <c r="BT386" i="3"/>
  <c r="BL386" i="3"/>
  <c r="AZ386" i="3"/>
  <c r="BB387" i="3"/>
  <c r="BC387" i="3"/>
  <c r="BD387" i="3"/>
  <c r="BE387" i="3"/>
  <c r="BF387" i="3"/>
  <c r="BG387" i="3"/>
  <c r="BH387" i="3"/>
  <c r="BI387" i="3"/>
  <c r="BJ387" i="3"/>
  <c r="BK387" i="3"/>
  <c r="BA387" i="3"/>
  <c r="BM387" i="3"/>
  <c r="BN387" i="3"/>
  <c r="BO387" i="3"/>
  <c r="BP387" i="3"/>
  <c r="BR387" i="3"/>
  <c r="BT387" i="3"/>
  <c r="BL387" i="3"/>
  <c r="AZ387" i="3"/>
  <c r="BB388" i="3"/>
  <c r="BC388" i="3"/>
  <c r="BD388" i="3"/>
  <c r="BE388" i="3"/>
  <c r="BF388" i="3"/>
  <c r="BG388" i="3"/>
  <c r="BH388" i="3"/>
  <c r="BI388" i="3"/>
  <c r="BJ388" i="3"/>
  <c r="BK388" i="3"/>
  <c r="BA388" i="3"/>
  <c r="BM388" i="3"/>
  <c r="BN388" i="3"/>
  <c r="BO388" i="3"/>
  <c r="BP388" i="3"/>
  <c r="BR388" i="3"/>
  <c r="BT388" i="3"/>
  <c r="BL388" i="3"/>
  <c r="AZ388" i="3"/>
  <c r="BB389" i="3"/>
  <c r="BC389" i="3"/>
  <c r="BD389" i="3"/>
  <c r="BE389" i="3"/>
  <c r="BF389" i="3"/>
  <c r="BG389" i="3"/>
  <c r="BH389" i="3"/>
  <c r="BI389" i="3"/>
  <c r="BJ389" i="3"/>
  <c r="BK389" i="3"/>
  <c r="BA389" i="3"/>
  <c r="BM389" i="3"/>
  <c r="BN389" i="3"/>
  <c r="BO389" i="3"/>
  <c r="BP389" i="3"/>
  <c r="BR389" i="3"/>
  <c r="BT389" i="3"/>
  <c r="BL389" i="3"/>
  <c r="AZ389" i="3"/>
  <c r="BB390" i="3"/>
  <c r="BC390" i="3"/>
  <c r="BD390" i="3"/>
  <c r="BE390" i="3"/>
  <c r="BF390" i="3"/>
  <c r="BG390" i="3"/>
  <c r="BH390" i="3"/>
  <c r="BI390" i="3"/>
  <c r="BJ390" i="3"/>
  <c r="BK390" i="3"/>
  <c r="BA390" i="3"/>
  <c r="BM390" i="3"/>
  <c r="BN390" i="3"/>
  <c r="BO390" i="3"/>
  <c r="BP390" i="3"/>
  <c r="BR390" i="3"/>
  <c r="BT390" i="3"/>
  <c r="BL390" i="3"/>
  <c r="AZ390" i="3"/>
  <c r="BB391" i="3"/>
  <c r="BC391" i="3"/>
  <c r="BD391" i="3"/>
  <c r="BE391" i="3"/>
  <c r="BF391" i="3"/>
  <c r="BG391" i="3"/>
  <c r="BH391" i="3"/>
  <c r="BI391" i="3"/>
  <c r="BJ391" i="3"/>
  <c r="BK391" i="3"/>
  <c r="BA391" i="3"/>
  <c r="BM391" i="3"/>
  <c r="BN391" i="3"/>
  <c r="BO391" i="3"/>
  <c r="BP391" i="3"/>
  <c r="BR391" i="3"/>
  <c r="BT391" i="3"/>
  <c r="BL391" i="3"/>
  <c r="AZ391" i="3"/>
  <c r="BB392" i="3"/>
  <c r="BC392" i="3"/>
  <c r="BD392" i="3"/>
  <c r="BE392" i="3"/>
  <c r="BF392" i="3"/>
  <c r="BG392" i="3"/>
  <c r="BH392" i="3"/>
  <c r="BI392" i="3"/>
  <c r="BJ392" i="3"/>
  <c r="BK392" i="3"/>
  <c r="BA392" i="3"/>
  <c r="BM392" i="3"/>
  <c r="BN392" i="3"/>
  <c r="BO392" i="3"/>
  <c r="BP392" i="3"/>
  <c r="BR392" i="3"/>
  <c r="BT392" i="3"/>
  <c r="BL392" i="3"/>
  <c r="AZ392" i="3"/>
  <c r="BB393" i="3"/>
  <c r="BC393" i="3"/>
  <c r="BD393" i="3"/>
  <c r="BE393" i="3"/>
  <c r="BF393" i="3"/>
  <c r="BG393" i="3"/>
  <c r="BH393" i="3"/>
  <c r="BI393" i="3"/>
  <c r="BJ393" i="3"/>
  <c r="BK393" i="3"/>
  <c r="BA393" i="3"/>
  <c r="BM393" i="3"/>
  <c r="BN393" i="3"/>
  <c r="BO393" i="3"/>
  <c r="BP393" i="3"/>
  <c r="BR393" i="3"/>
  <c r="BT393" i="3"/>
  <c r="BL393" i="3"/>
  <c r="AZ393" i="3"/>
  <c r="BB394" i="3"/>
  <c r="BC394" i="3"/>
  <c r="BD394" i="3"/>
  <c r="BE394" i="3"/>
  <c r="BF394" i="3"/>
  <c r="BG394" i="3"/>
  <c r="BH394" i="3"/>
  <c r="BI394" i="3"/>
  <c r="BJ394" i="3"/>
  <c r="BK394" i="3"/>
  <c r="BA394" i="3"/>
  <c r="BM394" i="3"/>
  <c r="BN394" i="3"/>
  <c r="BO394" i="3"/>
  <c r="BP394" i="3"/>
  <c r="BR394" i="3"/>
  <c r="BT394" i="3"/>
  <c r="BL394" i="3"/>
  <c r="AZ394" i="3"/>
  <c r="BB395" i="3"/>
  <c r="BC395" i="3"/>
  <c r="BD395" i="3"/>
  <c r="BE395" i="3"/>
  <c r="BF395" i="3"/>
  <c r="BG395" i="3"/>
  <c r="BH395" i="3"/>
  <c r="BI395" i="3"/>
  <c r="BJ395" i="3"/>
  <c r="BK395" i="3"/>
  <c r="BA395" i="3"/>
  <c r="BM395" i="3"/>
  <c r="BN395" i="3"/>
  <c r="BO395" i="3"/>
  <c r="BP395" i="3"/>
  <c r="BR395" i="3"/>
  <c r="BT395" i="3"/>
  <c r="BL395" i="3"/>
  <c r="AZ395" i="3"/>
  <c r="BB396" i="3"/>
  <c r="BC396" i="3"/>
  <c r="BD396" i="3"/>
  <c r="BE396" i="3"/>
  <c r="BF396" i="3"/>
  <c r="BG396" i="3"/>
  <c r="BH396" i="3"/>
  <c r="BI396" i="3"/>
  <c r="BJ396" i="3"/>
  <c r="BK396" i="3"/>
  <c r="BA396" i="3"/>
  <c r="BM396" i="3"/>
  <c r="BN396" i="3"/>
  <c r="BO396" i="3"/>
  <c r="BP396" i="3"/>
  <c r="BR396" i="3"/>
  <c r="BT396" i="3"/>
  <c r="BL396" i="3"/>
  <c r="AZ396" i="3"/>
  <c r="BB397" i="3"/>
  <c r="BC397" i="3"/>
  <c r="BD397" i="3"/>
  <c r="BE397" i="3"/>
  <c r="BF397" i="3"/>
  <c r="BG397" i="3"/>
  <c r="BH397" i="3"/>
  <c r="BI397" i="3"/>
  <c r="BJ397" i="3"/>
  <c r="BK397" i="3"/>
  <c r="BA397" i="3"/>
  <c r="BM397" i="3"/>
  <c r="BN397" i="3"/>
  <c r="BO397" i="3"/>
  <c r="BP397" i="3"/>
  <c r="BR397" i="3"/>
  <c r="BT397" i="3"/>
  <c r="BL397" i="3"/>
  <c r="AZ397" i="3"/>
  <c r="BB398" i="3"/>
  <c r="BC398" i="3"/>
  <c r="BD398" i="3"/>
  <c r="BE398" i="3"/>
  <c r="BF398" i="3"/>
  <c r="BG398" i="3"/>
  <c r="BH398" i="3"/>
  <c r="BI398" i="3"/>
  <c r="BJ398" i="3"/>
  <c r="BK398" i="3"/>
  <c r="BA398" i="3"/>
  <c r="BM398" i="3"/>
  <c r="BN398" i="3"/>
  <c r="BO398" i="3"/>
  <c r="BP398" i="3"/>
  <c r="BR398" i="3"/>
  <c r="BT398" i="3"/>
  <c r="BL398" i="3"/>
  <c r="AZ398" i="3"/>
  <c r="BB399" i="3"/>
  <c r="BC399" i="3"/>
  <c r="BD399" i="3"/>
  <c r="BE399" i="3"/>
  <c r="BF399" i="3"/>
  <c r="BG399" i="3"/>
  <c r="BH399" i="3"/>
  <c r="BI399" i="3"/>
  <c r="BJ399" i="3"/>
  <c r="BK399" i="3"/>
  <c r="BA399" i="3"/>
  <c r="BM399" i="3"/>
  <c r="BN399" i="3"/>
  <c r="BO399" i="3"/>
  <c r="BP399" i="3"/>
  <c r="BR399" i="3"/>
  <c r="BT399" i="3"/>
  <c r="BL399" i="3"/>
  <c r="AZ399" i="3"/>
  <c r="BB400" i="3"/>
  <c r="BC400" i="3"/>
  <c r="BD400" i="3"/>
  <c r="BE400" i="3"/>
  <c r="BF400" i="3"/>
  <c r="BG400" i="3"/>
  <c r="BH400" i="3"/>
  <c r="BI400" i="3"/>
  <c r="BJ400" i="3"/>
  <c r="BK400" i="3"/>
  <c r="BA400" i="3"/>
  <c r="BM400" i="3"/>
  <c r="BN400" i="3"/>
  <c r="BO400" i="3"/>
  <c r="BP400" i="3"/>
  <c r="BR400" i="3"/>
  <c r="BT400" i="3"/>
  <c r="BL400" i="3"/>
  <c r="AZ400" i="3"/>
  <c r="BB401" i="3"/>
  <c r="BC401" i="3"/>
  <c r="BD401" i="3"/>
  <c r="BE401" i="3"/>
  <c r="BF401" i="3"/>
  <c r="BG401" i="3"/>
  <c r="BH401" i="3"/>
  <c r="BI401" i="3"/>
  <c r="BJ401" i="3"/>
  <c r="BK401" i="3"/>
  <c r="BA401" i="3"/>
  <c r="BM401" i="3"/>
  <c r="BN401" i="3"/>
  <c r="BO401" i="3"/>
  <c r="BP401" i="3"/>
  <c r="BR401" i="3"/>
  <c r="BT401" i="3"/>
  <c r="BL401" i="3"/>
  <c r="AZ401" i="3"/>
  <c r="BB402" i="3"/>
  <c r="BC402" i="3"/>
  <c r="BD402" i="3"/>
  <c r="BE402" i="3"/>
  <c r="BF402" i="3"/>
  <c r="BG402" i="3"/>
  <c r="BH402" i="3"/>
  <c r="BI402" i="3"/>
  <c r="BJ402" i="3"/>
  <c r="BK402" i="3"/>
  <c r="BA402" i="3"/>
  <c r="BM402" i="3"/>
  <c r="BN402" i="3"/>
  <c r="BO402" i="3"/>
  <c r="BP402" i="3"/>
  <c r="BR402" i="3"/>
  <c r="BT402" i="3"/>
  <c r="BL402" i="3"/>
  <c r="AZ402" i="3"/>
  <c r="BB403" i="3"/>
  <c r="BC403" i="3"/>
  <c r="BD403" i="3"/>
  <c r="BE403" i="3"/>
  <c r="BF403" i="3"/>
  <c r="BG403" i="3"/>
  <c r="BH403" i="3"/>
  <c r="BI403" i="3"/>
  <c r="BJ403" i="3"/>
  <c r="BK403" i="3"/>
  <c r="BA403" i="3"/>
  <c r="BM403" i="3"/>
  <c r="BN403" i="3"/>
  <c r="BO403" i="3"/>
  <c r="BP403" i="3"/>
  <c r="BR403" i="3"/>
  <c r="BT403" i="3"/>
  <c r="BL403" i="3"/>
  <c r="AZ403" i="3"/>
  <c r="BB404" i="3"/>
  <c r="BC404" i="3"/>
  <c r="BD404" i="3"/>
  <c r="BE404" i="3"/>
  <c r="BF404" i="3"/>
  <c r="BG404" i="3"/>
  <c r="BH404" i="3"/>
  <c r="BI404" i="3"/>
  <c r="BJ404" i="3"/>
  <c r="BK404" i="3"/>
  <c r="BA404" i="3"/>
  <c r="BM404" i="3"/>
  <c r="BN404" i="3"/>
  <c r="BO404" i="3"/>
  <c r="BP404" i="3"/>
  <c r="BR404" i="3"/>
  <c r="BT404" i="3"/>
  <c r="BL404" i="3"/>
  <c r="AZ404" i="3"/>
  <c r="BB405" i="3"/>
  <c r="BC405" i="3"/>
  <c r="BD405" i="3"/>
  <c r="BE405" i="3"/>
  <c r="BF405" i="3"/>
  <c r="BG405" i="3"/>
  <c r="BH405" i="3"/>
  <c r="BI405" i="3"/>
  <c r="BJ405" i="3"/>
  <c r="BK405" i="3"/>
  <c r="BA405" i="3"/>
  <c r="BM405" i="3"/>
  <c r="BN405" i="3"/>
  <c r="BO405" i="3"/>
  <c r="BP405" i="3"/>
  <c r="BR405" i="3"/>
  <c r="BT405" i="3"/>
  <c r="BL405" i="3"/>
  <c r="AZ405" i="3"/>
  <c r="BB406" i="3"/>
  <c r="BC406" i="3"/>
  <c r="BD406" i="3"/>
  <c r="BE406" i="3"/>
  <c r="BF406" i="3"/>
  <c r="BG406" i="3"/>
  <c r="BH406" i="3"/>
  <c r="BI406" i="3"/>
  <c r="BJ406" i="3"/>
  <c r="BK406" i="3"/>
  <c r="BA406" i="3"/>
  <c r="BM406" i="3"/>
  <c r="BN406" i="3"/>
  <c r="BO406" i="3"/>
  <c r="BP406" i="3"/>
  <c r="BR406" i="3"/>
  <c r="BT406" i="3"/>
  <c r="BL406" i="3"/>
  <c r="AZ406" i="3"/>
  <c r="BB407" i="3"/>
  <c r="BC407" i="3"/>
  <c r="BD407" i="3"/>
  <c r="BE407" i="3"/>
  <c r="BF407" i="3"/>
  <c r="BG407" i="3"/>
  <c r="BH407" i="3"/>
  <c r="BI407" i="3"/>
  <c r="BJ407" i="3"/>
  <c r="BK407" i="3"/>
  <c r="BA407" i="3"/>
  <c r="BM407" i="3"/>
  <c r="BN407" i="3"/>
  <c r="BO407" i="3"/>
  <c r="BP407" i="3"/>
  <c r="BR407" i="3"/>
  <c r="BT407" i="3"/>
  <c r="BL407" i="3"/>
  <c r="AZ407" i="3"/>
  <c r="BB408" i="3"/>
  <c r="BC408" i="3"/>
  <c r="BD408" i="3"/>
  <c r="BE408" i="3"/>
  <c r="BF408" i="3"/>
  <c r="BG408" i="3"/>
  <c r="BH408" i="3"/>
  <c r="BI408" i="3"/>
  <c r="BJ408" i="3"/>
  <c r="BK408" i="3"/>
  <c r="BA408" i="3"/>
  <c r="BM408" i="3"/>
  <c r="BN408" i="3"/>
  <c r="BO408" i="3"/>
  <c r="BP408" i="3"/>
  <c r="BR408" i="3"/>
  <c r="BT408" i="3"/>
  <c r="BL408" i="3"/>
  <c r="AZ408" i="3"/>
  <c r="BB409" i="3"/>
  <c r="BC409" i="3"/>
  <c r="BD409" i="3"/>
  <c r="BE409" i="3"/>
  <c r="BF409" i="3"/>
  <c r="BG409" i="3"/>
  <c r="BH409" i="3"/>
  <c r="BI409" i="3"/>
  <c r="BJ409" i="3"/>
  <c r="BK409" i="3"/>
  <c r="BA409" i="3"/>
  <c r="BM409" i="3"/>
  <c r="BN409" i="3"/>
  <c r="BO409" i="3"/>
  <c r="BP409" i="3"/>
  <c r="BR409" i="3"/>
  <c r="BT409" i="3"/>
  <c r="BL409" i="3"/>
  <c r="AZ409" i="3"/>
  <c r="BB410" i="3"/>
  <c r="BC410" i="3"/>
  <c r="BD410" i="3"/>
  <c r="BE410" i="3"/>
  <c r="BF410" i="3"/>
  <c r="BG410" i="3"/>
  <c r="BH410" i="3"/>
  <c r="BI410" i="3"/>
  <c r="BJ410" i="3"/>
  <c r="BK410" i="3"/>
  <c r="BA410" i="3"/>
  <c r="BM410" i="3"/>
  <c r="BN410" i="3"/>
  <c r="BO410" i="3"/>
  <c r="BP410" i="3"/>
  <c r="BR410" i="3"/>
  <c r="BT410" i="3"/>
  <c r="BL410" i="3"/>
  <c r="AZ410" i="3"/>
  <c r="BB411" i="3"/>
  <c r="BC411" i="3"/>
  <c r="BD411" i="3"/>
  <c r="BE411" i="3"/>
  <c r="BF411" i="3"/>
  <c r="BG411" i="3"/>
  <c r="BH411" i="3"/>
  <c r="BI411" i="3"/>
  <c r="BJ411" i="3"/>
  <c r="BK411" i="3"/>
  <c r="BA411" i="3"/>
  <c r="BM411" i="3"/>
  <c r="BN411" i="3"/>
  <c r="BO411" i="3"/>
  <c r="BP411" i="3"/>
  <c r="BR411" i="3"/>
  <c r="BT411" i="3"/>
  <c r="BL411" i="3"/>
  <c r="AZ411" i="3"/>
  <c r="BB412" i="3"/>
  <c r="BC412" i="3"/>
  <c r="BD412" i="3"/>
  <c r="BE412" i="3"/>
  <c r="BF412" i="3"/>
  <c r="BG412" i="3"/>
  <c r="BH412" i="3"/>
  <c r="BI412" i="3"/>
  <c r="BJ412" i="3"/>
  <c r="BK412" i="3"/>
  <c r="BA412" i="3"/>
  <c r="BM412" i="3"/>
  <c r="BN412" i="3"/>
  <c r="BO412" i="3"/>
  <c r="BP412" i="3"/>
  <c r="BR412" i="3"/>
  <c r="BT412" i="3"/>
  <c r="BL412" i="3"/>
  <c r="AZ412" i="3"/>
  <c r="BB413" i="3"/>
  <c r="BC413" i="3"/>
  <c r="BD413" i="3"/>
  <c r="BE413" i="3"/>
  <c r="BF413" i="3"/>
  <c r="BG413" i="3"/>
  <c r="BH413" i="3"/>
  <c r="BI413" i="3"/>
  <c r="BJ413" i="3"/>
  <c r="BK413" i="3"/>
  <c r="BA413" i="3"/>
  <c r="BM413" i="3"/>
  <c r="BN413" i="3"/>
  <c r="BO413" i="3"/>
  <c r="BP413" i="3"/>
  <c r="BR413" i="3"/>
  <c r="BT413" i="3"/>
  <c r="BL413" i="3"/>
  <c r="AZ413" i="3"/>
  <c r="BB414" i="3"/>
  <c r="BC414" i="3"/>
  <c r="BD414" i="3"/>
  <c r="BE414" i="3"/>
  <c r="BF414" i="3"/>
  <c r="BG414" i="3"/>
  <c r="BH414" i="3"/>
  <c r="BI414" i="3"/>
  <c r="BJ414" i="3"/>
  <c r="BK414" i="3"/>
  <c r="BA414" i="3"/>
  <c r="BM414" i="3"/>
  <c r="BN414" i="3"/>
  <c r="BO414" i="3"/>
  <c r="BP414" i="3"/>
  <c r="BR414" i="3"/>
  <c r="BT414" i="3"/>
  <c r="BL414" i="3"/>
  <c r="AZ414" i="3"/>
  <c r="BB415" i="3"/>
  <c r="BC415" i="3"/>
  <c r="BD415" i="3"/>
  <c r="BE415" i="3"/>
  <c r="BF415" i="3"/>
  <c r="BG415" i="3"/>
  <c r="BH415" i="3"/>
  <c r="BI415" i="3"/>
  <c r="BJ415" i="3"/>
  <c r="BK415" i="3"/>
  <c r="BA415" i="3"/>
  <c r="BM415" i="3"/>
  <c r="BN415" i="3"/>
  <c r="BO415" i="3"/>
  <c r="BP415" i="3"/>
  <c r="BR415" i="3"/>
  <c r="BT415" i="3"/>
  <c r="BL415" i="3"/>
  <c r="AZ415" i="3"/>
  <c r="BB416" i="3"/>
  <c r="BC416" i="3"/>
  <c r="BD416" i="3"/>
  <c r="BE416" i="3"/>
  <c r="BF416" i="3"/>
  <c r="BG416" i="3"/>
  <c r="BH416" i="3"/>
  <c r="BI416" i="3"/>
  <c r="BJ416" i="3"/>
  <c r="BK416" i="3"/>
  <c r="BA416" i="3"/>
  <c r="BM416" i="3"/>
  <c r="BN416" i="3"/>
  <c r="BO416" i="3"/>
  <c r="BP416" i="3"/>
  <c r="BR416" i="3"/>
  <c r="BT416" i="3"/>
  <c r="BL416" i="3"/>
  <c r="AZ416" i="3"/>
  <c r="BB417" i="3"/>
  <c r="BC417" i="3"/>
  <c r="BD417" i="3"/>
  <c r="BE417" i="3"/>
  <c r="BF417" i="3"/>
  <c r="BG417" i="3"/>
  <c r="BH417" i="3"/>
  <c r="BI417" i="3"/>
  <c r="BJ417" i="3"/>
  <c r="BK417" i="3"/>
  <c r="BA417" i="3"/>
  <c r="BM417" i="3"/>
  <c r="BN417" i="3"/>
  <c r="BO417" i="3"/>
  <c r="BP417" i="3"/>
  <c r="BR417" i="3"/>
  <c r="BT417" i="3"/>
  <c r="BL417" i="3"/>
  <c r="AZ417" i="3"/>
  <c r="BB418" i="3"/>
  <c r="BC418" i="3"/>
  <c r="BD418" i="3"/>
  <c r="BE418" i="3"/>
  <c r="BF418" i="3"/>
  <c r="BG418" i="3"/>
  <c r="BH418" i="3"/>
  <c r="BI418" i="3"/>
  <c r="BJ418" i="3"/>
  <c r="BK418" i="3"/>
  <c r="BA418" i="3"/>
  <c r="BM418" i="3"/>
  <c r="BN418" i="3"/>
  <c r="BO418" i="3"/>
  <c r="BP418" i="3"/>
  <c r="BR418" i="3"/>
  <c r="BT418" i="3"/>
  <c r="BL418" i="3"/>
  <c r="AZ418" i="3"/>
  <c r="BB419" i="3"/>
  <c r="BC419" i="3"/>
  <c r="BD419" i="3"/>
  <c r="BE419" i="3"/>
  <c r="BF419" i="3"/>
  <c r="BG419" i="3"/>
  <c r="BH419" i="3"/>
  <c r="BI419" i="3"/>
  <c r="BJ419" i="3"/>
  <c r="BK419" i="3"/>
  <c r="BA419" i="3"/>
  <c r="BM419" i="3"/>
  <c r="BN419" i="3"/>
  <c r="BO419" i="3"/>
  <c r="BP419" i="3"/>
  <c r="BR419" i="3"/>
  <c r="BT419" i="3"/>
  <c r="BL419" i="3"/>
  <c r="AZ419" i="3"/>
  <c r="BB420" i="3"/>
  <c r="BC420" i="3"/>
  <c r="BD420" i="3"/>
  <c r="BE420" i="3"/>
  <c r="BF420" i="3"/>
  <c r="BG420" i="3"/>
  <c r="BH420" i="3"/>
  <c r="BI420" i="3"/>
  <c r="BJ420" i="3"/>
  <c r="BK420" i="3"/>
  <c r="BA420" i="3"/>
  <c r="BM420" i="3"/>
  <c r="BN420" i="3"/>
  <c r="BO420" i="3"/>
  <c r="BP420" i="3"/>
  <c r="BR420" i="3"/>
  <c r="BT420" i="3"/>
  <c r="BL420" i="3"/>
  <c r="AZ420" i="3"/>
  <c r="BB421" i="3"/>
  <c r="BC421" i="3"/>
  <c r="BD421" i="3"/>
  <c r="BE421" i="3"/>
  <c r="BF421" i="3"/>
  <c r="BG421" i="3"/>
  <c r="BH421" i="3"/>
  <c r="BI421" i="3"/>
  <c r="BJ421" i="3"/>
  <c r="BK421" i="3"/>
  <c r="BA421" i="3"/>
  <c r="BM421" i="3"/>
  <c r="BN421" i="3"/>
  <c r="BO421" i="3"/>
  <c r="BP421" i="3"/>
  <c r="BR421" i="3"/>
  <c r="BT421" i="3"/>
  <c r="BL421" i="3"/>
  <c r="AZ421" i="3"/>
  <c r="BB422" i="3"/>
  <c r="BC422" i="3"/>
  <c r="BD422" i="3"/>
  <c r="BE422" i="3"/>
  <c r="BF422" i="3"/>
  <c r="BG422" i="3"/>
  <c r="BH422" i="3"/>
  <c r="BI422" i="3"/>
  <c r="BJ422" i="3"/>
  <c r="BK422" i="3"/>
  <c r="BA422" i="3"/>
  <c r="BM422" i="3"/>
  <c r="BN422" i="3"/>
  <c r="BO422" i="3"/>
  <c r="BP422" i="3"/>
  <c r="BR422" i="3"/>
  <c r="BT422" i="3"/>
  <c r="BL422" i="3"/>
  <c r="AZ422" i="3"/>
  <c r="BB423" i="3"/>
  <c r="BC423" i="3"/>
  <c r="BD423" i="3"/>
  <c r="BE423" i="3"/>
  <c r="BF423" i="3"/>
  <c r="BG423" i="3"/>
  <c r="BH423" i="3"/>
  <c r="BI423" i="3"/>
  <c r="BJ423" i="3"/>
  <c r="BK423" i="3"/>
  <c r="BA423" i="3"/>
  <c r="BM423" i="3"/>
  <c r="BN423" i="3"/>
  <c r="BO423" i="3"/>
  <c r="BP423" i="3"/>
  <c r="BR423" i="3"/>
  <c r="BT423" i="3"/>
  <c r="BL423" i="3"/>
  <c r="AZ423" i="3"/>
  <c r="BB424" i="3"/>
  <c r="BC424" i="3"/>
  <c r="BD424" i="3"/>
  <c r="BE424" i="3"/>
  <c r="BF424" i="3"/>
  <c r="BG424" i="3"/>
  <c r="BH424" i="3"/>
  <c r="BI424" i="3"/>
  <c r="BJ424" i="3"/>
  <c r="BK424" i="3"/>
  <c r="BA424" i="3"/>
  <c r="BM424" i="3"/>
  <c r="BN424" i="3"/>
  <c r="BO424" i="3"/>
  <c r="BP424" i="3"/>
  <c r="BR424" i="3"/>
  <c r="BT424" i="3"/>
  <c r="BL424" i="3"/>
  <c r="AZ424" i="3"/>
  <c r="BB425" i="3"/>
  <c r="BC425" i="3"/>
  <c r="BD425" i="3"/>
  <c r="BE425" i="3"/>
  <c r="BF425" i="3"/>
  <c r="BG425" i="3"/>
  <c r="BH425" i="3"/>
  <c r="BI425" i="3"/>
  <c r="BJ425" i="3"/>
  <c r="BK425" i="3"/>
  <c r="BA425" i="3"/>
  <c r="BM425" i="3"/>
  <c r="BN425" i="3"/>
  <c r="BO425" i="3"/>
  <c r="BP425" i="3"/>
  <c r="BR425" i="3"/>
  <c r="BT425" i="3"/>
  <c r="BL425" i="3"/>
  <c r="AZ425" i="3"/>
  <c r="BB426" i="3"/>
  <c r="BC426" i="3"/>
  <c r="BD426" i="3"/>
  <c r="BE426" i="3"/>
  <c r="BF426" i="3"/>
  <c r="BG426" i="3"/>
  <c r="BH426" i="3"/>
  <c r="BI426" i="3"/>
  <c r="BJ426" i="3"/>
  <c r="BK426" i="3"/>
  <c r="BA426" i="3"/>
  <c r="BM426" i="3"/>
  <c r="BN426" i="3"/>
  <c r="BO426" i="3"/>
  <c r="BP426" i="3"/>
  <c r="BR426" i="3"/>
  <c r="BT426" i="3"/>
  <c r="BL426" i="3"/>
  <c r="AZ426" i="3"/>
  <c r="BB427" i="3"/>
  <c r="BC427" i="3"/>
  <c r="BD427" i="3"/>
  <c r="BE427" i="3"/>
  <c r="BF427" i="3"/>
  <c r="BG427" i="3"/>
  <c r="BH427" i="3"/>
  <c r="BI427" i="3"/>
  <c r="BJ427" i="3"/>
  <c r="BK427" i="3"/>
  <c r="BA427" i="3"/>
  <c r="BM427" i="3"/>
  <c r="BN427" i="3"/>
  <c r="BO427" i="3"/>
  <c r="BP427" i="3"/>
  <c r="BR427" i="3"/>
  <c r="BT427" i="3"/>
  <c r="BL427" i="3"/>
  <c r="AZ427" i="3"/>
  <c r="BB428" i="3"/>
  <c r="BC428" i="3"/>
  <c r="BD428" i="3"/>
  <c r="BE428" i="3"/>
  <c r="BF428" i="3"/>
  <c r="BG428" i="3"/>
  <c r="BH428" i="3"/>
  <c r="BI428" i="3"/>
  <c r="BJ428" i="3"/>
  <c r="BK428" i="3"/>
  <c r="BA428" i="3"/>
  <c r="BM428" i="3"/>
  <c r="BN428" i="3"/>
  <c r="BO428" i="3"/>
  <c r="BP428" i="3"/>
  <c r="BR428" i="3"/>
  <c r="BT428" i="3"/>
  <c r="BL428" i="3"/>
  <c r="AZ428" i="3"/>
  <c r="BB429" i="3"/>
  <c r="BC429" i="3"/>
  <c r="BD429" i="3"/>
  <c r="BE429" i="3"/>
  <c r="BF429" i="3"/>
  <c r="BG429" i="3"/>
  <c r="BH429" i="3"/>
  <c r="BI429" i="3"/>
  <c r="BJ429" i="3"/>
  <c r="BK429" i="3"/>
  <c r="BA429" i="3"/>
  <c r="BM429" i="3"/>
  <c r="BN429" i="3"/>
  <c r="BO429" i="3"/>
  <c r="BP429" i="3"/>
  <c r="BR429" i="3"/>
  <c r="BT429" i="3"/>
  <c r="BL429" i="3"/>
  <c r="AZ429" i="3"/>
  <c r="BB430" i="3"/>
  <c r="BC430" i="3"/>
  <c r="BD430" i="3"/>
  <c r="BE430" i="3"/>
  <c r="BF430" i="3"/>
  <c r="BG430" i="3"/>
  <c r="BH430" i="3"/>
  <c r="BI430" i="3"/>
  <c r="BJ430" i="3"/>
  <c r="BK430" i="3"/>
  <c r="BA430" i="3"/>
  <c r="BM430" i="3"/>
  <c r="BN430" i="3"/>
  <c r="BO430" i="3"/>
  <c r="BP430" i="3"/>
  <c r="BR430" i="3"/>
  <c r="BT430" i="3"/>
  <c r="BL430" i="3"/>
  <c r="AZ430" i="3"/>
  <c r="BB431" i="3"/>
  <c r="BC431" i="3"/>
  <c r="BD431" i="3"/>
  <c r="BE431" i="3"/>
  <c r="BF431" i="3"/>
  <c r="BG431" i="3"/>
  <c r="BH431" i="3"/>
  <c r="BI431" i="3"/>
  <c r="BJ431" i="3"/>
  <c r="BK431" i="3"/>
  <c r="BA431" i="3"/>
  <c r="BM431" i="3"/>
  <c r="BN431" i="3"/>
  <c r="BO431" i="3"/>
  <c r="BP431" i="3"/>
  <c r="BR431" i="3"/>
  <c r="BT431" i="3"/>
  <c r="BL431" i="3"/>
  <c r="AZ431" i="3"/>
  <c r="BB432" i="3"/>
  <c r="BC432" i="3"/>
  <c r="BD432" i="3"/>
  <c r="BE432" i="3"/>
  <c r="BF432" i="3"/>
  <c r="BG432" i="3"/>
  <c r="BH432" i="3"/>
  <c r="BI432" i="3"/>
  <c r="BJ432" i="3"/>
  <c r="BK432" i="3"/>
  <c r="BA432" i="3"/>
  <c r="BM432" i="3"/>
  <c r="BN432" i="3"/>
  <c r="BO432" i="3"/>
  <c r="BP432" i="3"/>
  <c r="BR432" i="3"/>
  <c r="BT432" i="3"/>
  <c r="BL432" i="3"/>
  <c r="AZ432" i="3"/>
  <c r="BB433" i="3"/>
  <c r="BC433" i="3"/>
  <c r="BD433" i="3"/>
  <c r="BE433" i="3"/>
  <c r="BF433" i="3"/>
  <c r="BG433" i="3"/>
  <c r="BH433" i="3"/>
  <c r="BI433" i="3"/>
  <c r="BJ433" i="3"/>
  <c r="BK433" i="3"/>
  <c r="BA433" i="3"/>
  <c r="BM433" i="3"/>
  <c r="BN433" i="3"/>
  <c r="BO433" i="3"/>
  <c r="BP433" i="3"/>
  <c r="BR433" i="3"/>
  <c r="BT433" i="3"/>
  <c r="BL433" i="3"/>
  <c r="AZ433" i="3"/>
  <c r="BB434" i="3"/>
  <c r="BC434" i="3"/>
  <c r="BD434" i="3"/>
  <c r="BE434" i="3"/>
  <c r="BF434" i="3"/>
  <c r="BG434" i="3"/>
  <c r="BH434" i="3"/>
  <c r="BI434" i="3"/>
  <c r="BJ434" i="3"/>
  <c r="BK434" i="3"/>
  <c r="BA434" i="3"/>
  <c r="BM434" i="3"/>
  <c r="BN434" i="3"/>
  <c r="BO434" i="3"/>
  <c r="BP434" i="3"/>
  <c r="BR434" i="3"/>
  <c r="BT434" i="3"/>
  <c r="BL434" i="3"/>
  <c r="AZ434" i="3"/>
  <c r="BB435" i="3"/>
  <c r="BC435" i="3"/>
  <c r="BD435" i="3"/>
  <c r="BE435" i="3"/>
  <c r="BF435" i="3"/>
  <c r="BG435" i="3"/>
  <c r="BH435" i="3"/>
  <c r="BI435" i="3"/>
  <c r="BJ435" i="3"/>
  <c r="BK435" i="3"/>
  <c r="BA435" i="3"/>
  <c r="BM435" i="3"/>
  <c r="BN435" i="3"/>
  <c r="BO435" i="3"/>
  <c r="BP435" i="3"/>
  <c r="BR435" i="3"/>
  <c r="BT435" i="3"/>
  <c r="BL435" i="3"/>
  <c r="AZ435" i="3"/>
  <c r="BB436" i="3"/>
  <c r="BC436" i="3"/>
  <c r="BD436" i="3"/>
  <c r="BE436" i="3"/>
  <c r="BF436" i="3"/>
  <c r="BG436" i="3"/>
  <c r="BH436" i="3"/>
  <c r="BI436" i="3"/>
  <c r="BJ436" i="3"/>
  <c r="BK436" i="3"/>
  <c r="BA436" i="3"/>
  <c r="BM436" i="3"/>
  <c r="BN436" i="3"/>
  <c r="BO436" i="3"/>
  <c r="BP436" i="3"/>
  <c r="BR436" i="3"/>
  <c r="BT436" i="3"/>
  <c r="BL436" i="3"/>
  <c r="AZ436" i="3"/>
  <c r="BB437" i="3"/>
  <c r="BC437" i="3"/>
  <c r="BD437" i="3"/>
  <c r="BE437" i="3"/>
  <c r="BF437" i="3"/>
  <c r="BG437" i="3"/>
  <c r="BH437" i="3"/>
  <c r="BI437" i="3"/>
  <c r="BJ437" i="3"/>
  <c r="BK437" i="3"/>
  <c r="BA437" i="3"/>
  <c r="BM437" i="3"/>
  <c r="BN437" i="3"/>
  <c r="BO437" i="3"/>
  <c r="BP437" i="3"/>
  <c r="BR437" i="3"/>
  <c r="BT437" i="3"/>
  <c r="BL437" i="3"/>
  <c r="AZ437" i="3"/>
  <c r="BB438" i="3"/>
  <c r="BC438" i="3"/>
  <c r="BD438" i="3"/>
  <c r="BE438" i="3"/>
  <c r="BF438" i="3"/>
  <c r="BG438" i="3"/>
  <c r="BH438" i="3"/>
  <c r="BI438" i="3"/>
  <c r="BJ438" i="3"/>
  <c r="BK438" i="3"/>
  <c r="BA438" i="3"/>
  <c r="BM438" i="3"/>
  <c r="BN438" i="3"/>
  <c r="BO438" i="3"/>
  <c r="BP438" i="3"/>
  <c r="BR438" i="3"/>
  <c r="BT438" i="3"/>
  <c r="BL438" i="3"/>
  <c r="AZ438" i="3"/>
  <c r="BB439" i="3"/>
  <c r="BC439" i="3"/>
  <c r="BD439" i="3"/>
  <c r="BE439" i="3"/>
  <c r="BF439" i="3"/>
  <c r="BG439" i="3"/>
  <c r="BH439" i="3"/>
  <c r="BI439" i="3"/>
  <c r="BJ439" i="3"/>
  <c r="BK439" i="3"/>
  <c r="BA439" i="3"/>
  <c r="BM439" i="3"/>
  <c r="BN439" i="3"/>
  <c r="BO439" i="3"/>
  <c r="BP439" i="3"/>
  <c r="BR439" i="3"/>
  <c r="BT439" i="3"/>
  <c r="BL439" i="3"/>
  <c r="AZ439" i="3"/>
  <c r="BB440" i="3"/>
  <c r="BC440" i="3"/>
  <c r="BD440" i="3"/>
  <c r="BE440" i="3"/>
  <c r="BF440" i="3"/>
  <c r="BG440" i="3"/>
  <c r="BH440" i="3"/>
  <c r="BI440" i="3"/>
  <c r="BJ440" i="3"/>
  <c r="BK440" i="3"/>
  <c r="BA440" i="3"/>
  <c r="BM440" i="3"/>
  <c r="BN440" i="3"/>
  <c r="BO440" i="3"/>
  <c r="BP440" i="3"/>
  <c r="BR440" i="3"/>
  <c r="BT440" i="3"/>
  <c r="BL440" i="3"/>
  <c r="AZ440" i="3"/>
  <c r="BB441" i="3"/>
  <c r="BC441" i="3"/>
  <c r="BD441" i="3"/>
  <c r="BE441" i="3"/>
  <c r="BF441" i="3"/>
  <c r="BG441" i="3"/>
  <c r="BH441" i="3"/>
  <c r="BI441" i="3"/>
  <c r="BJ441" i="3"/>
  <c r="BK441" i="3"/>
  <c r="BA441" i="3"/>
  <c r="BM441" i="3"/>
  <c r="BN441" i="3"/>
  <c r="BO441" i="3"/>
  <c r="BP441" i="3"/>
  <c r="BR441" i="3"/>
  <c r="BT441" i="3"/>
  <c r="BL441" i="3"/>
  <c r="AZ441" i="3"/>
  <c r="BB442" i="3"/>
  <c r="BC442" i="3"/>
  <c r="BD442" i="3"/>
  <c r="BE442" i="3"/>
  <c r="BF442" i="3"/>
  <c r="BG442" i="3"/>
  <c r="BH442" i="3"/>
  <c r="BI442" i="3"/>
  <c r="BJ442" i="3"/>
  <c r="BK442" i="3"/>
  <c r="BA442" i="3"/>
  <c r="BM442" i="3"/>
  <c r="BN442" i="3"/>
  <c r="BO442" i="3"/>
  <c r="BP442" i="3"/>
  <c r="BR442" i="3"/>
  <c r="BT442" i="3"/>
  <c r="BL442" i="3"/>
  <c r="AZ442" i="3"/>
  <c r="BB443" i="3"/>
  <c r="BC443" i="3"/>
  <c r="BD443" i="3"/>
  <c r="BE443" i="3"/>
  <c r="BF443" i="3"/>
  <c r="BG443" i="3"/>
  <c r="BH443" i="3"/>
  <c r="BI443" i="3"/>
  <c r="BJ443" i="3"/>
  <c r="BK443" i="3"/>
  <c r="BA443" i="3"/>
  <c r="BM443" i="3"/>
  <c r="BN443" i="3"/>
  <c r="BO443" i="3"/>
  <c r="BP443" i="3"/>
  <c r="BR443" i="3"/>
  <c r="BT443" i="3"/>
  <c r="BL443" i="3"/>
  <c r="AZ443" i="3"/>
  <c r="BB444" i="3"/>
  <c r="BC444" i="3"/>
  <c r="BD444" i="3"/>
  <c r="BE444" i="3"/>
  <c r="BF444" i="3"/>
  <c r="BG444" i="3"/>
  <c r="BH444" i="3"/>
  <c r="BI444" i="3"/>
  <c r="BJ444" i="3"/>
  <c r="BK444" i="3"/>
  <c r="BA444" i="3"/>
  <c r="BM444" i="3"/>
  <c r="BN444" i="3"/>
  <c r="BO444" i="3"/>
  <c r="BP444" i="3"/>
  <c r="BR444" i="3"/>
  <c r="BT444" i="3"/>
  <c r="BL444" i="3"/>
  <c r="AZ444" i="3"/>
  <c r="BB445" i="3"/>
  <c r="BC445" i="3"/>
  <c r="BD445" i="3"/>
  <c r="BE445" i="3"/>
  <c r="BF445" i="3"/>
  <c r="BG445" i="3"/>
  <c r="BH445" i="3"/>
  <c r="BI445" i="3"/>
  <c r="BJ445" i="3"/>
  <c r="BK445" i="3"/>
  <c r="BA445" i="3"/>
  <c r="BM445" i="3"/>
  <c r="BN445" i="3"/>
  <c r="BO445" i="3"/>
  <c r="BP445" i="3"/>
  <c r="BR445" i="3"/>
  <c r="BT445" i="3"/>
  <c r="BL445" i="3"/>
  <c r="AZ445" i="3"/>
  <c r="BB446" i="3"/>
  <c r="BC446" i="3"/>
  <c r="BD446" i="3"/>
  <c r="BE446" i="3"/>
  <c r="BF446" i="3"/>
  <c r="BG446" i="3"/>
  <c r="BH446" i="3"/>
  <c r="BI446" i="3"/>
  <c r="BJ446" i="3"/>
  <c r="BK446" i="3"/>
  <c r="BA446" i="3"/>
  <c r="BM446" i="3"/>
  <c r="BN446" i="3"/>
  <c r="BO446" i="3"/>
  <c r="BP446" i="3"/>
  <c r="BR446" i="3"/>
  <c r="BT446" i="3"/>
  <c r="BL446" i="3"/>
  <c r="AZ446" i="3"/>
  <c r="BB447" i="3"/>
  <c r="BC447" i="3"/>
  <c r="BD447" i="3"/>
  <c r="BE447" i="3"/>
  <c r="BF447" i="3"/>
  <c r="BG447" i="3"/>
  <c r="BH447" i="3"/>
  <c r="BI447" i="3"/>
  <c r="BJ447" i="3"/>
  <c r="BK447" i="3"/>
  <c r="BA447" i="3"/>
  <c r="BM447" i="3"/>
  <c r="BN447" i="3"/>
  <c r="BO447" i="3"/>
  <c r="BP447" i="3"/>
  <c r="BR447" i="3"/>
  <c r="BT447" i="3"/>
  <c r="BL447" i="3"/>
  <c r="AZ447" i="3"/>
  <c r="BB448" i="3"/>
  <c r="BC448" i="3"/>
  <c r="BD448" i="3"/>
  <c r="BE448" i="3"/>
  <c r="BF448" i="3"/>
  <c r="BG448" i="3"/>
  <c r="BH448" i="3"/>
  <c r="BI448" i="3"/>
  <c r="BJ448" i="3"/>
  <c r="BK448" i="3"/>
  <c r="BA448" i="3"/>
  <c r="BM448" i="3"/>
  <c r="BN448" i="3"/>
  <c r="BO448" i="3"/>
  <c r="BP448" i="3"/>
  <c r="BR448" i="3"/>
  <c r="BT448" i="3"/>
  <c r="BL448" i="3"/>
  <c r="AZ448" i="3"/>
  <c r="BB449" i="3"/>
  <c r="BC449" i="3"/>
  <c r="BD449" i="3"/>
  <c r="BE449" i="3"/>
  <c r="BF449" i="3"/>
  <c r="BG449" i="3"/>
  <c r="BH449" i="3"/>
  <c r="BI449" i="3"/>
  <c r="BJ449" i="3"/>
  <c r="BK449" i="3"/>
  <c r="BA449" i="3"/>
  <c r="BM449" i="3"/>
  <c r="BN449" i="3"/>
  <c r="BO449" i="3"/>
  <c r="BP449" i="3"/>
  <c r="BR449" i="3"/>
  <c r="BT449" i="3"/>
  <c r="BL449" i="3"/>
  <c r="AZ449" i="3"/>
  <c r="BB450" i="3"/>
  <c r="BC450" i="3"/>
  <c r="BD450" i="3"/>
  <c r="BE450" i="3"/>
  <c r="BF450" i="3"/>
  <c r="BG450" i="3"/>
  <c r="BH450" i="3"/>
  <c r="BI450" i="3"/>
  <c r="BJ450" i="3"/>
  <c r="BK450" i="3"/>
  <c r="BA450" i="3"/>
  <c r="BM450" i="3"/>
  <c r="BN450" i="3"/>
  <c r="BO450" i="3"/>
  <c r="BP450" i="3"/>
  <c r="BR450" i="3"/>
  <c r="BT450" i="3"/>
  <c r="BL450" i="3"/>
  <c r="AZ450" i="3"/>
  <c r="BB451" i="3"/>
  <c r="BC451" i="3"/>
  <c r="BD451" i="3"/>
  <c r="BE451" i="3"/>
  <c r="BF451" i="3"/>
  <c r="BG451" i="3"/>
  <c r="BH451" i="3"/>
  <c r="BI451" i="3"/>
  <c r="BJ451" i="3"/>
  <c r="BK451" i="3"/>
  <c r="BA451" i="3"/>
  <c r="BM451" i="3"/>
  <c r="BN451" i="3"/>
  <c r="BO451" i="3"/>
  <c r="BP451" i="3"/>
  <c r="BR451" i="3"/>
  <c r="BT451" i="3"/>
  <c r="BL451" i="3"/>
  <c r="AZ451" i="3"/>
  <c r="BB452" i="3"/>
  <c r="BC452" i="3"/>
  <c r="BD452" i="3"/>
  <c r="BE452" i="3"/>
  <c r="BF452" i="3"/>
  <c r="BG452" i="3"/>
  <c r="BH452" i="3"/>
  <c r="BI452" i="3"/>
  <c r="BJ452" i="3"/>
  <c r="BK452" i="3"/>
  <c r="BA452" i="3"/>
  <c r="BM452" i="3"/>
  <c r="BN452" i="3"/>
  <c r="BO452" i="3"/>
  <c r="BP452" i="3"/>
  <c r="BR452" i="3"/>
  <c r="BT452" i="3"/>
  <c r="BL452" i="3"/>
  <c r="AZ452" i="3"/>
  <c r="BB453" i="3"/>
  <c r="BC453" i="3"/>
  <c r="BD453" i="3"/>
  <c r="BE453" i="3"/>
  <c r="BF453" i="3"/>
  <c r="BG453" i="3"/>
  <c r="BH453" i="3"/>
  <c r="BI453" i="3"/>
  <c r="BJ453" i="3"/>
  <c r="BK453" i="3"/>
  <c r="BA453" i="3"/>
  <c r="BM453" i="3"/>
  <c r="BN453" i="3"/>
  <c r="BO453" i="3"/>
  <c r="BP453" i="3"/>
  <c r="BR453" i="3"/>
  <c r="BT453" i="3"/>
  <c r="BL453" i="3"/>
  <c r="AZ453" i="3"/>
  <c r="BB454" i="3"/>
  <c r="BC454" i="3"/>
  <c r="BD454" i="3"/>
  <c r="BE454" i="3"/>
  <c r="BF454" i="3"/>
  <c r="BG454" i="3"/>
  <c r="BH454" i="3"/>
  <c r="BI454" i="3"/>
  <c r="BJ454" i="3"/>
  <c r="BK454" i="3"/>
  <c r="BA454" i="3"/>
  <c r="BM454" i="3"/>
  <c r="BN454" i="3"/>
  <c r="BO454" i="3"/>
  <c r="BP454" i="3"/>
  <c r="BR454" i="3"/>
  <c r="BT454" i="3"/>
  <c r="BL454" i="3"/>
  <c r="AZ454" i="3"/>
  <c r="BB455" i="3"/>
  <c r="BC455" i="3"/>
  <c r="BD455" i="3"/>
  <c r="BE455" i="3"/>
  <c r="BF455" i="3"/>
  <c r="BG455" i="3"/>
  <c r="BH455" i="3"/>
  <c r="BI455" i="3"/>
  <c r="BJ455" i="3"/>
  <c r="BK455" i="3"/>
  <c r="BA455" i="3"/>
  <c r="BM455" i="3"/>
  <c r="BN455" i="3"/>
  <c r="BO455" i="3"/>
  <c r="BP455" i="3"/>
  <c r="BR455" i="3"/>
  <c r="BT455" i="3"/>
  <c r="BL455" i="3"/>
  <c r="AZ455" i="3"/>
  <c r="BB456" i="3"/>
  <c r="BC456" i="3"/>
  <c r="BD456" i="3"/>
  <c r="BE456" i="3"/>
  <c r="BF456" i="3"/>
  <c r="BG456" i="3"/>
  <c r="BH456" i="3"/>
  <c r="BI456" i="3"/>
  <c r="BJ456" i="3"/>
  <c r="BK456" i="3"/>
  <c r="BA456" i="3"/>
  <c r="BM456" i="3"/>
  <c r="BN456" i="3"/>
  <c r="BO456" i="3"/>
  <c r="BP456" i="3"/>
  <c r="BR456" i="3"/>
  <c r="BT456" i="3"/>
  <c r="BL456" i="3"/>
  <c r="AZ456" i="3"/>
  <c r="BB457" i="3"/>
  <c r="BC457" i="3"/>
  <c r="BD457" i="3"/>
  <c r="BE457" i="3"/>
  <c r="BF457" i="3"/>
  <c r="BG457" i="3"/>
  <c r="BH457" i="3"/>
  <c r="BI457" i="3"/>
  <c r="BJ457" i="3"/>
  <c r="BK457" i="3"/>
  <c r="BA457" i="3"/>
  <c r="BM457" i="3"/>
  <c r="BN457" i="3"/>
  <c r="BO457" i="3"/>
  <c r="BP457" i="3"/>
  <c r="BR457" i="3"/>
  <c r="BT457" i="3"/>
  <c r="BL457" i="3"/>
  <c r="AZ457" i="3"/>
  <c r="BB458" i="3"/>
  <c r="BC458" i="3"/>
  <c r="BD458" i="3"/>
  <c r="BE458" i="3"/>
  <c r="BF458" i="3"/>
  <c r="BG458" i="3"/>
  <c r="BH458" i="3"/>
  <c r="BI458" i="3"/>
  <c r="BJ458" i="3"/>
  <c r="BK458" i="3"/>
  <c r="BA458" i="3"/>
  <c r="BM458" i="3"/>
  <c r="BN458" i="3"/>
  <c r="BO458" i="3"/>
  <c r="BP458" i="3"/>
  <c r="BR458" i="3"/>
  <c r="BT458" i="3"/>
  <c r="BL458" i="3"/>
  <c r="AZ458" i="3"/>
  <c r="BB459" i="3"/>
  <c r="BC459" i="3"/>
  <c r="BD459" i="3"/>
  <c r="BE459" i="3"/>
  <c r="BF459" i="3"/>
  <c r="BG459" i="3"/>
  <c r="BH459" i="3"/>
  <c r="BI459" i="3"/>
  <c r="BJ459" i="3"/>
  <c r="BK459" i="3"/>
  <c r="BA459" i="3"/>
  <c r="BM459" i="3"/>
  <c r="BN459" i="3"/>
  <c r="BO459" i="3"/>
  <c r="BP459" i="3"/>
  <c r="BR459" i="3"/>
  <c r="BT459" i="3"/>
  <c r="BL459" i="3"/>
  <c r="AZ459" i="3"/>
  <c r="BB460" i="3"/>
  <c r="BC460" i="3"/>
  <c r="BD460" i="3"/>
  <c r="BE460" i="3"/>
  <c r="BF460" i="3"/>
  <c r="BG460" i="3"/>
  <c r="BH460" i="3"/>
  <c r="BI460" i="3"/>
  <c r="BJ460" i="3"/>
  <c r="BK460" i="3"/>
  <c r="BA460" i="3"/>
  <c r="BM460" i="3"/>
  <c r="BN460" i="3"/>
  <c r="BO460" i="3"/>
  <c r="BP460" i="3"/>
  <c r="BR460" i="3"/>
  <c r="BT460" i="3"/>
  <c r="BL460" i="3"/>
  <c r="AZ460" i="3"/>
  <c r="BB461" i="3"/>
  <c r="BC461" i="3"/>
  <c r="BD461" i="3"/>
  <c r="BE461" i="3"/>
  <c r="BF461" i="3"/>
  <c r="BG461" i="3"/>
  <c r="BH461" i="3"/>
  <c r="BI461" i="3"/>
  <c r="BJ461" i="3"/>
  <c r="BK461" i="3"/>
  <c r="BA461" i="3"/>
  <c r="BM461" i="3"/>
  <c r="BN461" i="3"/>
  <c r="BO461" i="3"/>
  <c r="BP461" i="3"/>
  <c r="BR461" i="3"/>
  <c r="BT461" i="3"/>
  <c r="BL461" i="3"/>
  <c r="AZ461" i="3"/>
  <c r="BB462" i="3"/>
  <c r="BC462" i="3"/>
  <c r="BD462" i="3"/>
  <c r="BE462" i="3"/>
  <c r="BF462" i="3"/>
  <c r="BG462" i="3"/>
  <c r="BH462" i="3"/>
  <c r="BI462" i="3"/>
  <c r="BJ462" i="3"/>
  <c r="BK462" i="3"/>
  <c r="BA462" i="3"/>
  <c r="BM462" i="3"/>
  <c r="BN462" i="3"/>
  <c r="BO462" i="3"/>
  <c r="BP462" i="3"/>
  <c r="BR462" i="3"/>
  <c r="BT462" i="3"/>
  <c r="BL462" i="3"/>
  <c r="AZ462" i="3"/>
  <c r="BB463" i="3"/>
  <c r="BC463" i="3"/>
  <c r="BD463" i="3"/>
  <c r="BE463" i="3"/>
  <c r="BF463" i="3"/>
  <c r="BG463" i="3"/>
  <c r="BH463" i="3"/>
  <c r="BI463" i="3"/>
  <c r="BJ463" i="3"/>
  <c r="BK463" i="3"/>
  <c r="BA463" i="3"/>
  <c r="BM463" i="3"/>
  <c r="BN463" i="3"/>
  <c r="BO463" i="3"/>
  <c r="BP463" i="3"/>
  <c r="BR463" i="3"/>
  <c r="BT463" i="3"/>
  <c r="BL463" i="3"/>
  <c r="AZ463" i="3"/>
  <c r="BB464" i="3"/>
  <c r="BC464" i="3"/>
  <c r="BD464" i="3"/>
  <c r="BE464" i="3"/>
  <c r="BF464" i="3"/>
  <c r="BG464" i="3"/>
  <c r="BH464" i="3"/>
  <c r="BI464" i="3"/>
  <c r="BJ464" i="3"/>
  <c r="BK464" i="3"/>
  <c r="BA464" i="3"/>
  <c r="BM464" i="3"/>
  <c r="BN464" i="3"/>
  <c r="BO464" i="3"/>
  <c r="BP464" i="3"/>
  <c r="BR464" i="3"/>
  <c r="BT464" i="3"/>
  <c r="BL464" i="3"/>
  <c r="AZ464" i="3"/>
  <c r="BB465" i="3"/>
  <c r="BC465" i="3"/>
  <c r="BD465" i="3"/>
  <c r="BE465" i="3"/>
  <c r="BF465" i="3"/>
  <c r="BG465" i="3"/>
  <c r="BH465" i="3"/>
  <c r="BI465" i="3"/>
  <c r="BJ465" i="3"/>
  <c r="BK465" i="3"/>
  <c r="BA465" i="3"/>
  <c r="BM465" i="3"/>
  <c r="BN465" i="3"/>
  <c r="BO465" i="3"/>
  <c r="BP465" i="3"/>
  <c r="BR465" i="3"/>
  <c r="BT465" i="3"/>
  <c r="BL465" i="3"/>
  <c r="AZ465" i="3"/>
  <c r="BB466" i="3"/>
  <c r="BC466" i="3"/>
  <c r="BD466" i="3"/>
  <c r="BE466" i="3"/>
  <c r="BF466" i="3"/>
  <c r="BG466" i="3"/>
  <c r="BH466" i="3"/>
  <c r="BI466" i="3"/>
  <c r="BJ466" i="3"/>
  <c r="BK466" i="3"/>
  <c r="BA466" i="3"/>
  <c r="BM466" i="3"/>
  <c r="BN466" i="3"/>
  <c r="BO466" i="3"/>
  <c r="BP466" i="3"/>
  <c r="BR466" i="3"/>
  <c r="BT466" i="3"/>
  <c r="BL466" i="3"/>
  <c r="AZ466" i="3"/>
  <c r="BB467" i="3"/>
  <c r="BC467" i="3"/>
  <c r="BD467" i="3"/>
  <c r="BE467" i="3"/>
  <c r="BF467" i="3"/>
  <c r="BG467" i="3"/>
  <c r="BH467" i="3"/>
  <c r="BI467" i="3"/>
  <c r="BJ467" i="3"/>
  <c r="BK467" i="3"/>
  <c r="BA467" i="3"/>
  <c r="BM467" i="3"/>
  <c r="BN467" i="3"/>
  <c r="BO467" i="3"/>
  <c r="BP467" i="3"/>
  <c r="BR467" i="3"/>
  <c r="BT467" i="3"/>
  <c r="BL467" i="3"/>
  <c r="AZ467" i="3"/>
  <c r="BB468" i="3"/>
  <c r="BC468" i="3"/>
  <c r="BD468" i="3"/>
  <c r="BE468" i="3"/>
  <c r="BF468" i="3"/>
  <c r="BG468" i="3"/>
  <c r="BH468" i="3"/>
  <c r="BI468" i="3"/>
  <c r="BJ468" i="3"/>
  <c r="BK468" i="3"/>
  <c r="BA468" i="3"/>
  <c r="BM468" i="3"/>
  <c r="BN468" i="3"/>
  <c r="BO468" i="3"/>
  <c r="BP468" i="3"/>
  <c r="BR468" i="3"/>
  <c r="BT468" i="3"/>
  <c r="BL468" i="3"/>
  <c r="AZ468" i="3"/>
  <c r="BB469" i="3"/>
  <c r="BC469" i="3"/>
  <c r="BD469" i="3"/>
  <c r="BE469" i="3"/>
  <c r="BF469" i="3"/>
  <c r="BG469" i="3"/>
  <c r="BH469" i="3"/>
  <c r="BI469" i="3"/>
  <c r="BJ469" i="3"/>
  <c r="BK469" i="3"/>
  <c r="BA469" i="3"/>
  <c r="BM469" i="3"/>
  <c r="BN469" i="3"/>
  <c r="BO469" i="3"/>
  <c r="BP469" i="3"/>
  <c r="BR469" i="3"/>
  <c r="BT469" i="3"/>
  <c r="BL469" i="3"/>
  <c r="AZ469" i="3"/>
  <c r="BB470" i="3"/>
  <c r="BC470" i="3"/>
  <c r="BD470" i="3"/>
  <c r="BE470" i="3"/>
  <c r="BF470" i="3"/>
  <c r="BG470" i="3"/>
  <c r="BH470" i="3"/>
  <c r="BI470" i="3"/>
  <c r="BJ470" i="3"/>
  <c r="BK470" i="3"/>
  <c r="BA470" i="3"/>
  <c r="BM470" i="3"/>
  <c r="BN470" i="3"/>
  <c r="BO470" i="3"/>
  <c r="BP470" i="3"/>
  <c r="BR470" i="3"/>
  <c r="BT470" i="3"/>
  <c r="BL470" i="3"/>
  <c r="AZ470" i="3"/>
  <c r="BB471" i="3"/>
  <c r="BC471" i="3"/>
  <c r="BD471" i="3"/>
  <c r="BE471" i="3"/>
  <c r="BF471" i="3"/>
  <c r="BG471" i="3"/>
  <c r="BH471" i="3"/>
  <c r="BI471" i="3"/>
  <c r="BJ471" i="3"/>
  <c r="BK471" i="3"/>
  <c r="BA471" i="3"/>
  <c r="BM471" i="3"/>
  <c r="BN471" i="3"/>
  <c r="BO471" i="3"/>
  <c r="BP471" i="3"/>
  <c r="BR471" i="3"/>
  <c r="BT471" i="3"/>
  <c r="BL471" i="3"/>
  <c r="AZ471" i="3"/>
  <c r="BB472" i="3"/>
  <c r="BC472" i="3"/>
  <c r="BD472" i="3"/>
  <c r="BE472" i="3"/>
  <c r="BF472" i="3"/>
  <c r="BG472" i="3"/>
  <c r="BH472" i="3"/>
  <c r="BI472" i="3"/>
  <c r="BJ472" i="3"/>
  <c r="BK472" i="3"/>
  <c r="BA472" i="3"/>
  <c r="BM472" i="3"/>
  <c r="BN472" i="3"/>
  <c r="BO472" i="3"/>
  <c r="BP472" i="3"/>
  <c r="BR472" i="3"/>
  <c r="BT472" i="3"/>
  <c r="BL472" i="3"/>
  <c r="AZ472" i="3"/>
  <c r="BB473" i="3"/>
  <c r="BC473" i="3"/>
  <c r="BD473" i="3"/>
  <c r="BE473" i="3"/>
  <c r="BF473" i="3"/>
  <c r="BG473" i="3"/>
  <c r="BH473" i="3"/>
  <c r="BI473" i="3"/>
  <c r="BJ473" i="3"/>
  <c r="BK473" i="3"/>
  <c r="BA473" i="3"/>
  <c r="BM473" i="3"/>
  <c r="BN473" i="3"/>
  <c r="BO473" i="3"/>
  <c r="BP473" i="3"/>
  <c r="BR473" i="3"/>
  <c r="BT473" i="3"/>
  <c r="BL473" i="3"/>
  <c r="AZ473" i="3"/>
  <c r="BB474" i="3"/>
  <c r="BC474" i="3"/>
  <c r="BD474" i="3"/>
  <c r="BE474" i="3"/>
  <c r="BF474" i="3"/>
  <c r="BG474" i="3"/>
  <c r="BH474" i="3"/>
  <c r="BI474" i="3"/>
  <c r="BJ474" i="3"/>
  <c r="BK474" i="3"/>
  <c r="BA474" i="3"/>
  <c r="BM474" i="3"/>
  <c r="BN474" i="3"/>
  <c r="BO474" i="3"/>
  <c r="BP474" i="3"/>
  <c r="BR474" i="3"/>
  <c r="BT474" i="3"/>
  <c r="BL474" i="3"/>
  <c r="AZ474" i="3"/>
  <c r="BB475" i="3"/>
  <c r="BC475" i="3"/>
  <c r="BD475" i="3"/>
  <c r="BE475" i="3"/>
  <c r="BF475" i="3"/>
  <c r="BG475" i="3"/>
  <c r="BH475" i="3"/>
  <c r="BI475" i="3"/>
  <c r="BJ475" i="3"/>
  <c r="BK475" i="3"/>
  <c r="BA475" i="3"/>
  <c r="BM475" i="3"/>
  <c r="BN475" i="3"/>
  <c r="BO475" i="3"/>
  <c r="BP475" i="3"/>
  <c r="BR475" i="3"/>
  <c r="BT475" i="3"/>
  <c r="BL475" i="3"/>
  <c r="AZ475" i="3"/>
  <c r="BB476" i="3"/>
  <c r="BC476" i="3"/>
  <c r="BD476" i="3"/>
  <c r="BE476" i="3"/>
  <c r="BF476" i="3"/>
  <c r="BG476" i="3"/>
  <c r="BH476" i="3"/>
  <c r="BI476" i="3"/>
  <c r="BJ476" i="3"/>
  <c r="BK476" i="3"/>
  <c r="BA476" i="3"/>
  <c r="BM476" i="3"/>
  <c r="BN476" i="3"/>
  <c r="BO476" i="3"/>
  <c r="BP476" i="3"/>
  <c r="BR476" i="3"/>
  <c r="BT476" i="3"/>
  <c r="BL476" i="3"/>
  <c r="AZ476" i="3"/>
  <c r="BB477" i="3"/>
  <c r="BC477" i="3"/>
  <c r="BD477" i="3"/>
  <c r="BE477" i="3"/>
  <c r="BF477" i="3"/>
  <c r="BG477" i="3"/>
  <c r="BH477" i="3"/>
  <c r="BI477" i="3"/>
  <c r="BJ477" i="3"/>
  <c r="BK477" i="3"/>
  <c r="BA477" i="3"/>
  <c r="BM477" i="3"/>
  <c r="BN477" i="3"/>
  <c r="BO477" i="3"/>
  <c r="BP477" i="3"/>
  <c r="BR477" i="3"/>
  <c r="BT477" i="3"/>
  <c r="BL477" i="3"/>
  <c r="AZ477" i="3"/>
  <c r="BB478" i="3"/>
  <c r="BC478" i="3"/>
  <c r="BD478" i="3"/>
  <c r="BE478" i="3"/>
  <c r="BF478" i="3"/>
  <c r="BG478" i="3"/>
  <c r="BH478" i="3"/>
  <c r="BI478" i="3"/>
  <c r="BJ478" i="3"/>
  <c r="BK478" i="3"/>
  <c r="BA478" i="3"/>
  <c r="BM478" i="3"/>
  <c r="BN478" i="3"/>
  <c r="BO478" i="3"/>
  <c r="BP478" i="3"/>
  <c r="BR478" i="3"/>
  <c r="BT478" i="3"/>
  <c r="BL478" i="3"/>
  <c r="AZ478" i="3"/>
  <c r="BB479" i="3"/>
  <c r="BC479" i="3"/>
  <c r="BD479" i="3"/>
  <c r="BE479" i="3"/>
  <c r="BF479" i="3"/>
  <c r="BG479" i="3"/>
  <c r="BH479" i="3"/>
  <c r="BI479" i="3"/>
  <c r="BJ479" i="3"/>
  <c r="BK479" i="3"/>
  <c r="BA479" i="3"/>
  <c r="BM479" i="3"/>
  <c r="BN479" i="3"/>
  <c r="BO479" i="3"/>
  <c r="BP479" i="3"/>
  <c r="BR479" i="3"/>
  <c r="BT479" i="3"/>
  <c r="BL479" i="3"/>
  <c r="AZ479" i="3"/>
  <c r="BB480" i="3"/>
  <c r="BC480" i="3"/>
  <c r="BD480" i="3"/>
  <c r="BE480" i="3"/>
  <c r="BF480" i="3"/>
  <c r="BG480" i="3"/>
  <c r="BH480" i="3"/>
  <c r="BI480" i="3"/>
  <c r="BJ480" i="3"/>
  <c r="BK480" i="3"/>
  <c r="BA480" i="3"/>
  <c r="BM480" i="3"/>
  <c r="BN480" i="3"/>
  <c r="BO480" i="3"/>
  <c r="BP480" i="3"/>
  <c r="BR480" i="3"/>
  <c r="BT480" i="3"/>
  <c r="BL480" i="3"/>
  <c r="AZ480" i="3"/>
  <c r="BB481" i="3"/>
  <c r="BC481" i="3"/>
  <c r="BD481" i="3"/>
  <c r="BE481" i="3"/>
  <c r="BF481" i="3"/>
  <c r="BG481" i="3"/>
  <c r="BH481" i="3"/>
  <c r="BI481" i="3"/>
  <c r="BJ481" i="3"/>
  <c r="BK481" i="3"/>
  <c r="BA481" i="3"/>
  <c r="BM481" i="3"/>
  <c r="BN481" i="3"/>
  <c r="BO481" i="3"/>
  <c r="BP481" i="3"/>
  <c r="BR481" i="3"/>
  <c r="BT481" i="3"/>
  <c r="BL481" i="3"/>
  <c r="AZ481" i="3"/>
  <c r="BB482" i="3"/>
  <c r="BC482" i="3"/>
  <c r="BD482" i="3"/>
  <c r="BE482" i="3"/>
  <c r="BF482" i="3"/>
  <c r="BG482" i="3"/>
  <c r="BH482" i="3"/>
  <c r="BI482" i="3"/>
  <c r="BJ482" i="3"/>
  <c r="BK482" i="3"/>
  <c r="BA482" i="3"/>
  <c r="BM482" i="3"/>
  <c r="BN482" i="3"/>
  <c r="BO482" i="3"/>
  <c r="BP482" i="3"/>
  <c r="BR482" i="3"/>
  <c r="BT482" i="3"/>
  <c r="BL482" i="3"/>
  <c r="AZ482" i="3"/>
  <c r="BB483" i="3"/>
  <c r="BC483" i="3"/>
  <c r="BD483" i="3"/>
  <c r="BE483" i="3"/>
  <c r="BF483" i="3"/>
  <c r="BG483" i="3"/>
  <c r="BH483" i="3"/>
  <c r="BI483" i="3"/>
  <c r="BJ483" i="3"/>
  <c r="BK483" i="3"/>
  <c r="BA483" i="3"/>
  <c r="BM483" i="3"/>
  <c r="BN483" i="3"/>
  <c r="BO483" i="3"/>
  <c r="BP483" i="3"/>
  <c r="BR483" i="3"/>
  <c r="BT483" i="3"/>
  <c r="BL483" i="3"/>
  <c r="AZ483" i="3"/>
  <c r="BB484" i="3"/>
  <c r="BC484" i="3"/>
  <c r="BD484" i="3"/>
  <c r="BE484" i="3"/>
  <c r="BF484" i="3"/>
  <c r="BG484" i="3"/>
  <c r="BH484" i="3"/>
  <c r="BI484" i="3"/>
  <c r="BJ484" i="3"/>
  <c r="BK484" i="3"/>
  <c r="BA484" i="3"/>
  <c r="BM484" i="3"/>
  <c r="BN484" i="3"/>
  <c r="BO484" i="3"/>
  <c r="BP484" i="3"/>
  <c r="BR484" i="3"/>
  <c r="BT484" i="3"/>
  <c r="BL484" i="3"/>
  <c r="AZ484" i="3"/>
  <c r="BB485" i="3"/>
  <c r="BC485" i="3"/>
  <c r="BD485" i="3"/>
  <c r="BE485" i="3"/>
  <c r="BF485" i="3"/>
  <c r="BG485" i="3"/>
  <c r="BH485" i="3"/>
  <c r="BI485" i="3"/>
  <c r="BJ485" i="3"/>
  <c r="BK485" i="3"/>
  <c r="BA485" i="3"/>
  <c r="BM485" i="3"/>
  <c r="BN485" i="3"/>
  <c r="BO485" i="3"/>
  <c r="BP485" i="3"/>
  <c r="BR485" i="3"/>
  <c r="BT485" i="3"/>
  <c r="BL485" i="3"/>
  <c r="AZ485" i="3"/>
  <c r="BB486" i="3"/>
  <c r="BC486" i="3"/>
  <c r="BD486" i="3"/>
  <c r="BE486" i="3"/>
  <c r="BF486" i="3"/>
  <c r="BG486" i="3"/>
  <c r="BH486" i="3"/>
  <c r="BI486" i="3"/>
  <c r="BJ486" i="3"/>
  <c r="BK486" i="3"/>
  <c r="BA486" i="3"/>
  <c r="BM486" i="3"/>
  <c r="BN486" i="3"/>
  <c r="BO486" i="3"/>
  <c r="BP486" i="3"/>
  <c r="BR486" i="3"/>
  <c r="BT486" i="3"/>
  <c r="BL486" i="3"/>
  <c r="AZ486" i="3"/>
  <c r="BB487" i="3"/>
  <c r="BC487" i="3"/>
  <c r="BD487" i="3"/>
  <c r="BE487" i="3"/>
  <c r="BF487" i="3"/>
  <c r="BG487" i="3"/>
  <c r="BH487" i="3"/>
  <c r="BI487" i="3"/>
  <c r="BJ487" i="3"/>
  <c r="BK487" i="3"/>
  <c r="BA487" i="3"/>
  <c r="BM487" i="3"/>
  <c r="BN487" i="3"/>
  <c r="BO487" i="3"/>
  <c r="BP487" i="3"/>
  <c r="BR487" i="3"/>
  <c r="BT487" i="3"/>
  <c r="BL487" i="3"/>
  <c r="AZ487" i="3"/>
  <c r="BB488" i="3"/>
  <c r="BC488" i="3"/>
  <c r="BD488" i="3"/>
  <c r="BE488" i="3"/>
  <c r="BF488" i="3"/>
  <c r="BG488" i="3"/>
  <c r="BH488" i="3"/>
  <c r="BI488" i="3"/>
  <c r="BJ488" i="3"/>
  <c r="BK488" i="3"/>
  <c r="BA488" i="3"/>
  <c r="BM488" i="3"/>
  <c r="BN488" i="3"/>
  <c r="BO488" i="3"/>
  <c r="BP488" i="3"/>
  <c r="BR488" i="3"/>
  <c r="BT488" i="3"/>
  <c r="BL488" i="3"/>
  <c r="AZ488" i="3"/>
  <c r="BB489" i="3"/>
  <c r="BC489" i="3"/>
  <c r="BD489" i="3"/>
  <c r="BE489" i="3"/>
  <c r="BF489" i="3"/>
  <c r="BG489" i="3"/>
  <c r="BH489" i="3"/>
  <c r="BI489" i="3"/>
  <c r="BJ489" i="3"/>
  <c r="BK489" i="3"/>
  <c r="BA489" i="3"/>
  <c r="BM489" i="3"/>
  <c r="BN489" i="3"/>
  <c r="BO489" i="3"/>
  <c r="BP489" i="3"/>
  <c r="BR489" i="3"/>
  <c r="BT489" i="3"/>
  <c r="BL489" i="3"/>
  <c r="AZ489" i="3"/>
  <c r="BB490" i="3"/>
  <c r="BC490" i="3"/>
  <c r="BD490" i="3"/>
  <c r="BE490" i="3"/>
  <c r="BF490" i="3"/>
  <c r="BG490" i="3"/>
  <c r="BH490" i="3"/>
  <c r="BI490" i="3"/>
  <c r="BJ490" i="3"/>
  <c r="BK490" i="3"/>
  <c r="BA490" i="3"/>
  <c r="BM490" i="3"/>
  <c r="BN490" i="3"/>
  <c r="BO490" i="3"/>
  <c r="BP490" i="3"/>
  <c r="BR490" i="3"/>
  <c r="BT490" i="3"/>
  <c r="BL490" i="3"/>
  <c r="AZ490" i="3"/>
  <c r="BB491" i="3"/>
  <c r="BC491" i="3"/>
  <c r="BD491" i="3"/>
  <c r="BE491" i="3"/>
  <c r="BF491" i="3"/>
  <c r="BG491" i="3"/>
  <c r="BH491" i="3"/>
  <c r="BI491" i="3"/>
  <c r="BJ491" i="3"/>
  <c r="BK491" i="3"/>
  <c r="BA491" i="3"/>
  <c r="BM491" i="3"/>
  <c r="BN491" i="3"/>
  <c r="BO491" i="3"/>
  <c r="BP491" i="3"/>
  <c r="BR491" i="3"/>
  <c r="BT491" i="3"/>
  <c r="BL491" i="3"/>
  <c r="AZ491" i="3"/>
  <c r="BB492" i="3"/>
  <c r="BC492" i="3"/>
  <c r="BD492" i="3"/>
  <c r="BE492" i="3"/>
  <c r="BF492" i="3"/>
  <c r="BG492" i="3"/>
  <c r="BH492" i="3"/>
  <c r="BI492" i="3"/>
  <c r="BJ492" i="3"/>
  <c r="BK492" i="3"/>
  <c r="BA492" i="3"/>
  <c r="BM492" i="3"/>
  <c r="BN492" i="3"/>
  <c r="BO492" i="3"/>
  <c r="BP492" i="3"/>
  <c r="BR492" i="3"/>
  <c r="BT492" i="3"/>
  <c r="BL492" i="3"/>
  <c r="AZ492" i="3"/>
  <c r="BB493" i="3"/>
  <c r="BC493" i="3"/>
  <c r="BD493" i="3"/>
  <c r="BE493" i="3"/>
  <c r="BF493" i="3"/>
  <c r="BG493" i="3"/>
  <c r="BH493" i="3"/>
  <c r="BI493" i="3"/>
  <c r="BJ493" i="3"/>
  <c r="BK493" i="3"/>
  <c r="BA493" i="3"/>
  <c r="BM493" i="3"/>
  <c r="BN493" i="3"/>
  <c r="BO493" i="3"/>
  <c r="BP493" i="3"/>
  <c r="BR493" i="3"/>
  <c r="BT493" i="3"/>
  <c r="BL493" i="3"/>
  <c r="AZ493" i="3"/>
  <c r="BB494" i="3"/>
  <c r="BC494" i="3"/>
  <c r="BD494" i="3"/>
  <c r="BE494" i="3"/>
  <c r="BF494" i="3"/>
  <c r="BG494" i="3"/>
  <c r="BH494" i="3"/>
  <c r="BI494" i="3"/>
  <c r="BJ494" i="3"/>
  <c r="BK494" i="3"/>
  <c r="BA494" i="3"/>
  <c r="BM494" i="3"/>
  <c r="BN494" i="3"/>
  <c r="BO494" i="3"/>
  <c r="BP494" i="3"/>
  <c r="BR494" i="3"/>
  <c r="BT494" i="3"/>
  <c r="BL494" i="3"/>
  <c r="AZ494" i="3"/>
  <c r="BB495" i="3"/>
  <c r="BC495" i="3"/>
  <c r="BD495" i="3"/>
  <c r="BE495" i="3"/>
  <c r="BF495" i="3"/>
  <c r="BG495" i="3"/>
  <c r="BH495" i="3"/>
  <c r="BI495" i="3"/>
  <c r="BJ495" i="3"/>
  <c r="BK495" i="3"/>
  <c r="BA495" i="3"/>
  <c r="BM495" i="3"/>
  <c r="BN495" i="3"/>
  <c r="BO495" i="3"/>
  <c r="BP495" i="3"/>
  <c r="BR495" i="3"/>
  <c r="BT495" i="3"/>
  <c r="BL495" i="3"/>
  <c r="AZ495" i="3"/>
  <c r="BB496" i="3"/>
  <c r="BC496" i="3"/>
  <c r="BD496" i="3"/>
  <c r="BE496" i="3"/>
  <c r="BF496" i="3"/>
  <c r="BG496" i="3"/>
  <c r="BH496" i="3"/>
  <c r="BI496" i="3"/>
  <c r="BJ496" i="3"/>
  <c r="BK496" i="3"/>
  <c r="BA496" i="3"/>
  <c r="BM496" i="3"/>
  <c r="BN496" i="3"/>
  <c r="BO496" i="3"/>
  <c r="BP496" i="3"/>
  <c r="BR496" i="3"/>
  <c r="BT496" i="3"/>
  <c r="BL496" i="3"/>
  <c r="AZ496" i="3"/>
  <c r="BB497" i="3"/>
  <c r="BC497" i="3"/>
  <c r="BD497" i="3"/>
  <c r="BE497" i="3"/>
  <c r="BF497" i="3"/>
  <c r="BG497" i="3"/>
  <c r="BH497" i="3"/>
  <c r="BI497" i="3"/>
  <c r="BJ497" i="3"/>
  <c r="BK497" i="3"/>
  <c r="BA497" i="3"/>
  <c r="BM497" i="3"/>
  <c r="BN497" i="3"/>
  <c r="BO497" i="3"/>
  <c r="BP497" i="3"/>
  <c r="BR497" i="3"/>
  <c r="BT497" i="3"/>
  <c r="BL497" i="3"/>
  <c r="AZ497" i="3"/>
  <c r="BB498" i="3"/>
  <c r="BC498" i="3"/>
  <c r="BD498" i="3"/>
  <c r="BE498" i="3"/>
  <c r="BF498" i="3"/>
  <c r="BG498" i="3"/>
  <c r="BH498" i="3"/>
  <c r="BI498" i="3"/>
  <c r="BJ498" i="3"/>
  <c r="BK498" i="3"/>
  <c r="BA498" i="3"/>
  <c r="BM498" i="3"/>
  <c r="BN498" i="3"/>
  <c r="BO498" i="3"/>
  <c r="BP498" i="3"/>
  <c r="BR498" i="3"/>
  <c r="BT498" i="3"/>
  <c r="BL498" i="3"/>
  <c r="AZ498" i="3"/>
  <c r="BB499" i="3"/>
  <c r="BC499" i="3"/>
  <c r="BD499" i="3"/>
  <c r="BE499" i="3"/>
  <c r="BF499" i="3"/>
  <c r="BG499" i="3"/>
  <c r="BH499" i="3"/>
  <c r="BI499" i="3"/>
  <c r="BJ499" i="3"/>
  <c r="BK499" i="3"/>
  <c r="BA499" i="3"/>
  <c r="BM499" i="3"/>
  <c r="BN499" i="3"/>
  <c r="BO499" i="3"/>
  <c r="BP499" i="3"/>
  <c r="BR499" i="3"/>
  <c r="BT499" i="3"/>
  <c r="BL499" i="3"/>
  <c r="AZ499" i="3"/>
  <c r="BB500" i="3"/>
  <c r="BC500" i="3"/>
  <c r="BD500" i="3"/>
  <c r="BE500" i="3"/>
  <c r="BF500" i="3"/>
  <c r="BG500" i="3"/>
  <c r="BH500" i="3"/>
  <c r="BI500" i="3"/>
  <c r="BJ500" i="3"/>
  <c r="BK500" i="3"/>
  <c r="BA500" i="3"/>
  <c r="BM500" i="3"/>
  <c r="BN500" i="3"/>
  <c r="BO500" i="3"/>
  <c r="BP500" i="3"/>
  <c r="BR500" i="3"/>
  <c r="BT500" i="3"/>
  <c r="BL500" i="3"/>
  <c r="AZ500" i="3"/>
  <c r="BB501" i="3"/>
  <c r="BC501" i="3"/>
  <c r="BD501" i="3"/>
  <c r="BE501" i="3"/>
  <c r="BF501" i="3"/>
  <c r="BG501" i="3"/>
  <c r="BH501" i="3"/>
  <c r="BI501" i="3"/>
  <c r="BJ501" i="3"/>
  <c r="BK501" i="3"/>
  <c r="BA501" i="3"/>
  <c r="BM501" i="3"/>
  <c r="BN501" i="3"/>
  <c r="BO501" i="3"/>
  <c r="BP501" i="3"/>
  <c r="BR501" i="3"/>
  <c r="BT501" i="3"/>
  <c r="BL501" i="3"/>
  <c r="AZ501" i="3"/>
  <c r="BB502" i="3"/>
  <c r="BC502" i="3"/>
  <c r="BD502" i="3"/>
  <c r="BE502" i="3"/>
  <c r="BF502" i="3"/>
  <c r="BG502" i="3"/>
  <c r="BH502" i="3"/>
  <c r="BI502" i="3"/>
  <c r="BJ502" i="3"/>
  <c r="BK502" i="3"/>
  <c r="BA502" i="3"/>
  <c r="BM502" i="3"/>
  <c r="BN502" i="3"/>
  <c r="BO502" i="3"/>
  <c r="BP502" i="3"/>
  <c r="BR502" i="3"/>
  <c r="BT502" i="3"/>
  <c r="BL502" i="3"/>
  <c r="AZ502" i="3"/>
  <c r="BB503" i="3"/>
  <c r="BC503" i="3"/>
  <c r="BD503" i="3"/>
  <c r="BE503" i="3"/>
  <c r="BF503" i="3"/>
  <c r="BG503" i="3"/>
  <c r="BH503" i="3"/>
  <c r="BI503" i="3"/>
  <c r="BJ503" i="3"/>
  <c r="BK503" i="3"/>
  <c r="BA503" i="3"/>
  <c r="BM503" i="3"/>
  <c r="BN503" i="3"/>
  <c r="BO503" i="3"/>
  <c r="BP503" i="3"/>
  <c r="BR503" i="3"/>
  <c r="BT503" i="3"/>
  <c r="BL503" i="3"/>
  <c r="AZ503" i="3"/>
  <c r="BB504" i="3"/>
  <c r="BC504" i="3"/>
  <c r="BD504" i="3"/>
  <c r="BE504" i="3"/>
  <c r="BF504" i="3"/>
  <c r="BG504" i="3"/>
  <c r="BH504" i="3"/>
  <c r="BI504" i="3"/>
  <c r="BJ504" i="3"/>
  <c r="BK504" i="3"/>
  <c r="BA504" i="3"/>
  <c r="BM504" i="3"/>
  <c r="BN504" i="3"/>
  <c r="BO504" i="3"/>
  <c r="BP504" i="3"/>
  <c r="BR504" i="3"/>
  <c r="BT504" i="3"/>
  <c r="BL504" i="3"/>
  <c r="AZ504" i="3"/>
  <c r="BB505" i="3"/>
  <c r="BC505" i="3"/>
  <c r="BD505" i="3"/>
  <c r="BE505" i="3"/>
  <c r="BF505" i="3"/>
  <c r="BG505" i="3"/>
  <c r="BH505" i="3"/>
  <c r="BI505" i="3"/>
  <c r="BJ505" i="3"/>
  <c r="BK505" i="3"/>
  <c r="BA505" i="3"/>
  <c r="BM505" i="3"/>
  <c r="BN505" i="3"/>
  <c r="BO505" i="3"/>
  <c r="BP505" i="3"/>
  <c r="BR505" i="3"/>
  <c r="BT505" i="3"/>
  <c r="BL505" i="3"/>
  <c r="AZ505" i="3"/>
  <c r="BB506" i="3"/>
  <c r="BC506" i="3"/>
  <c r="BD506" i="3"/>
  <c r="BE506" i="3"/>
  <c r="BF506" i="3"/>
  <c r="BG506" i="3"/>
  <c r="BH506" i="3"/>
  <c r="BI506" i="3"/>
  <c r="BJ506" i="3"/>
  <c r="BK506" i="3"/>
  <c r="BA506" i="3"/>
  <c r="BM506" i="3"/>
  <c r="BN506" i="3"/>
  <c r="BO506" i="3"/>
  <c r="BP506" i="3"/>
  <c r="BR506" i="3"/>
  <c r="BT506" i="3"/>
  <c r="BL506" i="3"/>
  <c r="AZ506" i="3"/>
  <c r="BB507" i="3"/>
  <c r="BC507" i="3"/>
  <c r="BD507" i="3"/>
  <c r="BE507" i="3"/>
  <c r="BF507" i="3"/>
  <c r="BG507" i="3"/>
  <c r="BH507" i="3"/>
  <c r="BI507" i="3"/>
  <c r="BJ507" i="3"/>
  <c r="BK507" i="3"/>
  <c r="BA507" i="3"/>
  <c r="BM507" i="3"/>
  <c r="BN507" i="3"/>
  <c r="BO507" i="3"/>
  <c r="BP507" i="3"/>
  <c r="BR507" i="3"/>
  <c r="BT507" i="3"/>
  <c r="BL507" i="3"/>
  <c r="AZ507" i="3"/>
  <c r="BB508" i="3"/>
  <c r="BC508" i="3"/>
  <c r="BD508" i="3"/>
  <c r="BE508" i="3"/>
  <c r="BF508" i="3"/>
  <c r="BG508" i="3"/>
  <c r="BH508" i="3"/>
  <c r="BI508" i="3"/>
  <c r="BJ508" i="3"/>
  <c r="BK508" i="3"/>
  <c r="BA508" i="3"/>
  <c r="BM508" i="3"/>
  <c r="BN508" i="3"/>
  <c r="BO508" i="3"/>
  <c r="BP508" i="3"/>
  <c r="BR508" i="3"/>
  <c r="BT508" i="3"/>
  <c r="BL508" i="3"/>
  <c r="AZ508" i="3"/>
  <c r="BB509" i="3"/>
  <c r="BC509" i="3"/>
  <c r="BD509" i="3"/>
  <c r="BE509" i="3"/>
  <c r="BF509" i="3"/>
  <c r="BG509" i="3"/>
  <c r="BH509" i="3"/>
  <c r="BI509" i="3"/>
  <c r="BJ509" i="3"/>
  <c r="BK509" i="3"/>
  <c r="BA509" i="3"/>
  <c r="BM509" i="3"/>
  <c r="BN509" i="3"/>
  <c r="BO509" i="3"/>
  <c r="BP509" i="3"/>
  <c r="BR509" i="3"/>
  <c r="BT509" i="3"/>
  <c r="BL509" i="3"/>
  <c r="AZ509" i="3"/>
  <c r="BB510" i="3"/>
  <c r="BC510" i="3"/>
  <c r="BD510" i="3"/>
  <c r="BE510" i="3"/>
  <c r="BF510" i="3"/>
  <c r="BG510" i="3"/>
  <c r="BH510" i="3"/>
  <c r="BI510" i="3"/>
  <c r="BJ510" i="3"/>
  <c r="BK510" i="3"/>
  <c r="BA510" i="3"/>
  <c r="BM510" i="3"/>
  <c r="BN510" i="3"/>
  <c r="BO510" i="3"/>
  <c r="BP510" i="3"/>
  <c r="BR510" i="3"/>
  <c r="BT510" i="3"/>
  <c r="BL510" i="3"/>
  <c r="AZ510" i="3"/>
  <c r="BB511" i="3"/>
  <c r="BC511" i="3"/>
  <c r="BD511" i="3"/>
  <c r="BE511" i="3"/>
  <c r="BF511" i="3"/>
  <c r="BG511" i="3"/>
  <c r="BH511" i="3"/>
  <c r="BI511" i="3"/>
  <c r="BJ511" i="3"/>
  <c r="BK511" i="3"/>
  <c r="BA511" i="3"/>
  <c r="BM511" i="3"/>
  <c r="BN511" i="3"/>
  <c r="BO511" i="3"/>
  <c r="BP511" i="3"/>
  <c r="BR511" i="3"/>
  <c r="BT511" i="3"/>
  <c r="BL511" i="3"/>
  <c r="AZ511" i="3"/>
  <c r="BB512" i="3"/>
  <c r="BC512" i="3"/>
  <c r="BD512" i="3"/>
  <c r="BE512" i="3"/>
  <c r="BF512" i="3"/>
  <c r="BG512" i="3"/>
  <c r="BH512" i="3"/>
  <c r="BI512" i="3"/>
  <c r="BJ512" i="3"/>
  <c r="BK512" i="3"/>
  <c r="BA512" i="3"/>
  <c r="BM512" i="3"/>
  <c r="BN512" i="3"/>
  <c r="BO512" i="3"/>
  <c r="BP512" i="3"/>
  <c r="BR512" i="3"/>
  <c r="BT512" i="3"/>
  <c r="BL512" i="3"/>
  <c r="AZ512" i="3"/>
  <c r="BB513" i="3"/>
  <c r="BC513" i="3"/>
  <c r="BD513" i="3"/>
  <c r="BE513" i="3"/>
  <c r="BF513" i="3"/>
  <c r="BG513" i="3"/>
  <c r="BH513" i="3"/>
  <c r="BI513" i="3"/>
  <c r="BJ513" i="3"/>
  <c r="BK513" i="3"/>
  <c r="BA513" i="3"/>
  <c r="BM513" i="3"/>
  <c r="BN513" i="3"/>
  <c r="BO513" i="3"/>
  <c r="BP513" i="3"/>
  <c r="BR513" i="3"/>
  <c r="BT513" i="3"/>
  <c r="BL513" i="3"/>
  <c r="AZ513" i="3"/>
  <c r="BB514" i="3"/>
  <c r="BC514" i="3"/>
  <c r="BD514" i="3"/>
  <c r="BE514" i="3"/>
  <c r="BF514" i="3"/>
  <c r="BG514" i="3"/>
  <c r="BH514" i="3"/>
  <c r="BI514" i="3"/>
  <c r="BJ514" i="3"/>
  <c r="BK514" i="3"/>
  <c r="BA514" i="3"/>
  <c r="BM514" i="3"/>
  <c r="BN514" i="3"/>
  <c r="BO514" i="3"/>
  <c r="BP514" i="3"/>
  <c r="BR514" i="3"/>
  <c r="BT514" i="3"/>
  <c r="BL514" i="3"/>
  <c r="AZ514" i="3"/>
  <c r="BB515" i="3"/>
  <c r="BC515" i="3"/>
  <c r="BD515" i="3"/>
  <c r="BE515" i="3"/>
  <c r="BF515" i="3"/>
  <c r="BG515" i="3"/>
  <c r="BH515" i="3"/>
  <c r="BI515" i="3"/>
  <c r="BJ515" i="3"/>
  <c r="BK515" i="3"/>
  <c r="BA515" i="3"/>
  <c r="BM515" i="3"/>
  <c r="BN515" i="3"/>
  <c r="BO515" i="3"/>
  <c r="BP515" i="3"/>
  <c r="BR515" i="3"/>
  <c r="BT515" i="3"/>
  <c r="BL515" i="3"/>
  <c r="AZ515" i="3"/>
  <c r="BB516" i="3"/>
  <c r="BC516" i="3"/>
  <c r="BD516" i="3"/>
  <c r="BE516" i="3"/>
  <c r="BF516" i="3"/>
  <c r="BG516" i="3"/>
  <c r="BH516" i="3"/>
  <c r="BI516" i="3"/>
  <c r="BJ516" i="3"/>
  <c r="BK516" i="3"/>
  <c r="BA516" i="3"/>
  <c r="BM516" i="3"/>
  <c r="BN516" i="3"/>
  <c r="BO516" i="3"/>
  <c r="BP516" i="3"/>
  <c r="BR516" i="3"/>
  <c r="BT516" i="3"/>
  <c r="BL516" i="3"/>
  <c r="AZ516" i="3"/>
  <c r="BB517" i="3"/>
  <c r="BC517" i="3"/>
  <c r="BD517" i="3"/>
  <c r="BE517" i="3"/>
  <c r="BF517" i="3"/>
  <c r="BG517" i="3"/>
  <c r="BH517" i="3"/>
  <c r="BI517" i="3"/>
  <c r="BJ517" i="3"/>
  <c r="BK517" i="3"/>
  <c r="BA517" i="3"/>
  <c r="BM517" i="3"/>
  <c r="BN517" i="3"/>
  <c r="BO517" i="3"/>
  <c r="BP517" i="3"/>
  <c r="BR517" i="3"/>
  <c r="BT517" i="3"/>
  <c r="BL517" i="3"/>
  <c r="AZ517" i="3"/>
  <c r="BB518" i="3"/>
  <c r="BC518" i="3"/>
  <c r="BD518" i="3"/>
  <c r="BE518" i="3"/>
  <c r="BF518" i="3"/>
  <c r="BG518" i="3"/>
  <c r="BH518" i="3"/>
  <c r="BI518" i="3"/>
  <c r="BJ518" i="3"/>
  <c r="BK518" i="3"/>
  <c r="BA518" i="3"/>
  <c r="BM518" i="3"/>
  <c r="BN518" i="3"/>
  <c r="BO518" i="3"/>
  <c r="BP518" i="3"/>
  <c r="BR518" i="3"/>
  <c r="BT518" i="3"/>
  <c r="BL518" i="3"/>
  <c r="AZ518" i="3"/>
  <c r="BB519" i="3"/>
  <c r="BC519" i="3"/>
  <c r="BD519" i="3"/>
  <c r="BE519" i="3"/>
  <c r="BF519" i="3"/>
  <c r="BG519" i="3"/>
  <c r="BH519" i="3"/>
  <c r="BI519" i="3"/>
  <c r="BJ519" i="3"/>
  <c r="BK519" i="3"/>
  <c r="BA519" i="3"/>
  <c r="BM519" i="3"/>
  <c r="BN519" i="3"/>
  <c r="BO519" i="3"/>
  <c r="BP519" i="3"/>
  <c r="BR519" i="3"/>
  <c r="BT519" i="3"/>
  <c r="BL519" i="3"/>
  <c r="AZ519" i="3"/>
  <c r="BB520" i="3"/>
  <c r="BC520" i="3"/>
  <c r="BD520" i="3"/>
  <c r="BE520" i="3"/>
  <c r="BF520" i="3"/>
  <c r="BG520" i="3"/>
  <c r="BH520" i="3"/>
  <c r="BI520" i="3"/>
  <c r="BJ520" i="3"/>
  <c r="BK520" i="3"/>
  <c r="BA520" i="3"/>
  <c r="BM520" i="3"/>
  <c r="BN520" i="3"/>
  <c r="BO520" i="3"/>
  <c r="BP520" i="3"/>
  <c r="BR520" i="3"/>
  <c r="BT520" i="3"/>
  <c r="BL520" i="3"/>
  <c r="AZ520" i="3"/>
  <c r="BB521" i="3"/>
  <c r="BC521" i="3"/>
  <c r="BD521" i="3"/>
  <c r="BE521" i="3"/>
  <c r="BF521" i="3"/>
  <c r="BG521" i="3"/>
  <c r="BH521" i="3"/>
  <c r="BI521" i="3"/>
  <c r="BJ521" i="3"/>
  <c r="BK521" i="3"/>
  <c r="BA521" i="3"/>
  <c r="BM521" i="3"/>
  <c r="BN521" i="3"/>
  <c r="BO521" i="3"/>
  <c r="BP521" i="3"/>
  <c r="BR521" i="3"/>
  <c r="BT521" i="3"/>
  <c r="BL521" i="3"/>
  <c r="AZ521" i="3"/>
  <c r="BB522" i="3"/>
  <c r="BC522" i="3"/>
  <c r="BD522" i="3"/>
  <c r="BE522" i="3"/>
  <c r="BF522" i="3"/>
  <c r="BG522" i="3"/>
  <c r="BH522" i="3"/>
  <c r="BI522" i="3"/>
  <c r="BJ522" i="3"/>
  <c r="BK522" i="3"/>
  <c r="BA522" i="3"/>
  <c r="BM522" i="3"/>
  <c r="BN522" i="3"/>
  <c r="BO522" i="3"/>
  <c r="BP522" i="3"/>
  <c r="BR522" i="3"/>
  <c r="BT522" i="3"/>
  <c r="BL522" i="3"/>
  <c r="AZ522" i="3"/>
  <c r="BB523" i="3"/>
  <c r="BC523" i="3"/>
  <c r="BD523" i="3"/>
  <c r="BE523" i="3"/>
  <c r="BF523" i="3"/>
  <c r="BG523" i="3"/>
  <c r="BH523" i="3"/>
  <c r="BI523" i="3"/>
  <c r="BJ523" i="3"/>
  <c r="BK523" i="3"/>
  <c r="BA523" i="3"/>
  <c r="BM523" i="3"/>
  <c r="BN523" i="3"/>
  <c r="BO523" i="3"/>
  <c r="BP523" i="3"/>
  <c r="BR523" i="3"/>
  <c r="BT523" i="3"/>
  <c r="BL523" i="3"/>
  <c r="AZ523" i="3"/>
  <c r="BB524" i="3"/>
  <c r="BC524" i="3"/>
  <c r="BD524" i="3"/>
  <c r="BE524" i="3"/>
  <c r="BF524" i="3"/>
  <c r="BG524" i="3"/>
  <c r="BH524" i="3"/>
  <c r="BI524" i="3"/>
  <c r="BJ524" i="3"/>
  <c r="BK524" i="3"/>
  <c r="BA524" i="3"/>
  <c r="BM524" i="3"/>
  <c r="BN524" i="3"/>
  <c r="BO524" i="3"/>
  <c r="BP524" i="3"/>
  <c r="BR524" i="3"/>
  <c r="BT524" i="3"/>
  <c r="BL524" i="3"/>
  <c r="AZ524" i="3"/>
  <c r="BB525" i="3"/>
  <c r="BC525" i="3"/>
  <c r="BD525" i="3"/>
  <c r="BE525" i="3"/>
  <c r="BF525" i="3"/>
  <c r="BG525" i="3"/>
  <c r="BH525" i="3"/>
  <c r="BI525" i="3"/>
  <c r="BJ525" i="3"/>
  <c r="BK525" i="3"/>
  <c r="BA525" i="3"/>
  <c r="BM525" i="3"/>
  <c r="BN525" i="3"/>
  <c r="BO525" i="3"/>
  <c r="BP525" i="3"/>
  <c r="BR525" i="3"/>
  <c r="BT525" i="3"/>
  <c r="BL525" i="3"/>
  <c r="AZ525" i="3"/>
  <c r="BB526" i="3"/>
  <c r="BC526" i="3"/>
  <c r="BD526" i="3"/>
  <c r="BE526" i="3"/>
  <c r="BF526" i="3"/>
  <c r="BG526" i="3"/>
  <c r="BH526" i="3"/>
  <c r="BI526" i="3"/>
  <c r="BJ526" i="3"/>
  <c r="BK526" i="3"/>
  <c r="BA526" i="3"/>
  <c r="BM526" i="3"/>
  <c r="BN526" i="3"/>
  <c r="BO526" i="3"/>
  <c r="BP526" i="3"/>
  <c r="BR526" i="3"/>
  <c r="BT526" i="3"/>
  <c r="BL526" i="3"/>
  <c r="AZ526" i="3"/>
  <c r="BB527" i="3"/>
  <c r="BC527" i="3"/>
  <c r="BD527" i="3"/>
  <c r="BE527" i="3"/>
  <c r="BF527" i="3"/>
  <c r="BG527" i="3"/>
  <c r="BH527" i="3"/>
  <c r="BI527" i="3"/>
  <c r="BJ527" i="3"/>
  <c r="BK527" i="3"/>
  <c r="BA527" i="3"/>
  <c r="BM527" i="3"/>
  <c r="BN527" i="3"/>
  <c r="BO527" i="3"/>
  <c r="BP527" i="3"/>
  <c r="BR527" i="3"/>
  <c r="BT527" i="3"/>
  <c r="BL527" i="3"/>
  <c r="AZ527" i="3"/>
  <c r="BB528" i="3"/>
  <c r="BC528" i="3"/>
  <c r="BD528" i="3"/>
  <c r="BE528" i="3"/>
  <c r="BF528" i="3"/>
  <c r="BG528" i="3"/>
  <c r="BH528" i="3"/>
  <c r="BI528" i="3"/>
  <c r="BJ528" i="3"/>
  <c r="BK528" i="3"/>
  <c r="BA528" i="3"/>
  <c r="BM528" i="3"/>
  <c r="BN528" i="3"/>
  <c r="BO528" i="3"/>
  <c r="BP528" i="3"/>
  <c r="BR528" i="3"/>
  <c r="BT528" i="3"/>
  <c r="BL528" i="3"/>
  <c r="AZ528" i="3"/>
  <c r="BB529" i="3"/>
  <c r="BC529" i="3"/>
  <c r="BD529" i="3"/>
  <c r="BE529" i="3"/>
  <c r="BF529" i="3"/>
  <c r="BG529" i="3"/>
  <c r="BH529" i="3"/>
  <c r="BI529" i="3"/>
  <c r="BJ529" i="3"/>
  <c r="BK529" i="3"/>
  <c r="BA529" i="3"/>
  <c r="BM529" i="3"/>
  <c r="BN529" i="3"/>
  <c r="BO529" i="3"/>
  <c r="BP529" i="3"/>
  <c r="BR529" i="3"/>
  <c r="BT529" i="3"/>
  <c r="BL529" i="3"/>
  <c r="AZ529" i="3"/>
  <c r="BB530" i="3"/>
  <c r="BC530" i="3"/>
  <c r="BD530" i="3"/>
  <c r="BE530" i="3"/>
  <c r="BF530" i="3"/>
  <c r="BG530" i="3"/>
  <c r="BH530" i="3"/>
  <c r="BI530" i="3"/>
  <c r="BJ530" i="3"/>
  <c r="BK530" i="3"/>
  <c r="BA530" i="3"/>
  <c r="BM530" i="3"/>
  <c r="BN530" i="3"/>
  <c r="BO530" i="3"/>
  <c r="BP530" i="3"/>
  <c r="BR530" i="3"/>
  <c r="BT530" i="3"/>
  <c r="BL530" i="3"/>
  <c r="AZ530" i="3"/>
  <c r="BB531" i="3"/>
  <c r="BC531" i="3"/>
  <c r="BD531" i="3"/>
  <c r="BE531" i="3"/>
  <c r="BF531" i="3"/>
  <c r="BG531" i="3"/>
  <c r="BH531" i="3"/>
  <c r="BI531" i="3"/>
  <c r="BJ531" i="3"/>
  <c r="BK531" i="3"/>
  <c r="BA531" i="3"/>
  <c r="BM531" i="3"/>
  <c r="BN531" i="3"/>
  <c r="BO531" i="3"/>
  <c r="BP531" i="3"/>
  <c r="BR531" i="3"/>
  <c r="BT531" i="3"/>
  <c r="BL531" i="3"/>
  <c r="AZ531" i="3"/>
  <c r="BB532" i="3"/>
  <c r="BC532" i="3"/>
  <c r="BD532" i="3"/>
  <c r="BE532" i="3"/>
  <c r="BF532" i="3"/>
  <c r="BG532" i="3"/>
  <c r="BH532" i="3"/>
  <c r="BI532" i="3"/>
  <c r="BJ532" i="3"/>
  <c r="BK532" i="3"/>
  <c r="BA532" i="3"/>
  <c r="BM532" i="3"/>
  <c r="BN532" i="3"/>
  <c r="BO532" i="3"/>
  <c r="BP532" i="3"/>
  <c r="BR532" i="3"/>
  <c r="BT532" i="3"/>
  <c r="BL532" i="3"/>
  <c r="AZ532" i="3"/>
  <c r="BB533" i="3"/>
  <c r="BC533" i="3"/>
  <c r="BD533" i="3"/>
  <c r="BE533" i="3"/>
  <c r="BF533" i="3"/>
  <c r="BG533" i="3"/>
  <c r="BH533" i="3"/>
  <c r="BI533" i="3"/>
  <c r="BJ533" i="3"/>
  <c r="BK533" i="3"/>
  <c r="BA533" i="3"/>
  <c r="BM533" i="3"/>
  <c r="BN533" i="3"/>
  <c r="BO533" i="3"/>
  <c r="BP533" i="3"/>
  <c r="BR533" i="3"/>
  <c r="BT533" i="3"/>
  <c r="BL533" i="3"/>
  <c r="AZ533" i="3"/>
  <c r="BB534" i="3"/>
  <c r="BC534" i="3"/>
  <c r="BD534" i="3"/>
  <c r="BE534" i="3"/>
  <c r="BF534" i="3"/>
  <c r="BG534" i="3"/>
  <c r="BH534" i="3"/>
  <c r="BI534" i="3"/>
  <c r="BJ534" i="3"/>
  <c r="BK534" i="3"/>
  <c r="BA534" i="3"/>
  <c r="BM534" i="3"/>
  <c r="BN534" i="3"/>
  <c r="BO534" i="3"/>
  <c r="BP534" i="3"/>
  <c r="BR534" i="3"/>
  <c r="BT534" i="3"/>
  <c r="BL534" i="3"/>
  <c r="AZ534" i="3"/>
  <c r="BB535" i="3"/>
  <c r="BC535" i="3"/>
  <c r="BD535" i="3"/>
  <c r="BE535" i="3"/>
  <c r="BF535" i="3"/>
  <c r="BG535" i="3"/>
  <c r="BH535" i="3"/>
  <c r="BI535" i="3"/>
  <c r="BJ535" i="3"/>
  <c r="BK535" i="3"/>
  <c r="BA535" i="3"/>
  <c r="BM535" i="3"/>
  <c r="BN535" i="3"/>
  <c r="BO535" i="3"/>
  <c r="BP535" i="3"/>
  <c r="BR535" i="3"/>
  <c r="BT535" i="3"/>
  <c r="BL535" i="3"/>
  <c r="AZ535" i="3"/>
  <c r="BB536" i="3"/>
  <c r="BC536" i="3"/>
  <c r="BD536" i="3"/>
  <c r="BE536" i="3"/>
  <c r="BF536" i="3"/>
  <c r="BG536" i="3"/>
  <c r="BH536" i="3"/>
  <c r="BI536" i="3"/>
  <c r="BJ536" i="3"/>
  <c r="BK536" i="3"/>
  <c r="BA536" i="3"/>
  <c r="BM536" i="3"/>
  <c r="BN536" i="3"/>
  <c r="BO536" i="3"/>
  <c r="BP536" i="3"/>
  <c r="BR536" i="3"/>
  <c r="BT536" i="3"/>
  <c r="BL536" i="3"/>
  <c r="AZ536" i="3"/>
  <c r="BB537" i="3"/>
  <c r="BC537" i="3"/>
  <c r="BD537" i="3"/>
  <c r="BE537" i="3"/>
  <c r="BF537" i="3"/>
  <c r="BG537" i="3"/>
  <c r="BH537" i="3"/>
  <c r="BI537" i="3"/>
  <c r="BJ537" i="3"/>
  <c r="BK537" i="3"/>
  <c r="BA537" i="3"/>
  <c r="BM537" i="3"/>
  <c r="BN537" i="3"/>
  <c r="BO537" i="3"/>
  <c r="BP537" i="3"/>
  <c r="BR537" i="3"/>
  <c r="BT537" i="3"/>
  <c r="BL537" i="3"/>
  <c r="AZ537" i="3"/>
  <c r="BB538" i="3"/>
  <c r="BC538" i="3"/>
  <c r="BD538" i="3"/>
  <c r="BE538" i="3"/>
  <c r="BF538" i="3"/>
  <c r="BG538" i="3"/>
  <c r="BH538" i="3"/>
  <c r="BI538" i="3"/>
  <c r="BJ538" i="3"/>
  <c r="BK538" i="3"/>
  <c r="BA538" i="3"/>
  <c r="BM538" i="3"/>
  <c r="BN538" i="3"/>
  <c r="BO538" i="3"/>
  <c r="BP538" i="3"/>
  <c r="BR538" i="3"/>
  <c r="BT538" i="3"/>
  <c r="BL538" i="3"/>
  <c r="AZ538" i="3"/>
  <c r="BB539" i="3"/>
  <c r="BC539" i="3"/>
  <c r="BD539" i="3"/>
  <c r="BE539" i="3"/>
  <c r="BF539" i="3"/>
  <c r="BG539" i="3"/>
  <c r="BH539" i="3"/>
  <c r="BI539" i="3"/>
  <c r="BJ539" i="3"/>
  <c r="BK539" i="3"/>
  <c r="BA539" i="3"/>
  <c r="BM539" i="3"/>
  <c r="BN539" i="3"/>
  <c r="BO539" i="3"/>
  <c r="BP539" i="3"/>
  <c r="BR539" i="3"/>
  <c r="BT539" i="3"/>
  <c r="BL539" i="3"/>
  <c r="AZ539" i="3"/>
  <c r="BB540" i="3"/>
  <c r="BC540" i="3"/>
  <c r="BD540" i="3"/>
  <c r="BE540" i="3"/>
  <c r="BF540" i="3"/>
  <c r="BG540" i="3"/>
  <c r="BH540" i="3"/>
  <c r="BI540" i="3"/>
  <c r="BJ540" i="3"/>
  <c r="BK540" i="3"/>
  <c r="BA540" i="3"/>
  <c r="BM540" i="3"/>
  <c r="BN540" i="3"/>
  <c r="BO540" i="3"/>
  <c r="BP540" i="3"/>
  <c r="BR540" i="3"/>
  <c r="BT540" i="3"/>
  <c r="BL540" i="3"/>
  <c r="AZ540" i="3"/>
  <c r="BB541" i="3"/>
  <c r="BC541" i="3"/>
  <c r="BD541" i="3"/>
  <c r="BE541" i="3"/>
  <c r="BF541" i="3"/>
  <c r="BG541" i="3"/>
  <c r="BH541" i="3"/>
  <c r="BI541" i="3"/>
  <c r="BJ541" i="3"/>
  <c r="BK541" i="3"/>
  <c r="BA541" i="3"/>
  <c r="BM541" i="3"/>
  <c r="BN541" i="3"/>
  <c r="BO541" i="3"/>
  <c r="BP541" i="3"/>
  <c r="BR541" i="3"/>
  <c r="BT541" i="3"/>
  <c r="BL541" i="3"/>
  <c r="AZ541" i="3"/>
  <c r="BB542" i="3"/>
  <c r="BC542" i="3"/>
  <c r="BD542" i="3"/>
  <c r="BE542" i="3"/>
  <c r="BF542" i="3"/>
  <c r="BG542" i="3"/>
  <c r="BH542" i="3"/>
  <c r="BI542" i="3"/>
  <c r="BJ542" i="3"/>
  <c r="BK542" i="3"/>
  <c r="BA542" i="3"/>
  <c r="BM542" i="3"/>
  <c r="BN542" i="3"/>
  <c r="BO542" i="3"/>
  <c r="BP542" i="3"/>
  <c r="BR542" i="3"/>
  <c r="BT542" i="3"/>
  <c r="BL542" i="3"/>
  <c r="AZ542" i="3"/>
  <c r="BB543" i="3"/>
  <c r="BC543" i="3"/>
  <c r="BD543" i="3"/>
  <c r="BE543" i="3"/>
  <c r="BF543" i="3"/>
  <c r="BG543" i="3"/>
  <c r="BH543" i="3"/>
  <c r="BI543" i="3"/>
  <c r="BJ543" i="3"/>
  <c r="BK543" i="3"/>
  <c r="BA543" i="3"/>
  <c r="BM543" i="3"/>
  <c r="BN543" i="3"/>
  <c r="BO543" i="3"/>
  <c r="BP543" i="3"/>
  <c r="BR543" i="3"/>
  <c r="BT543" i="3"/>
  <c r="BL543" i="3"/>
  <c r="AZ543" i="3"/>
  <c r="BB544" i="3"/>
  <c r="BC544" i="3"/>
  <c r="BD544" i="3"/>
  <c r="BE544" i="3"/>
  <c r="BF544" i="3"/>
  <c r="BG544" i="3"/>
  <c r="BH544" i="3"/>
  <c r="BI544" i="3"/>
  <c r="BJ544" i="3"/>
  <c r="BK544" i="3"/>
  <c r="BA544" i="3"/>
  <c r="BM544" i="3"/>
  <c r="BN544" i="3"/>
  <c r="BO544" i="3"/>
  <c r="BP544" i="3"/>
  <c r="BR544" i="3"/>
  <c r="BT544" i="3"/>
  <c r="BL544" i="3"/>
  <c r="AZ544" i="3"/>
  <c r="BB545" i="3"/>
  <c r="BC545" i="3"/>
  <c r="BD545" i="3"/>
  <c r="BE545" i="3"/>
  <c r="BF545" i="3"/>
  <c r="BG545" i="3"/>
  <c r="BH545" i="3"/>
  <c r="BI545" i="3"/>
  <c r="BJ545" i="3"/>
  <c r="BK545" i="3"/>
  <c r="BA545" i="3"/>
  <c r="BM545" i="3"/>
  <c r="BN545" i="3"/>
  <c r="BO545" i="3"/>
  <c r="BP545" i="3"/>
  <c r="BR545" i="3"/>
  <c r="BT545" i="3"/>
  <c r="BL545" i="3"/>
  <c r="AZ545" i="3"/>
  <c r="BB546" i="3"/>
  <c r="BC546" i="3"/>
  <c r="BD546" i="3"/>
  <c r="BE546" i="3"/>
  <c r="BF546" i="3"/>
  <c r="BG546" i="3"/>
  <c r="BH546" i="3"/>
  <c r="BI546" i="3"/>
  <c r="BJ546" i="3"/>
  <c r="BK546" i="3"/>
  <c r="BA546" i="3"/>
  <c r="BM546" i="3"/>
  <c r="BN546" i="3"/>
  <c r="BO546" i="3"/>
  <c r="BP546" i="3"/>
  <c r="BR546" i="3"/>
  <c r="BT546" i="3"/>
  <c r="BL546" i="3"/>
  <c r="AZ546" i="3"/>
  <c r="BB547" i="3"/>
  <c r="BC547" i="3"/>
  <c r="BD547" i="3"/>
  <c r="BE547" i="3"/>
  <c r="BF547" i="3"/>
  <c r="BG547" i="3"/>
  <c r="BH547" i="3"/>
  <c r="BI547" i="3"/>
  <c r="BJ547" i="3"/>
  <c r="BK547" i="3"/>
  <c r="BA547" i="3"/>
  <c r="BM547" i="3"/>
  <c r="BN547" i="3"/>
  <c r="BO547" i="3"/>
  <c r="BP547" i="3"/>
  <c r="BR547" i="3"/>
  <c r="BT547" i="3"/>
  <c r="BL547" i="3"/>
  <c r="AZ547" i="3"/>
  <c r="BB548" i="3"/>
  <c r="BC548" i="3"/>
  <c r="BD548" i="3"/>
  <c r="BE548" i="3"/>
  <c r="BF548" i="3"/>
  <c r="BG548" i="3"/>
  <c r="BH548" i="3"/>
  <c r="BI548" i="3"/>
  <c r="BJ548" i="3"/>
  <c r="BK548" i="3"/>
  <c r="BA548" i="3"/>
  <c r="BM548" i="3"/>
  <c r="BN548" i="3"/>
  <c r="BO548" i="3"/>
  <c r="BP548" i="3"/>
  <c r="BR548" i="3"/>
  <c r="BT548" i="3"/>
  <c r="BL548" i="3"/>
  <c r="AZ548" i="3"/>
  <c r="BB549" i="3"/>
  <c r="BC549" i="3"/>
  <c r="BD549" i="3"/>
  <c r="BE549" i="3"/>
  <c r="BF549" i="3"/>
  <c r="BG549" i="3"/>
  <c r="BH549" i="3"/>
  <c r="BI549" i="3"/>
  <c r="BJ549" i="3"/>
  <c r="BK549" i="3"/>
  <c r="BA549" i="3"/>
  <c r="BM549" i="3"/>
  <c r="BN549" i="3"/>
  <c r="BO549" i="3"/>
  <c r="BP549" i="3"/>
  <c r="BR549" i="3"/>
  <c r="BT549" i="3"/>
  <c r="BL549" i="3"/>
  <c r="AZ549" i="3"/>
  <c r="BB550" i="3"/>
  <c r="BC550" i="3"/>
  <c r="BD550" i="3"/>
  <c r="BE550" i="3"/>
  <c r="BF550" i="3"/>
  <c r="BG550" i="3"/>
  <c r="BH550" i="3"/>
  <c r="BI550" i="3"/>
  <c r="BJ550" i="3"/>
  <c r="BK550" i="3"/>
  <c r="BA550" i="3"/>
  <c r="BM550" i="3"/>
  <c r="BN550" i="3"/>
  <c r="BO550" i="3"/>
  <c r="BP550" i="3"/>
  <c r="BR550" i="3"/>
  <c r="BT550" i="3"/>
  <c r="BL550" i="3"/>
  <c r="AZ550" i="3"/>
  <c r="BB551" i="3"/>
  <c r="BC551" i="3"/>
  <c r="BD551" i="3"/>
  <c r="BE551" i="3"/>
  <c r="BF551" i="3"/>
  <c r="BG551" i="3"/>
  <c r="BH551" i="3"/>
  <c r="BI551" i="3"/>
  <c r="BJ551" i="3"/>
  <c r="BK551" i="3"/>
  <c r="BA551" i="3"/>
  <c r="BM551" i="3"/>
  <c r="BN551" i="3"/>
  <c r="BO551" i="3"/>
  <c r="BP551" i="3"/>
  <c r="BR551" i="3"/>
  <c r="BT551" i="3"/>
  <c r="BL551" i="3"/>
  <c r="AZ551" i="3"/>
  <c r="BB552" i="3"/>
  <c r="BC552" i="3"/>
  <c r="BD552" i="3"/>
  <c r="BE552" i="3"/>
  <c r="BF552" i="3"/>
  <c r="BG552" i="3"/>
  <c r="BH552" i="3"/>
  <c r="BI552" i="3"/>
  <c r="BJ552" i="3"/>
  <c r="BK552" i="3"/>
  <c r="BA552" i="3"/>
  <c r="BM552" i="3"/>
  <c r="BN552" i="3"/>
  <c r="BO552" i="3"/>
  <c r="BP552" i="3"/>
  <c r="BR552" i="3"/>
  <c r="BT552" i="3"/>
  <c r="BL552" i="3"/>
  <c r="AZ552" i="3"/>
  <c r="BB553" i="3"/>
  <c r="BC553" i="3"/>
  <c r="BD553" i="3"/>
  <c r="BE553" i="3"/>
  <c r="BF553" i="3"/>
  <c r="BG553" i="3"/>
  <c r="BH553" i="3"/>
  <c r="BI553" i="3"/>
  <c r="BJ553" i="3"/>
  <c r="BK553" i="3"/>
  <c r="BA553" i="3"/>
  <c r="BM553" i="3"/>
  <c r="BN553" i="3"/>
  <c r="BO553" i="3"/>
  <c r="BP553" i="3"/>
  <c r="BR553" i="3"/>
  <c r="BT553" i="3"/>
  <c r="BL553" i="3"/>
  <c r="AZ553" i="3"/>
  <c r="BB554" i="3"/>
  <c r="BC554" i="3"/>
  <c r="BD554" i="3"/>
  <c r="BE554" i="3"/>
  <c r="BF554" i="3"/>
  <c r="BG554" i="3"/>
  <c r="BH554" i="3"/>
  <c r="BI554" i="3"/>
  <c r="BJ554" i="3"/>
  <c r="BK554" i="3"/>
  <c r="BA554" i="3"/>
  <c r="BM554" i="3"/>
  <c r="BN554" i="3"/>
  <c r="BO554" i="3"/>
  <c r="BP554" i="3"/>
  <c r="BR554" i="3"/>
  <c r="BT554" i="3"/>
  <c r="BL554" i="3"/>
  <c r="AZ554" i="3"/>
  <c r="BB555" i="3"/>
  <c r="BC555" i="3"/>
  <c r="BD555" i="3"/>
  <c r="BE555" i="3"/>
  <c r="BF555" i="3"/>
  <c r="BG555" i="3"/>
  <c r="BH555" i="3"/>
  <c r="BI555" i="3"/>
  <c r="BJ555" i="3"/>
  <c r="BK555" i="3"/>
  <c r="BA555" i="3"/>
  <c r="BM555" i="3"/>
  <c r="BN555" i="3"/>
  <c r="BO555" i="3"/>
  <c r="BP555" i="3"/>
  <c r="BR555" i="3"/>
  <c r="BT555" i="3"/>
  <c r="BL555" i="3"/>
  <c r="AZ555" i="3"/>
  <c r="BB556" i="3"/>
  <c r="BC556" i="3"/>
  <c r="BD556" i="3"/>
  <c r="BE556" i="3"/>
  <c r="BF556" i="3"/>
  <c r="BG556" i="3"/>
  <c r="BH556" i="3"/>
  <c r="BI556" i="3"/>
  <c r="BJ556" i="3"/>
  <c r="BK556" i="3"/>
  <c r="BA556" i="3"/>
  <c r="BM556" i="3"/>
  <c r="BN556" i="3"/>
  <c r="BO556" i="3"/>
  <c r="BP556" i="3"/>
  <c r="BR556" i="3"/>
  <c r="BT556" i="3"/>
  <c r="BL556" i="3"/>
  <c r="AZ556" i="3"/>
  <c r="BB557" i="3"/>
  <c r="BC557" i="3"/>
  <c r="BD557" i="3"/>
  <c r="BE557" i="3"/>
  <c r="BF557" i="3"/>
  <c r="BG557" i="3"/>
  <c r="BH557" i="3"/>
  <c r="BI557" i="3"/>
  <c r="BJ557" i="3"/>
  <c r="BK557" i="3"/>
  <c r="BA557" i="3"/>
  <c r="BM557" i="3"/>
  <c r="BN557" i="3"/>
  <c r="BO557" i="3"/>
  <c r="BP557" i="3"/>
  <c r="BR557" i="3"/>
  <c r="BT557" i="3"/>
  <c r="BL557" i="3"/>
  <c r="AZ557" i="3"/>
  <c r="BB558" i="3"/>
  <c r="BC558" i="3"/>
  <c r="BD558" i="3"/>
  <c r="BE558" i="3"/>
  <c r="BF558" i="3"/>
  <c r="BG558" i="3"/>
  <c r="BH558" i="3"/>
  <c r="BI558" i="3"/>
  <c r="BJ558" i="3"/>
  <c r="BK558" i="3"/>
  <c r="BA558" i="3"/>
  <c r="BM558" i="3"/>
  <c r="BN558" i="3"/>
  <c r="BO558" i="3"/>
  <c r="BP558" i="3"/>
  <c r="BR558" i="3"/>
  <c r="BT558" i="3"/>
  <c r="BL558" i="3"/>
  <c r="AZ558" i="3"/>
  <c r="BB559" i="3"/>
  <c r="BC559" i="3"/>
  <c r="BD559" i="3"/>
  <c r="BE559" i="3"/>
  <c r="BF559" i="3"/>
  <c r="BG559" i="3"/>
  <c r="BH559" i="3"/>
  <c r="BI559" i="3"/>
  <c r="BJ559" i="3"/>
  <c r="BK559" i="3"/>
  <c r="BA559" i="3"/>
  <c r="BM559" i="3"/>
  <c r="BN559" i="3"/>
  <c r="BO559" i="3"/>
  <c r="BP559" i="3"/>
  <c r="BR559" i="3"/>
  <c r="BT559" i="3"/>
  <c r="BL559" i="3"/>
  <c r="AZ559" i="3"/>
  <c r="BB560" i="3"/>
  <c r="BC560" i="3"/>
  <c r="BD560" i="3"/>
  <c r="BE560" i="3"/>
  <c r="BF560" i="3"/>
  <c r="BG560" i="3"/>
  <c r="BH560" i="3"/>
  <c r="BI560" i="3"/>
  <c r="BJ560" i="3"/>
  <c r="BK560" i="3"/>
  <c r="BA560" i="3"/>
  <c r="BM560" i="3"/>
  <c r="BN560" i="3"/>
  <c r="BO560" i="3"/>
  <c r="BP560" i="3"/>
  <c r="BR560" i="3"/>
  <c r="BT560" i="3"/>
  <c r="BL560" i="3"/>
  <c r="AZ560" i="3"/>
  <c r="BB561" i="3"/>
  <c r="BC561" i="3"/>
  <c r="BD561" i="3"/>
  <c r="BE561" i="3"/>
  <c r="BF561" i="3"/>
  <c r="BG561" i="3"/>
  <c r="BH561" i="3"/>
  <c r="BI561" i="3"/>
  <c r="BJ561" i="3"/>
  <c r="BK561" i="3"/>
  <c r="BA561" i="3"/>
  <c r="BM561" i="3"/>
  <c r="BN561" i="3"/>
  <c r="BO561" i="3"/>
  <c r="BP561" i="3"/>
  <c r="BR561" i="3"/>
  <c r="BT561" i="3"/>
  <c r="BL561" i="3"/>
  <c r="AZ561" i="3"/>
  <c r="BB562" i="3"/>
  <c r="BC562" i="3"/>
  <c r="BD562" i="3"/>
  <c r="BE562" i="3"/>
  <c r="BF562" i="3"/>
  <c r="BG562" i="3"/>
  <c r="BH562" i="3"/>
  <c r="BI562" i="3"/>
  <c r="BJ562" i="3"/>
  <c r="BK562" i="3"/>
  <c r="BA562" i="3"/>
  <c r="BM562" i="3"/>
  <c r="BN562" i="3"/>
  <c r="BO562" i="3"/>
  <c r="BP562" i="3"/>
  <c r="BR562" i="3"/>
  <c r="BT562" i="3"/>
  <c r="BL562" i="3"/>
  <c r="AZ562" i="3"/>
  <c r="BB563" i="3"/>
  <c r="BC563" i="3"/>
  <c r="BD563" i="3"/>
  <c r="BE563" i="3"/>
  <c r="BF563" i="3"/>
  <c r="BG563" i="3"/>
  <c r="BH563" i="3"/>
  <c r="BI563" i="3"/>
  <c r="BJ563" i="3"/>
  <c r="BK563" i="3"/>
  <c r="BA563" i="3"/>
  <c r="BM563" i="3"/>
  <c r="BN563" i="3"/>
  <c r="BO563" i="3"/>
  <c r="BP563" i="3"/>
  <c r="BR563" i="3"/>
  <c r="BT563" i="3"/>
  <c r="BL563" i="3"/>
  <c r="AZ563" i="3"/>
  <c r="BB564" i="3"/>
  <c r="BC564" i="3"/>
  <c r="BD564" i="3"/>
  <c r="BE564" i="3"/>
  <c r="BF564" i="3"/>
  <c r="BG564" i="3"/>
  <c r="BH564" i="3"/>
  <c r="BI564" i="3"/>
  <c r="BJ564" i="3"/>
  <c r="BK564" i="3"/>
  <c r="BA564" i="3"/>
  <c r="BM564" i="3"/>
  <c r="BN564" i="3"/>
  <c r="BO564" i="3"/>
  <c r="BP564" i="3"/>
  <c r="BR564" i="3"/>
  <c r="BT564" i="3"/>
  <c r="BL564" i="3"/>
  <c r="AZ564" i="3"/>
  <c r="BB565" i="3"/>
  <c r="BC565" i="3"/>
  <c r="BD565" i="3"/>
  <c r="BE565" i="3"/>
  <c r="BF565" i="3"/>
  <c r="BG565" i="3"/>
  <c r="BH565" i="3"/>
  <c r="BI565" i="3"/>
  <c r="BJ565" i="3"/>
  <c r="BK565" i="3"/>
  <c r="BA565" i="3"/>
  <c r="BM565" i="3"/>
  <c r="BN565" i="3"/>
  <c r="BO565" i="3"/>
  <c r="BP565" i="3"/>
  <c r="BR565" i="3"/>
  <c r="BT565" i="3"/>
  <c r="BL565" i="3"/>
  <c r="AZ565" i="3"/>
  <c r="BB566" i="3"/>
  <c r="BC566" i="3"/>
  <c r="BD566" i="3"/>
  <c r="BE566" i="3"/>
  <c r="BF566" i="3"/>
  <c r="BG566" i="3"/>
  <c r="BH566" i="3"/>
  <c r="BI566" i="3"/>
  <c r="BJ566" i="3"/>
  <c r="BK566" i="3"/>
  <c r="BA566" i="3"/>
  <c r="BM566" i="3"/>
  <c r="BN566" i="3"/>
  <c r="BO566" i="3"/>
  <c r="BP566" i="3"/>
  <c r="BR566" i="3"/>
  <c r="BT566" i="3"/>
  <c r="BL566" i="3"/>
  <c r="AZ566" i="3"/>
  <c r="BB567" i="3"/>
  <c r="BC567" i="3"/>
  <c r="BD567" i="3"/>
  <c r="BE567" i="3"/>
  <c r="BF567" i="3"/>
  <c r="BG567" i="3"/>
  <c r="BH567" i="3"/>
  <c r="BI567" i="3"/>
  <c r="BJ567" i="3"/>
  <c r="BK567" i="3"/>
  <c r="BA567" i="3"/>
  <c r="BM567" i="3"/>
  <c r="BN567" i="3"/>
  <c r="BO567" i="3"/>
  <c r="BP567" i="3"/>
  <c r="BR567" i="3"/>
  <c r="BT567" i="3"/>
  <c r="BL567" i="3"/>
  <c r="AZ567" i="3"/>
  <c r="BB568" i="3"/>
  <c r="BC568" i="3"/>
  <c r="BD568" i="3"/>
  <c r="BE568" i="3"/>
  <c r="BF568" i="3"/>
  <c r="BG568" i="3"/>
  <c r="BH568" i="3"/>
  <c r="BI568" i="3"/>
  <c r="BJ568" i="3"/>
  <c r="BK568" i="3"/>
  <c r="BA568" i="3"/>
  <c r="BM568" i="3"/>
  <c r="BN568" i="3"/>
  <c r="BO568" i="3"/>
  <c r="BP568" i="3"/>
  <c r="BR568" i="3"/>
  <c r="BT568" i="3"/>
  <c r="BL568" i="3"/>
  <c r="AZ568" i="3"/>
  <c r="BB569" i="3"/>
  <c r="BC569" i="3"/>
  <c r="BD569" i="3"/>
  <c r="BE569" i="3"/>
  <c r="BF569" i="3"/>
  <c r="BG569" i="3"/>
  <c r="BH569" i="3"/>
  <c r="BI569" i="3"/>
  <c r="BJ569" i="3"/>
  <c r="BK569" i="3"/>
  <c r="BA569" i="3"/>
  <c r="BM569" i="3"/>
  <c r="BN569" i="3"/>
  <c r="BO569" i="3"/>
  <c r="BP569" i="3"/>
  <c r="BR569" i="3"/>
  <c r="BT569" i="3"/>
  <c r="BL569" i="3"/>
  <c r="AZ569" i="3"/>
  <c r="BB570" i="3"/>
  <c r="BC570" i="3"/>
  <c r="BD570" i="3"/>
  <c r="BE570" i="3"/>
  <c r="BF570" i="3"/>
  <c r="BG570" i="3"/>
  <c r="BH570" i="3"/>
  <c r="BI570" i="3"/>
  <c r="BJ570" i="3"/>
  <c r="BK570" i="3"/>
  <c r="BA570" i="3"/>
  <c r="BM570" i="3"/>
  <c r="BN570" i="3"/>
  <c r="BO570" i="3"/>
  <c r="BP570" i="3"/>
  <c r="BR570" i="3"/>
  <c r="BT570" i="3"/>
  <c r="BL570" i="3"/>
  <c r="AZ570" i="3"/>
  <c r="BB571" i="3"/>
  <c r="BC571" i="3"/>
  <c r="BD571" i="3"/>
  <c r="BE571" i="3"/>
  <c r="BF571" i="3"/>
  <c r="BG571" i="3"/>
  <c r="BH571" i="3"/>
  <c r="BI571" i="3"/>
  <c r="BJ571" i="3"/>
  <c r="BK571" i="3"/>
  <c r="BA571" i="3"/>
  <c r="BM571" i="3"/>
  <c r="BN571" i="3"/>
  <c r="BO571" i="3"/>
  <c r="BP571" i="3"/>
  <c r="BR571" i="3"/>
  <c r="BT571" i="3"/>
  <c r="BL571" i="3"/>
  <c r="AZ571" i="3"/>
  <c r="BB572" i="3"/>
  <c r="BC572" i="3"/>
  <c r="BD572" i="3"/>
  <c r="BE572" i="3"/>
  <c r="BF572" i="3"/>
  <c r="BG572" i="3"/>
  <c r="BH572" i="3"/>
  <c r="BI572" i="3"/>
  <c r="BJ572" i="3"/>
  <c r="BK572" i="3"/>
  <c r="BA572" i="3"/>
  <c r="BM572" i="3"/>
  <c r="BN572" i="3"/>
  <c r="BO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0" i="68"/>
  <c r="AT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F21" i="6"/>
  <c r="BB10" i="3"/>
  <c r="BB5" i="3"/>
  <c r="BC10" i="3"/>
  <c r="BD10" i="3"/>
  <c r="BE10" i="3"/>
  <c r="BF10" i="3"/>
  <c r="BG10" i="3"/>
  <c r="BH10" i="3"/>
  <c r="BI10" i="3"/>
  <c r="BJ10" i="3"/>
  <c r="BK10" i="3"/>
  <c r="BC5" i="3"/>
  <c r="BD5" i="3"/>
  <c r="BE5" i="3"/>
  <c r="BF5" i="3"/>
  <c r="BG5" i="3"/>
  <c r="BH5" i="3"/>
  <c r="BI5" i="3"/>
  <c r="BJ5" i="3"/>
  <c r="BK5" i="3"/>
  <c r="E8" i="6"/>
  <c r="F27" i="6"/>
  <c r="D19" i="6"/>
  <c r="D20" i="6"/>
  <c r="D21" i="6"/>
  <c r="F32" i="71"/>
  <c r="AA32" i="71"/>
  <c r="R47" i="71"/>
  <c r="C7" i="71"/>
  <c r="E7" i="71"/>
  <c r="C58" i="71"/>
  <c r="D58" i="71"/>
  <c r="E58" i="71"/>
  <c r="F58" i="71"/>
  <c r="G58" i="71"/>
  <c r="H58" i="71"/>
  <c r="I58" i="71"/>
  <c r="J58" i="71"/>
  <c r="K58" i="71"/>
  <c r="L58" i="71"/>
  <c r="M58" i="71"/>
  <c r="N58" i="71"/>
  <c r="O58" i="71"/>
  <c r="F7" i="71"/>
  <c r="AA7" i="71"/>
  <c r="F8" i="71"/>
  <c r="AA8" i="71"/>
  <c r="C63" i="71"/>
  <c r="F9" i="71"/>
  <c r="AA9" i="71"/>
  <c r="F10" i="71"/>
  <c r="AA10" i="71"/>
  <c r="K11" i="71"/>
  <c r="D69" i="71"/>
  <c r="C11" i="71"/>
  <c r="F11" i="71"/>
  <c r="AA11" i="71"/>
  <c r="B70" i="71"/>
  <c r="F12" i="71"/>
  <c r="AA12" i="71"/>
  <c r="B72" i="71"/>
  <c r="F13" i="71"/>
  <c r="AA13" i="71"/>
  <c r="B74" i="71"/>
  <c r="F14" i="71"/>
  <c r="AA14" i="71"/>
  <c r="K15" i="71"/>
  <c r="D77" i="71"/>
  <c r="C16" i="71"/>
  <c r="F15" i="71"/>
  <c r="AA15" i="71"/>
  <c r="K17" i="71"/>
  <c r="D79" i="71"/>
  <c r="E79" i="71"/>
  <c r="C18" i="71"/>
  <c r="F17" i="71"/>
  <c r="AA17" i="71"/>
  <c r="K19" i="71"/>
  <c r="D81" i="71"/>
  <c r="E81" i="71"/>
  <c r="C20" i="71"/>
  <c r="F19" i="71"/>
  <c r="AA19" i="71"/>
  <c r="K21" i="71"/>
  <c r="D83" i="71"/>
  <c r="F21" i="71"/>
  <c r="AA21" i="71"/>
  <c r="K23" i="71"/>
  <c r="D85" i="71"/>
  <c r="C24" i="71"/>
  <c r="F23" i="71"/>
  <c r="AA23" i="71"/>
  <c r="F25" i="71"/>
  <c r="AA25" i="71"/>
  <c r="F26" i="71"/>
  <c r="AA26" i="71"/>
  <c r="B90" i="71"/>
  <c r="F27" i="71"/>
  <c r="AA27" i="71"/>
  <c r="B92" i="71"/>
  <c r="F28" i="71"/>
  <c r="AA28" i="71"/>
  <c r="B94" i="71"/>
  <c r="F29" i="71"/>
  <c r="AA29" i="71"/>
  <c r="B96" i="71"/>
  <c r="F30" i="71"/>
  <c r="AA30" i="71"/>
  <c r="B98" i="71"/>
  <c r="F31" i="71"/>
  <c r="AA31" i="71"/>
  <c r="E16" i="68"/>
  <c r="C33" i="71"/>
  <c r="F33" i="71"/>
  <c r="AA33" i="71"/>
  <c r="F34" i="71"/>
  <c r="AA34" i="71"/>
  <c r="F35" i="71"/>
  <c r="AA35" i="71"/>
  <c r="F36" i="71"/>
  <c r="AA36" i="71"/>
  <c r="D113" i="71"/>
  <c r="E113" i="71"/>
  <c r="F113" i="71"/>
  <c r="G113" i="71"/>
  <c r="F37" i="71"/>
  <c r="AA37" i="71"/>
  <c r="F38" i="71"/>
  <c r="AA38" i="71"/>
  <c r="F39" i="71"/>
  <c r="AA39" i="71"/>
  <c r="F40" i="71"/>
  <c r="AA40" i="71"/>
  <c r="F41" i="71"/>
  <c r="AA41" i="71"/>
  <c r="F42" i="71"/>
  <c r="AA42" i="71"/>
  <c r="F43" i="71"/>
  <c r="AA43" i="71"/>
  <c r="B126" i="71"/>
  <c r="F44" i="71"/>
  <c r="AA44" i="71"/>
  <c r="B128" i="71"/>
  <c r="F45" i="71"/>
  <c r="AA45" i="71"/>
  <c r="B130" i="71"/>
  <c r="F46" i="71"/>
  <c r="AA46" i="71"/>
  <c r="R48" i="71"/>
  <c r="H32" i="71"/>
  <c r="AB32" i="71"/>
  <c r="T47" i="71"/>
  <c r="G7" i="71"/>
  <c r="H7" i="71"/>
  <c r="AB7" i="71"/>
  <c r="H8" i="71"/>
  <c r="AB8" i="71"/>
  <c r="H9" i="71"/>
  <c r="AB9" i="71"/>
  <c r="H10" i="71"/>
  <c r="AB10" i="71"/>
  <c r="H11" i="71"/>
  <c r="AB11"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T48" i="71"/>
  <c r="J32" i="71"/>
  <c r="AC32" i="71"/>
  <c r="V47" i="71"/>
  <c r="I7" i="71"/>
  <c r="J7" i="71"/>
  <c r="AC7" i="71"/>
  <c r="J8" i="71"/>
  <c r="AC8" i="71"/>
  <c r="J9" i="71"/>
  <c r="AC9" i="71"/>
  <c r="J10" i="71"/>
  <c r="AC10" i="71"/>
  <c r="J11" i="71"/>
  <c r="AC11"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3" i="71"/>
  <c r="AC33" i="71"/>
  <c r="J34" i="71"/>
  <c r="AC34" i="71"/>
  <c r="J35" i="71"/>
  <c r="AC35" i="71"/>
  <c r="J36" i="71"/>
  <c r="AC36" i="71"/>
  <c r="J37" i="71"/>
  <c r="AC37" i="71"/>
  <c r="J38" i="71"/>
  <c r="AC38" i="71"/>
  <c r="J39" i="71"/>
  <c r="AC39" i="71"/>
  <c r="J40" i="71"/>
  <c r="AC40" i="71"/>
  <c r="J41" i="71"/>
  <c r="AC41" i="71"/>
  <c r="D123" i="71"/>
  <c r="E123" i="71"/>
  <c r="F123" i="71"/>
  <c r="J42" i="71"/>
  <c r="AC42" i="71"/>
  <c r="J43" i="71"/>
  <c r="AC43" i="71"/>
  <c r="J44" i="71"/>
  <c r="AC44" i="71"/>
  <c r="J45" i="71"/>
  <c r="AC45" i="71"/>
  <c r="J46" i="71"/>
  <c r="AC46" i="71"/>
  <c r="V48" i="71"/>
  <c r="R49" i="71"/>
  <c r="C49" i="71"/>
  <c r="B3" i="71"/>
  <c r="C8" i="12"/>
  <c r="D101" i="73"/>
  <c r="E101" i="73"/>
  <c r="F32" i="73"/>
  <c r="AA32" i="73"/>
  <c r="R47" i="73"/>
  <c r="C7" i="73"/>
  <c r="E7" i="73"/>
  <c r="C58" i="73"/>
  <c r="D58" i="73"/>
  <c r="E58" i="73"/>
  <c r="F58" i="73"/>
  <c r="G58" i="73"/>
  <c r="H58" i="73"/>
  <c r="I58" i="73"/>
  <c r="J58" i="73"/>
  <c r="K58" i="73"/>
  <c r="L58" i="73"/>
  <c r="M58" i="73"/>
  <c r="N58" i="73"/>
  <c r="O58" i="73"/>
  <c r="F7" i="73"/>
  <c r="AA7" i="73"/>
  <c r="F8" i="73"/>
  <c r="AA8" i="73"/>
  <c r="C63" i="73"/>
  <c r="F9" i="73"/>
  <c r="AA9" i="73"/>
  <c r="F10" i="73"/>
  <c r="AA10" i="73"/>
  <c r="K11" i="73"/>
  <c r="D69" i="73"/>
  <c r="F11" i="73"/>
  <c r="AA11" i="73"/>
  <c r="B70" i="73"/>
  <c r="F12" i="73"/>
  <c r="AA12" i="73"/>
  <c r="B72" i="73"/>
  <c r="F13" i="73"/>
  <c r="AA13" i="73"/>
  <c r="B74" i="73"/>
  <c r="F14" i="73"/>
  <c r="AA14" i="73"/>
  <c r="K15" i="73"/>
  <c r="D77" i="73"/>
  <c r="C16" i="73"/>
  <c r="F15" i="73"/>
  <c r="AA15" i="73"/>
  <c r="K17" i="73"/>
  <c r="D79" i="73"/>
  <c r="E79" i="73"/>
  <c r="C18" i="73"/>
  <c r="F17" i="73"/>
  <c r="AA17" i="73"/>
  <c r="K19" i="73"/>
  <c r="D81" i="73"/>
  <c r="E81" i="73"/>
  <c r="C20" i="73"/>
  <c r="F19" i="73"/>
  <c r="AA19" i="73"/>
  <c r="K21" i="73"/>
  <c r="D83" i="73"/>
  <c r="C22" i="73"/>
  <c r="F21" i="73"/>
  <c r="AA21" i="73"/>
  <c r="K23" i="73"/>
  <c r="D85" i="73"/>
  <c r="C24" i="73"/>
  <c r="F23" i="73"/>
  <c r="AA23" i="73"/>
  <c r="F25" i="73"/>
  <c r="AA25" i="73"/>
  <c r="F26" i="73"/>
  <c r="AA26" i="73"/>
  <c r="B90" i="73"/>
  <c r="F27" i="73"/>
  <c r="AA27" i="73"/>
  <c r="B92" i="73"/>
  <c r="F28" i="73"/>
  <c r="AA28" i="73"/>
  <c r="B94" i="73"/>
  <c r="F29" i="73"/>
  <c r="AA29" i="73"/>
  <c r="B96" i="73"/>
  <c r="F30" i="73"/>
  <c r="AA30" i="73"/>
  <c r="B98" i="73"/>
  <c r="F31" i="73"/>
  <c r="AA31" i="73"/>
  <c r="C33" i="73"/>
  <c r="F33" i="73"/>
  <c r="AA33" i="73"/>
  <c r="F34" i="73"/>
  <c r="AA34" i="73"/>
  <c r="F35" i="73"/>
  <c r="AA35" i="73"/>
  <c r="F36" i="73"/>
  <c r="AA36" i="73"/>
  <c r="K37" i="73"/>
  <c r="D113" i="73"/>
  <c r="E113" i="73"/>
  <c r="F113" i="73"/>
  <c r="G113" i="73"/>
  <c r="F37" i="73"/>
  <c r="AA37" i="73"/>
  <c r="F38" i="73"/>
  <c r="AA38" i="73"/>
  <c r="F39" i="73"/>
  <c r="AA39" i="73"/>
  <c r="F40" i="73"/>
  <c r="AA40" i="73"/>
  <c r="F41" i="73"/>
  <c r="AA41" i="73"/>
  <c r="F42" i="73"/>
  <c r="AA42" i="73"/>
  <c r="F43" i="73"/>
  <c r="AA43" i="73"/>
  <c r="B126" i="73"/>
  <c r="F44" i="73"/>
  <c r="AA44" i="73"/>
  <c r="B128" i="73"/>
  <c r="F45" i="73"/>
  <c r="AA45" i="73"/>
  <c r="B130" i="73"/>
  <c r="F46" i="73"/>
  <c r="AA46" i="73"/>
  <c r="R48" i="73"/>
  <c r="H32" i="73"/>
  <c r="AB32" i="73"/>
  <c r="T47" i="73"/>
  <c r="G7" i="73"/>
  <c r="H7" i="73"/>
  <c r="AB7" i="73"/>
  <c r="H8" i="73"/>
  <c r="AB8" i="73"/>
  <c r="H9" i="73"/>
  <c r="AB9" i="73"/>
  <c r="H10" i="73"/>
  <c r="AB10" i="73"/>
  <c r="H11" i="73"/>
  <c r="AB11" i="73"/>
  <c r="H12" i="73"/>
  <c r="AB12" i="73"/>
  <c r="H13" i="73"/>
  <c r="AB13" i="73"/>
  <c r="H14" i="73"/>
  <c r="AB14" i="73"/>
  <c r="H15" i="73"/>
  <c r="AB15" i="73"/>
  <c r="H17" i="73"/>
  <c r="AB17" i="73"/>
  <c r="H19" i="73"/>
  <c r="AB19" i="73"/>
  <c r="H21" i="73"/>
  <c r="AB21" i="73"/>
  <c r="H23" i="73"/>
  <c r="AB23" i="73"/>
  <c r="H25" i="73"/>
  <c r="AB25" i="73"/>
  <c r="H26" i="73"/>
  <c r="AB26" i="73"/>
  <c r="H27" i="73"/>
  <c r="AB27" i="73"/>
  <c r="H28" i="73"/>
  <c r="AB28" i="73"/>
  <c r="H29" i="73"/>
  <c r="AB29" i="73"/>
  <c r="H30" i="73"/>
  <c r="AB30" i="73"/>
  <c r="H31" i="73"/>
  <c r="AB31" i="73"/>
  <c r="H33" i="73"/>
  <c r="AB33" i="73"/>
  <c r="H34" i="73"/>
  <c r="AB34" i="73"/>
  <c r="H35" i="73"/>
  <c r="AB35" i="73"/>
  <c r="H36" i="73"/>
  <c r="AB36" i="73"/>
  <c r="H37" i="73"/>
  <c r="AB37" i="73"/>
  <c r="H38" i="73"/>
  <c r="AB38" i="73"/>
  <c r="H39" i="73"/>
  <c r="AB39" i="73"/>
  <c r="H40" i="73"/>
  <c r="AB40" i="73"/>
  <c r="H41" i="73"/>
  <c r="AB41" i="73"/>
  <c r="H42" i="73"/>
  <c r="AB42" i="73"/>
  <c r="H43" i="73"/>
  <c r="AB43" i="73"/>
  <c r="H44" i="73"/>
  <c r="AB44" i="73"/>
  <c r="H45" i="73"/>
  <c r="AB45" i="73"/>
  <c r="H46" i="73"/>
  <c r="AB46" i="73"/>
  <c r="T48" i="73"/>
  <c r="J32" i="73"/>
  <c r="AC32" i="73"/>
  <c r="V47" i="73"/>
  <c r="I7" i="73"/>
  <c r="J7" i="73"/>
  <c r="AC7" i="73"/>
  <c r="J8" i="73"/>
  <c r="AC8" i="73"/>
  <c r="J9" i="73"/>
  <c r="AC9" i="73"/>
  <c r="J10" i="73"/>
  <c r="AC10" i="73"/>
  <c r="J11" i="73"/>
  <c r="AC11" i="73"/>
  <c r="J12" i="73"/>
  <c r="AC12" i="73"/>
  <c r="J13" i="73"/>
  <c r="AC13" i="73"/>
  <c r="J14" i="73"/>
  <c r="AC14" i="73"/>
  <c r="J15" i="73"/>
  <c r="AC15" i="73"/>
  <c r="J17" i="73"/>
  <c r="AC17" i="73"/>
  <c r="J19" i="73"/>
  <c r="AC19" i="73"/>
  <c r="J21" i="73"/>
  <c r="AC21" i="73"/>
  <c r="J23" i="73"/>
  <c r="AC23" i="73"/>
  <c r="J25" i="73"/>
  <c r="AC25" i="73"/>
  <c r="J26" i="73"/>
  <c r="AC26" i="73"/>
  <c r="J27" i="73"/>
  <c r="AC27" i="73"/>
  <c r="J28" i="73"/>
  <c r="AC28" i="73"/>
  <c r="J29" i="73"/>
  <c r="AC29" i="73"/>
  <c r="J30" i="73"/>
  <c r="AC30" i="73"/>
  <c r="J31" i="73"/>
  <c r="AC31" i="73"/>
  <c r="J33" i="73"/>
  <c r="AC33" i="73"/>
  <c r="J34" i="73"/>
  <c r="AC34" i="73"/>
  <c r="J35" i="73"/>
  <c r="AC35" i="73"/>
  <c r="J36" i="73"/>
  <c r="AC36" i="73"/>
  <c r="J37" i="73"/>
  <c r="AC37" i="73"/>
  <c r="J38" i="73"/>
  <c r="AC38" i="73"/>
  <c r="J39" i="73"/>
  <c r="AC39" i="73"/>
  <c r="J40" i="73"/>
  <c r="AC40" i="73"/>
  <c r="J41" i="73"/>
  <c r="AC41" i="73"/>
  <c r="J42" i="73"/>
  <c r="AC42" i="73"/>
  <c r="J43" i="73"/>
  <c r="AC43" i="73"/>
  <c r="J44" i="73"/>
  <c r="AC44" i="73"/>
  <c r="J45" i="73"/>
  <c r="AC45" i="73"/>
  <c r="J46" i="73"/>
  <c r="AC46" i="73"/>
  <c r="V48" i="73"/>
  <c r="R49" i="73"/>
  <c r="C49" i="73"/>
  <c r="D8" i="12"/>
  <c r="L8" i="12"/>
  <c r="E20" i="6"/>
  <c r="D9" i="12"/>
  <c r="D10" i="12"/>
  <c r="E21" i="68"/>
  <c r="F21" i="68"/>
  <c r="G21" i="68"/>
  <c r="F16" i="68"/>
  <c r="G16" i="68"/>
  <c r="A8" i="1"/>
  <c r="G1" i="15"/>
  <c r="E21" i="6"/>
  <c r="K8" i="1"/>
  <c r="E3" i="6"/>
  <c r="BR5" i="3"/>
  <c r="BT5" i="3"/>
  <c r="G28" i="6"/>
  <c r="E28" i="6"/>
  <c r="BA5" i="3"/>
  <c r="E19" i="6"/>
  <c r="G22" i="6"/>
  <c r="E22" i="6"/>
  <c r="E23" i="6"/>
  <c r="E24" i="6"/>
  <c r="E25" i="6"/>
  <c r="E26" i="6"/>
  <c r="E27" i="6"/>
  <c r="K21" i="6"/>
  <c r="L21" i="6"/>
  <c r="M21" i="6"/>
  <c r="P21" i="6"/>
  <c r="I21" i="6"/>
  <c r="H21" i="6"/>
  <c r="R21" i="6"/>
  <c r="R8" i="1"/>
  <c r="K14" i="1"/>
  <c r="M14" i="1"/>
  <c r="S8" i="1"/>
  <c r="K19" i="6"/>
  <c r="K20" i="6"/>
  <c r="K22" i="6"/>
  <c r="A9" i="1"/>
  <c r="S9" i="1"/>
  <c r="A10" i="1"/>
  <c r="S10" i="1"/>
  <c r="A11" i="1"/>
  <c r="S11" i="1"/>
  <c r="A12" i="1"/>
  <c r="S12" i="1"/>
  <c r="A13" i="1"/>
  <c r="S13" i="1"/>
  <c r="S16" i="1"/>
  <c r="M8" i="1"/>
  <c r="B22" i="1"/>
  <c r="C2" i="65"/>
  <c r="I1" i="65"/>
  <c r="F23" i="15"/>
  <c r="D3" i="4"/>
  <c r="E19" i="4"/>
  <c r="F8" i="1"/>
  <c r="E9" i="12"/>
  <c r="L3" i="70"/>
  <c r="L4" i="70"/>
  <c r="L5" i="70"/>
  <c r="L6" i="70"/>
  <c r="L7" i="70"/>
  <c r="L8" i="70"/>
  <c r="L9" i="70"/>
  <c r="L10" i="70"/>
  <c r="L2" i="70"/>
  <c r="G7" i="68"/>
  <c r="C1" i="65"/>
  <c r="N1" i="65"/>
  <c r="B43" i="1"/>
  <c r="B41" i="1"/>
  <c r="F32" i="15"/>
  <c r="B2" i="1"/>
  <c r="C42" i="1"/>
  <c r="F33" i="15"/>
  <c r="B52" i="1"/>
  <c r="F34" i="15"/>
  <c r="T4" i="1"/>
  <c r="F15" i="15"/>
  <c r="F17" i="15"/>
  <c r="F18" i="15"/>
  <c r="F20" i="15"/>
  <c r="H1" i="65"/>
  <c r="F21" i="15"/>
  <c r="F28" i="15"/>
  <c r="C28" i="15"/>
  <c r="M47" i="15"/>
  <c r="J50" i="15"/>
  <c r="J51" i="15"/>
  <c r="L46" i="15"/>
  <c r="G1" i="75"/>
  <c r="K9" i="1"/>
  <c r="F32" i="75"/>
  <c r="F33" i="75"/>
  <c r="L22" i="6"/>
  <c r="M22" i="6"/>
  <c r="P22" i="6"/>
  <c r="I22" i="6"/>
  <c r="H22" i="6"/>
  <c r="R22" i="6"/>
  <c r="R9" i="1"/>
  <c r="F34" i="75"/>
  <c r="M9" i="1"/>
  <c r="F15" i="75"/>
  <c r="F17" i="75"/>
  <c r="F18" i="75"/>
  <c r="F20" i="75"/>
  <c r="F23" i="75"/>
  <c r="F21" i="75"/>
  <c r="F28" i="75"/>
  <c r="C28" i="75"/>
  <c r="G19" i="4"/>
  <c r="F9" i="1"/>
  <c r="M47" i="75"/>
  <c r="J50" i="75"/>
  <c r="J51" i="75"/>
  <c r="L46" i="75"/>
  <c r="F9" i="12"/>
  <c r="C9" i="12"/>
  <c r="C10"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F14" i="12"/>
  <c r="F15" i="12"/>
  <c r="C15" i="12"/>
  <c r="D16" i="12"/>
  <c r="E16" i="12"/>
  <c r="C16" i="12"/>
  <c r="F17"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D21" i="12"/>
  <c r="E21" i="12"/>
  <c r="C21" i="12"/>
  <c r="E6" i="6"/>
  <c r="D22" i="12"/>
  <c r="E22" i="12"/>
  <c r="C22" i="12"/>
  <c r="F23" i="12"/>
  <c r="F24" i="12"/>
  <c r="B24" i="1"/>
  <c r="F29" i="12"/>
  <c r="Q16" i="1"/>
  <c r="F33" i="12"/>
  <c r="F25" i="12"/>
  <c r="C25" i="12"/>
  <c r="C34" i="12"/>
  <c r="D33" i="12"/>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F10" i="39"/>
  <c r="AA10" i="39"/>
  <c r="F11" i="39"/>
  <c r="AA11" i="39"/>
  <c r="D83" i="39"/>
  <c r="E83" i="39"/>
  <c r="C13" i="39"/>
  <c r="F13" i="39"/>
  <c r="AA13" i="39"/>
  <c r="B84" i="39"/>
  <c r="F14" i="39"/>
  <c r="AA14" i="39"/>
  <c r="B86" i="39"/>
  <c r="F15" i="39"/>
  <c r="AA15" i="39"/>
  <c r="B88" i="39"/>
  <c r="F16" i="39"/>
  <c r="AA16" i="39"/>
  <c r="D91" i="39"/>
  <c r="F17" i="39"/>
  <c r="AA17" i="39"/>
  <c r="F19" i="39"/>
  <c r="AA19" i="39"/>
  <c r="F21" i="39"/>
  <c r="AA21" i="39"/>
  <c r="D97" i="39"/>
  <c r="E97" i="39"/>
  <c r="F23" i="39"/>
  <c r="AA23"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D124" i="39"/>
  <c r="F42" i="39"/>
  <c r="AA42" i="39"/>
  <c r="F43" i="39"/>
  <c r="AA43" i="39"/>
  <c r="F44" i="39"/>
  <c r="AA44" i="39"/>
  <c r="B129" i="39"/>
  <c r="F45" i="39"/>
  <c r="AA45" i="39"/>
  <c r="B131" i="39"/>
  <c r="F46" i="39"/>
  <c r="AA46" i="39"/>
  <c r="B133" i="39"/>
  <c r="F47" i="39"/>
  <c r="AA47" i="39"/>
  <c r="C17" i="9"/>
  <c r="D17" i="9"/>
  <c r="C18" i="9"/>
  <c r="A44" i="9"/>
  <c r="D9" i="1"/>
  <c r="K59" i="75"/>
  <c r="P75" i="75"/>
  <c r="Q73" i="75"/>
  <c r="F59" i="75"/>
  <c r="D60" i="75"/>
  <c r="F60" i="75"/>
  <c r="F61" i="75"/>
  <c r="P62" i="75"/>
  <c r="Q60" i="75"/>
  <c r="Q59" i="75"/>
  <c r="F58" i="75"/>
  <c r="Q52" i="75"/>
  <c r="F31" i="75"/>
  <c r="AG9" i="1"/>
  <c r="M18" i="75"/>
  <c r="M20" i="75"/>
  <c r="D24" i="75"/>
  <c r="D23" i="75"/>
  <c r="D22" i="75"/>
  <c r="M19" i="75"/>
  <c r="M17" i="75"/>
  <c r="J140" i="73"/>
  <c r="C145" i="73"/>
  <c r="K139" i="73"/>
  <c r="K145" i="73"/>
  <c r="K144" i="73"/>
  <c r="K143" i="73"/>
  <c r="J142" i="73"/>
  <c r="K141" i="73"/>
  <c r="K43" i="73"/>
  <c r="D125" i="73"/>
  <c r="E125" i="73"/>
  <c r="F125" i="73"/>
  <c r="G125" i="73"/>
  <c r="K42" i="73"/>
  <c r="D123" i="73"/>
  <c r="E123" i="73"/>
  <c r="F123" i="73"/>
  <c r="G123" i="73"/>
  <c r="H123" i="73"/>
  <c r="I123" i="73"/>
  <c r="J123" i="73"/>
  <c r="K123" i="73"/>
  <c r="L123" i="73"/>
  <c r="M123" i="73"/>
  <c r="D119" i="73"/>
  <c r="E119" i="73"/>
  <c r="F119" i="73"/>
  <c r="G119" i="73"/>
  <c r="H119" i="73"/>
  <c r="I119" i="73"/>
  <c r="J119" i="73"/>
  <c r="K119" i="73"/>
  <c r="L119" i="73"/>
  <c r="M119" i="73"/>
  <c r="K39" i="73"/>
  <c r="D117" i="73"/>
  <c r="E117" i="73"/>
  <c r="F117" i="73"/>
  <c r="G117" i="73"/>
  <c r="K38" i="73"/>
  <c r="D115" i="73"/>
  <c r="E115" i="73"/>
  <c r="F115" i="73"/>
  <c r="G115" i="73"/>
  <c r="H115" i="73"/>
  <c r="I115" i="73"/>
  <c r="J115" i="73"/>
  <c r="K115" i="73"/>
  <c r="L115" i="73"/>
  <c r="M115" i="73"/>
  <c r="H113" i="73"/>
  <c r="H111" i="73"/>
  <c r="G111" i="73"/>
  <c r="F111" i="73"/>
  <c r="E111" i="73"/>
  <c r="D111" i="73"/>
  <c r="C111" i="73"/>
  <c r="K36" i="73"/>
  <c r="D110" i="73"/>
  <c r="E110" i="73"/>
  <c r="F110" i="73"/>
  <c r="G110" i="73"/>
  <c r="H110" i="73"/>
  <c r="I110" i="73"/>
  <c r="J110" i="73"/>
  <c r="K110" i="73"/>
  <c r="L110" i="73"/>
  <c r="M110" i="73"/>
  <c r="K35" i="73"/>
  <c r="D108" i="73"/>
  <c r="E108" i="73"/>
  <c r="F108" i="73"/>
  <c r="G108" i="73"/>
  <c r="H108" i="73"/>
  <c r="I108" i="73"/>
  <c r="J108" i="73"/>
  <c r="K108" i="73"/>
  <c r="L108" i="73"/>
  <c r="M108" i="73"/>
  <c r="K34" i="73"/>
  <c r="D106" i="73"/>
  <c r="E106" i="73"/>
  <c r="F106" i="73"/>
  <c r="G106" i="73"/>
  <c r="H106" i="73"/>
  <c r="I106" i="73"/>
  <c r="J106" i="73"/>
  <c r="K106" i="73"/>
  <c r="L106" i="73"/>
  <c r="M106" i="73"/>
  <c r="M102" i="73"/>
  <c r="L102" i="73"/>
  <c r="K102" i="73"/>
  <c r="J102" i="73"/>
  <c r="I102" i="73"/>
  <c r="H102" i="73"/>
  <c r="G102" i="73"/>
  <c r="F102" i="73"/>
  <c r="E102" i="73"/>
  <c r="D102" i="73"/>
  <c r="C102" i="73"/>
  <c r="F101" i="73"/>
  <c r="G101" i="73"/>
  <c r="H101" i="73"/>
  <c r="I101" i="73"/>
  <c r="J101" i="73"/>
  <c r="K101" i="73"/>
  <c r="L101" i="73"/>
  <c r="M101" i="73"/>
  <c r="D89" i="73"/>
  <c r="E89" i="73"/>
  <c r="F89" i="73"/>
  <c r="G89" i="73"/>
  <c r="H89" i="73"/>
  <c r="I89" i="73"/>
  <c r="J89" i="73"/>
  <c r="K89" i="73"/>
  <c r="L89" i="73"/>
  <c r="M89" i="73"/>
  <c r="M87" i="73"/>
  <c r="L87" i="73"/>
  <c r="K87" i="73"/>
  <c r="J87" i="73"/>
  <c r="I87" i="73"/>
  <c r="H87" i="73"/>
  <c r="G87" i="73"/>
  <c r="F87" i="73"/>
  <c r="E87" i="73"/>
  <c r="D87" i="73"/>
  <c r="E85" i="73"/>
  <c r="F85" i="73"/>
  <c r="G85" i="73"/>
  <c r="E83" i="73"/>
  <c r="F83" i="73"/>
  <c r="G83" i="73"/>
  <c r="F81" i="73"/>
  <c r="G81" i="73"/>
  <c r="F79" i="73"/>
  <c r="G79" i="73"/>
  <c r="E77" i="73"/>
  <c r="F77" i="73"/>
  <c r="G77" i="73"/>
  <c r="E69" i="73"/>
  <c r="F69" i="73"/>
  <c r="G69" i="73"/>
  <c r="H69" i="73"/>
  <c r="I69" i="73"/>
  <c r="J69" i="73"/>
  <c r="K69" i="73"/>
  <c r="L69" i="73"/>
  <c r="M69" i="73"/>
  <c r="M67" i="73"/>
  <c r="L67" i="73"/>
  <c r="K67" i="73"/>
  <c r="J67" i="73"/>
  <c r="I67" i="73"/>
  <c r="H67" i="73"/>
  <c r="G67" i="73"/>
  <c r="F67" i="73"/>
  <c r="E67" i="73"/>
  <c r="D67" i="73"/>
  <c r="C67" i="73"/>
  <c r="K10" i="73"/>
  <c r="D66" i="73"/>
  <c r="E66" i="73"/>
  <c r="F66" i="73"/>
  <c r="G66" i="73"/>
  <c r="H66" i="73"/>
  <c r="I66" i="73"/>
  <c r="I54" i="73"/>
  <c r="J54" i="73"/>
  <c r="G54" i="73"/>
  <c r="H54" i="73"/>
  <c r="E54" i="73"/>
  <c r="F54" i="73"/>
  <c r="I48" i="73"/>
  <c r="E48" i="73"/>
  <c r="I53" i="73"/>
  <c r="J53" i="73"/>
  <c r="G48" i="73"/>
  <c r="G53" i="73"/>
  <c r="H53" i="73"/>
  <c r="E53" i="73"/>
  <c r="F53" i="73"/>
  <c r="I52" i="73"/>
  <c r="J52" i="73"/>
  <c r="G52" i="73"/>
  <c r="H52" i="73"/>
  <c r="E52" i="73"/>
  <c r="F52" i="73"/>
  <c r="P49" i="73"/>
  <c r="P48" i="73"/>
  <c r="C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W35" i="73"/>
  <c r="U35" i="73"/>
  <c r="S35" i="73"/>
  <c r="Q34" i="73"/>
  <c r="Z34" i="73"/>
  <c r="W34" i="73"/>
  <c r="U34" i="73"/>
  <c r="S34" i="73"/>
  <c r="Q33" i="73"/>
  <c r="Z33" i="73"/>
  <c r="W33" i="73"/>
  <c r="U33" i="73"/>
  <c r="S33" i="73"/>
  <c r="Q32" i="73"/>
  <c r="Z32" i="73"/>
  <c r="W32" i="73"/>
  <c r="U32" i="73"/>
  <c r="S32" i="73"/>
  <c r="Q31" i="73"/>
  <c r="Z31" i="73"/>
  <c r="W31" i="73"/>
  <c r="U31" i="73"/>
  <c r="S31" i="73"/>
  <c r="Q30" i="73"/>
  <c r="Z30" i="73"/>
  <c r="W30" i="73"/>
  <c r="U30" i="73"/>
  <c r="S30" i="73"/>
  <c r="Q29" i="73"/>
  <c r="Z29" i="73"/>
  <c r="W29" i="73"/>
  <c r="U29" i="73"/>
  <c r="S29" i="73"/>
  <c r="Q28" i="73"/>
  <c r="Z28" i="73"/>
  <c r="W28" i="73"/>
  <c r="U28" i="73"/>
  <c r="S28" i="73"/>
  <c r="Q27" i="73"/>
  <c r="Z27" i="73"/>
  <c r="W27" i="73"/>
  <c r="U27" i="73"/>
  <c r="S27" i="73"/>
  <c r="Q26" i="73"/>
  <c r="Z26" i="73"/>
  <c r="W26" i="73"/>
  <c r="U26" i="73"/>
  <c r="S26" i="73"/>
  <c r="Q25" i="73"/>
  <c r="Z25" i="73"/>
  <c r="W25" i="73"/>
  <c r="U25" i="73"/>
  <c r="S25" i="73"/>
  <c r="Q23" i="73"/>
  <c r="Z23" i="73"/>
  <c r="W23" i="73"/>
  <c r="U23" i="73"/>
  <c r="S23" i="73"/>
  <c r="C23" i="73"/>
  <c r="Q21" i="73"/>
  <c r="Z21" i="73"/>
  <c r="W21" i="73"/>
  <c r="U21" i="73"/>
  <c r="S21" i="73"/>
  <c r="C21" i="73"/>
  <c r="Q19" i="73"/>
  <c r="Z19" i="73"/>
  <c r="W19" i="73"/>
  <c r="U19" i="73"/>
  <c r="S19" i="73"/>
  <c r="C19" i="73"/>
  <c r="Q17" i="73"/>
  <c r="Z17" i="73"/>
  <c r="W17" i="73"/>
  <c r="U17" i="73"/>
  <c r="S17" i="73"/>
  <c r="C17" i="73"/>
  <c r="Q15" i="73"/>
  <c r="Z15" i="73"/>
  <c r="W15" i="73"/>
  <c r="U15" i="73"/>
  <c r="S15" i="73"/>
  <c r="C15" i="73"/>
  <c r="Q14" i="73"/>
  <c r="Z14" i="73"/>
  <c r="W14" i="73"/>
  <c r="U14" i="73"/>
  <c r="S14" i="73"/>
  <c r="Q13" i="73"/>
  <c r="Z13" i="73"/>
  <c r="W13" i="73"/>
  <c r="U13" i="73"/>
  <c r="S13" i="73"/>
  <c r="Q12" i="73"/>
  <c r="Z12" i="73"/>
  <c r="W12" i="73"/>
  <c r="U12" i="73"/>
  <c r="S12" i="73"/>
  <c r="Q11" i="73"/>
  <c r="Z11" i="73"/>
  <c r="W11" i="73"/>
  <c r="U11" i="73"/>
  <c r="S11" i="73"/>
  <c r="Q10" i="73"/>
  <c r="Z10" i="73"/>
  <c r="W10" i="73"/>
  <c r="U10" i="73"/>
  <c r="S10" i="73"/>
  <c r="Q9" i="73"/>
  <c r="Z9" i="73"/>
  <c r="W9" i="73"/>
  <c r="U9" i="73"/>
  <c r="S9" i="73"/>
  <c r="W8" i="73"/>
  <c r="U8" i="73"/>
  <c r="S8" i="73"/>
  <c r="W7" i="73"/>
  <c r="U7" i="73"/>
  <c r="S7" i="73"/>
  <c r="D3" i="73"/>
  <c r="B3" i="73"/>
  <c r="B2" i="73"/>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E85" i="71"/>
  <c r="F85" i="71"/>
  <c r="G85" i="71"/>
  <c r="E83" i="71"/>
  <c r="F83" i="71"/>
  <c r="G83" i="71"/>
  <c r="F81" i="71"/>
  <c r="G81" i="71"/>
  <c r="F79" i="71"/>
  <c r="G79" i="71"/>
  <c r="E77" i="71"/>
  <c r="F77" i="71"/>
  <c r="G77"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B2" i="71"/>
  <c r="I48" i="39"/>
  <c r="G48" i="39"/>
  <c r="I40" i="39"/>
  <c r="G40" i="39"/>
  <c r="I9" i="39"/>
  <c r="G9" i="39"/>
  <c r="G15" i="68"/>
  <c r="G14" i="68"/>
  <c r="G10" i="68"/>
  <c r="G8" i="68"/>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E124" i="39"/>
  <c r="F124" i="39"/>
  <c r="G124" i="39"/>
  <c r="H124" i="39"/>
  <c r="I124" i="39"/>
  <c r="J124" i="39"/>
  <c r="K124" i="39"/>
  <c r="L124" i="39"/>
  <c r="M124" i="39"/>
  <c r="D99" i="39"/>
  <c r="E99"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F6" i="1"/>
  <c r="G6" i="1"/>
  <c r="G8" i="1"/>
  <c r="G9" i="1"/>
  <c r="G11" i="1"/>
  <c r="G13" i="1"/>
  <c r="H9" i="39"/>
  <c r="AB9" i="39"/>
  <c r="J9" i="39"/>
  <c r="AC9" i="39"/>
  <c r="E58" i="39"/>
  <c r="E11" i="6"/>
  <c r="E63" i="39"/>
  <c r="E12" i="6"/>
  <c r="E64" i="39"/>
  <c r="E13" i="6"/>
  <c r="E65" i="39"/>
  <c r="E14" i="6"/>
  <c r="E66" i="39"/>
  <c r="E15" i="6"/>
  <c r="E67" i="39"/>
  <c r="D18"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7" i="1"/>
  <c r="AE6" i="1"/>
  <c r="W18" i="36"/>
  <c r="AC18" i="36"/>
  <c r="AG6" i="1"/>
  <c r="D12" i="11"/>
  <c r="C12" i="11"/>
  <c r="L20" i="6"/>
  <c r="D16" i="43"/>
  <c r="C16" i="43"/>
  <c r="L19" i="6"/>
  <c r="L27" i="6"/>
  <c r="B21" i="55"/>
  <c r="B72" i="63"/>
  <c r="B20" i="55"/>
  <c r="B70" i="63"/>
  <c r="L38" i="9"/>
  <c r="B14" i="66"/>
  <c r="B1" i="66"/>
  <c r="C45" i="9"/>
  <c r="H14" i="66"/>
  <c r="B7" i="66"/>
  <c r="C7" i="66"/>
  <c r="M20" i="6"/>
  <c r="I20" i="6"/>
  <c r="R20" i="6"/>
  <c r="R7" i="1"/>
  <c r="M19" i="6"/>
  <c r="I19" i="6"/>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AJ12" i="46"/>
  <c r="AJ13" i="46"/>
  <c r="H64" i="46"/>
  <c r="H66" i="46"/>
  <c r="D100" i="46"/>
  <c r="F104" i="46"/>
  <c r="F109" i="46"/>
  <c r="M103" i="46"/>
  <c r="H62" i="46"/>
  <c r="AF12" i="46"/>
  <c r="K100" i="46"/>
  <c r="M109" i="46"/>
  <c r="AB12" i="46"/>
  <c r="F102" i="46"/>
  <c r="F105" i="46"/>
  <c r="F103" i="46"/>
  <c r="C101" i="46"/>
  <c r="C109" i="46"/>
  <c r="G101" i="46"/>
  <c r="J101" i="46"/>
  <c r="J107"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AB13" i="46"/>
  <c r="H75" i="46"/>
  <c r="E10" i="46"/>
  <c r="E9" i="46"/>
  <c r="E11" i="46"/>
  <c r="E8" i="46"/>
  <c r="H103" i="46"/>
  <c r="I106" i="46"/>
  <c r="H72" i="46"/>
  <c r="H69" i="46"/>
  <c r="H77" i="46"/>
  <c r="H76" i="46"/>
  <c r="H55" i="46"/>
  <c r="H54" i="46"/>
  <c r="H52" i="46"/>
  <c r="H47" i="46"/>
  <c r="AD12" i="46"/>
  <c r="AH12" i="46"/>
  <c r="AH13" i="46"/>
  <c r="T8" i="59"/>
  <c r="B6" i="52"/>
  <c r="B7" i="52"/>
  <c r="P21" i="46"/>
  <c r="S8" i="59"/>
  <c r="D9" i="59"/>
  <c r="P22" i="46"/>
  <c r="P23" i="46"/>
  <c r="P24" i="46"/>
  <c r="B68" i="40"/>
  <c r="B22" i="52"/>
  <c r="E9" i="52"/>
  <c r="E13" i="52"/>
  <c r="B5" i="52"/>
  <c r="B13" i="52"/>
  <c r="F33" i="44"/>
  <c r="F31" i="15"/>
  <c r="F58" i="15"/>
  <c r="M17" i="15"/>
  <c r="M19" i="44"/>
  <c r="E65" i="40"/>
  <c r="D67" i="40"/>
  <c r="F7" i="21"/>
  <c r="AB7" i="21"/>
  <c r="T48" i="21"/>
  <c r="G48" i="21"/>
  <c r="U7" i="21"/>
  <c r="V8" i="59"/>
  <c r="D8" i="59"/>
  <c r="D107" i="46"/>
  <c r="M106" i="46"/>
  <c r="M104" i="46"/>
  <c r="M102" i="46"/>
  <c r="H107" i="46"/>
  <c r="M105" i="46"/>
  <c r="C5" i="46"/>
  <c r="H105" i="46"/>
  <c r="H109" i="46"/>
  <c r="D103" i="46"/>
  <c r="D102" i="46"/>
  <c r="H104" i="46"/>
  <c r="H106" i="46"/>
  <c r="F18" i="11"/>
  <c r="C18" i="11"/>
  <c r="F24" i="43"/>
  <c r="C26" i="43"/>
  <c r="D24" i="43"/>
  <c r="D22" i="46"/>
  <c r="D5" i="46"/>
  <c r="D105" i="46"/>
  <c r="D109" i="46"/>
  <c r="D104"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c r="C19" i="46"/>
  <c r="G20" i="46"/>
  <c r="C20" i="46"/>
  <c r="C29"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I117" i="46"/>
  <c r="J117" i="46"/>
  <c r="K117" i="46"/>
  <c r="L117" i="46"/>
  <c r="M117" i="46"/>
  <c r="G118" i="46"/>
  <c r="H118" i="46"/>
  <c r="B117" i="46"/>
  <c r="C117" i="46"/>
  <c r="B118" i="46"/>
  <c r="C118" i="46"/>
  <c r="G103" i="46"/>
  <c r="G106" i="46"/>
  <c r="G102" i="46"/>
  <c r="G104" i="46"/>
  <c r="G105" i="46"/>
  <c r="G107" i="46"/>
  <c r="G109" i="46"/>
  <c r="K109" i="46"/>
  <c r="J106" i="46"/>
  <c r="C102" i="46"/>
  <c r="E109" i="46"/>
  <c r="C7" i="46"/>
  <c r="G52" i="21"/>
  <c r="H52" i="21"/>
  <c r="G53" i="21"/>
  <c r="H53" i="21"/>
  <c r="AA7" i="21"/>
  <c r="R48" i="21"/>
  <c r="S7" i="21"/>
  <c r="F65" i="40"/>
  <c r="E67" i="40"/>
  <c r="D7" i="59"/>
  <c r="D6" i="59"/>
  <c r="E41" i="46"/>
  <c r="C41" i="46"/>
  <c r="S5" i="46"/>
  <c r="T5" i="46"/>
  <c r="V5" i="46"/>
  <c r="S2" i="46"/>
  <c r="T2" i="46"/>
  <c r="V2" i="46"/>
  <c r="S3" i="46"/>
  <c r="T3" i="46"/>
  <c r="V3" i="46"/>
  <c r="S7" i="46"/>
  <c r="T7" i="46"/>
  <c r="V7" i="46"/>
  <c r="S6" i="46"/>
  <c r="T6" i="46"/>
  <c r="V6" i="46"/>
  <c r="S4" i="46"/>
  <c r="T4" i="46"/>
  <c r="V4" i="46"/>
  <c r="K16" i="1"/>
  <c r="K27" i="6"/>
  <c r="E63" i="40"/>
  <c r="C22" i="4"/>
  <c r="D25" i="6"/>
  <c r="D10" i="6"/>
  <c r="D13" i="6"/>
  <c r="H24" i="6"/>
  <c r="D24" i="6"/>
  <c r="R24" i="6"/>
  <c r="D6" i="6"/>
  <c r="D23" i="6"/>
  <c r="D14" i="6"/>
  <c r="D28" i="6"/>
  <c r="D8" i="6"/>
  <c r="H23" i="6"/>
  <c r="R23" i="6"/>
  <c r="E45" i="9"/>
  <c r="F45" i="9"/>
  <c r="E68" i="39"/>
  <c r="K38" i="9"/>
  <c r="C14" i="66"/>
  <c r="B2" i="66"/>
  <c r="D26" i="6"/>
  <c r="H26" i="6"/>
  <c r="R26" i="6"/>
  <c r="D11" i="6"/>
  <c r="D12"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F67" i="40"/>
  <c r="G65" i="40"/>
  <c r="E48" i="21"/>
  <c r="R49" i="21"/>
  <c r="F7" i="36"/>
  <c r="S7" i="36"/>
  <c r="M20" i="46"/>
  <c r="D16" i="6"/>
  <c r="D30" i="6"/>
  <c r="D27" i="6"/>
  <c r="D31" i="6"/>
  <c r="I6" i="6"/>
  <c r="M27" i="6"/>
  <c r="D7" i="66"/>
  <c r="D8" i="66"/>
  <c r="A6" i="51"/>
  <c r="B7" i="63"/>
  <c r="A6" i="64"/>
  <c r="A20" i="64"/>
  <c r="A20" i="51"/>
  <c r="B15" i="63"/>
  <c r="N5" i="54"/>
  <c r="B43" i="63"/>
  <c r="M16" i="1"/>
  <c r="O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T15" i="46"/>
  <c r="V15" i="46"/>
  <c r="T9" i="46"/>
  <c r="V9" i="46"/>
  <c r="C38" i="46"/>
  <c r="C36" i="46"/>
  <c r="C37" i="46"/>
  <c r="G34" i="46"/>
  <c r="I34" i="46"/>
  <c r="T10" i="46"/>
  <c r="V10" i="46"/>
  <c r="T13" i="46"/>
  <c r="V13" i="46"/>
  <c r="T12" i="46"/>
  <c r="V12" i="46"/>
  <c r="T14" i="46"/>
  <c r="V14" i="46"/>
  <c r="T16" i="46"/>
  <c r="V16" i="46"/>
  <c r="C35" i="46"/>
  <c r="G35" i="46"/>
  <c r="I35" i="46"/>
  <c r="C39" i="46"/>
  <c r="C33" i="46"/>
  <c r="E35" i="46"/>
  <c r="I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D77" i="9"/>
  <c r="N75" i="9"/>
  <c r="H67" i="40"/>
  <c r="I65" i="40"/>
  <c r="G39" i="46"/>
  <c r="I39" i="46"/>
  <c r="E39" i="46"/>
  <c r="E38" i="46"/>
  <c r="G38" i="46"/>
  <c r="I38" i="46"/>
  <c r="E33" i="46"/>
  <c r="G33" i="46"/>
  <c r="I33" i="46"/>
  <c r="G37" i="46"/>
  <c r="I37" i="46"/>
  <c r="E37" i="46"/>
  <c r="G36" i="46"/>
  <c r="I36" i="46"/>
  <c r="E36" i="4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B3" i="39"/>
  <c r="B4" i="39"/>
  <c r="E15" i="66"/>
  <c r="F15" i="66"/>
  <c r="F6" i="15"/>
  <c r="N4" i="65"/>
  <c r="F16" i="15"/>
  <c r="F26" i="15"/>
  <c r="L48" i="15"/>
  <c r="F6" i="75"/>
  <c r="F35" i="75"/>
  <c r="F36" i="75"/>
  <c r="F37" i="75"/>
  <c r="F42" i="75"/>
  <c r="M8" i="75"/>
  <c r="F8" i="15"/>
  <c r="F35" i="15"/>
  <c r="F13" i="15"/>
  <c r="F38" i="15"/>
  <c r="M8" i="15"/>
  <c r="F8" i="75"/>
  <c r="F16" i="75"/>
  <c r="F40" i="75"/>
  <c r="L47" i="75"/>
  <c r="M28" i="75"/>
  <c r="M21" i="75"/>
  <c r="J15" i="75"/>
  <c r="M24" i="75"/>
  <c r="B8" i="67"/>
  <c r="M24" i="15"/>
  <c r="M25" i="44"/>
  <c r="F10" i="67"/>
  <c r="F28" i="44"/>
  <c r="F18" i="44"/>
  <c r="E12" i="67"/>
  <c r="B13" i="67"/>
  <c r="F14" i="67"/>
  <c r="M11" i="44"/>
  <c r="M30" i="44"/>
  <c r="F10" i="44"/>
  <c r="F11" i="44"/>
  <c r="M28" i="15"/>
  <c r="M26" i="44"/>
  <c r="M31" i="44"/>
  <c r="J6" i="65"/>
  <c r="I3" i="65"/>
  <c r="M26" i="75"/>
  <c r="D2" i="71"/>
  <c r="B9" i="67"/>
  <c r="F39" i="44"/>
  <c r="F15" i="44"/>
  <c r="M28" i="44"/>
  <c r="F37" i="44"/>
  <c r="F46" i="44"/>
  <c r="N3" i="65"/>
  <c r="M23" i="44"/>
  <c r="M10" i="44"/>
  <c r="E8" i="67"/>
  <c r="F43" i="44"/>
  <c r="E11" i="67"/>
  <c r="E10" i="67"/>
  <c r="N6" i="65"/>
  <c r="F45" i="44"/>
  <c r="M27" i="15"/>
  <c r="J7" i="65"/>
  <c r="J4" i="65"/>
  <c r="D19" i="9"/>
  <c r="D21" i="9"/>
  <c r="J3" i="65"/>
  <c r="F9" i="15"/>
  <c r="C14" i="15"/>
  <c r="F43" i="15"/>
  <c r="F40" i="15"/>
  <c r="M6" i="15"/>
  <c r="F9" i="75"/>
  <c r="F26" i="75"/>
  <c r="F13" i="75"/>
  <c r="F38" i="75"/>
  <c r="L48" i="75"/>
  <c r="M9" i="75"/>
  <c r="F7" i="15"/>
  <c r="I5" i="65"/>
  <c r="E2" i="65"/>
  <c r="F36" i="15"/>
  <c r="F37" i="15"/>
  <c r="F42" i="15"/>
  <c r="M9" i="15"/>
  <c r="F7" i="75"/>
  <c r="F43" i="75"/>
  <c r="M6" i="75"/>
  <c r="J36" i="75"/>
  <c r="M27" i="75"/>
  <c r="M22" i="75"/>
  <c r="M23" i="75"/>
  <c r="M24" i="44"/>
  <c r="C19" i="44"/>
  <c r="F12" i="67"/>
  <c r="E13" i="67"/>
  <c r="M23" i="15"/>
  <c r="J15" i="15"/>
  <c r="F9" i="67"/>
  <c r="M29" i="15"/>
  <c r="N5" i="65"/>
  <c r="E14" i="67"/>
  <c r="M8" i="44"/>
  <c r="M21" i="15"/>
  <c r="B10" i="67"/>
  <c r="M22" i="15"/>
  <c r="J17" i="44"/>
  <c r="F8" i="44"/>
  <c r="I6" i="65"/>
  <c r="I4" i="65"/>
  <c r="M29" i="75"/>
  <c r="D2" i="73"/>
  <c r="M26" i="15"/>
  <c r="L48" i="44"/>
  <c r="B14" i="67"/>
  <c r="L47" i="15"/>
  <c r="F8" i="67"/>
  <c r="F13" i="67"/>
  <c r="L49" i="44"/>
  <c r="F40" i="44"/>
  <c r="F38" i="44"/>
  <c r="F11" i="67"/>
  <c r="J36" i="15"/>
  <c r="N7" i="65"/>
  <c r="M29" i="44"/>
  <c r="B12" i="67"/>
  <c r="C16" i="44"/>
  <c r="J5" i="65"/>
  <c r="F9" i="44"/>
  <c r="E9" i="67"/>
  <c r="B11" i="67"/>
  <c r="I7" i="65"/>
  <c r="D20" i="9"/>
  <c r="P16" i="1"/>
  <c r="C13" i="12"/>
  <c r="C17" i="12"/>
  <c r="E21" i="52"/>
  <c r="B16" i="52"/>
  <c r="E8" i="52"/>
  <c r="E11" i="52"/>
  <c r="B11" i="52"/>
  <c r="E6" i="52"/>
  <c r="J105" i="46"/>
  <c r="J109" i="46"/>
  <c r="C105" i="46"/>
  <c r="C107" i="46"/>
  <c r="J104" i="46"/>
  <c r="C106" i="46"/>
  <c r="C103" i="46"/>
  <c r="C104" i="46"/>
  <c r="J103" i="46"/>
  <c r="J102" i="46"/>
  <c r="C30" i="46"/>
  <c r="E30" i="46"/>
  <c r="C27" i="46"/>
  <c r="E29" i="46"/>
  <c r="C26" i="46"/>
  <c r="G115" i="46"/>
  <c r="H115" i="46"/>
  <c r="I5" i="6"/>
  <c r="R19" i="6"/>
  <c r="S19" i="6"/>
  <c r="S27" i="6"/>
  <c r="H25" i="6"/>
  <c r="R25" i="6"/>
  <c r="E10" i="52"/>
  <c r="B8" i="52"/>
  <c r="B9" i="52"/>
  <c r="E16" i="52"/>
  <c r="B14" i="52"/>
  <c r="E15" i="52"/>
  <c r="E17" i="52"/>
  <c r="B4" i="52"/>
  <c r="B10" i="52"/>
  <c r="E22" i="52"/>
  <c r="E5" i="52"/>
  <c r="E4" i="52"/>
  <c r="E7" i="52"/>
  <c r="E14" i="52"/>
  <c r="C14" i="43"/>
  <c r="C18" i="43"/>
  <c r="C19" i="43"/>
  <c r="C25" i="43"/>
  <c r="C24" i="43"/>
  <c r="J1" i="65"/>
  <c r="L44" i="9"/>
  <c r="C17" i="44"/>
  <c r="C20" i="44"/>
  <c r="Q73" i="44"/>
  <c r="Q72" i="15"/>
  <c r="M9" i="44"/>
  <c r="J22" i="44"/>
  <c r="J54" i="44"/>
  <c r="J58" i="44"/>
  <c r="J56" i="44"/>
  <c r="J59" i="44"/>
  <c r="Q52" i="44"/>
  <c r="L57" i="44"/>
  <c r="I55" i="44"/>
  <c r="J60" i="44"/>
  <c r="J61" i="44"/>
  <c r="Q50" i="44"/>
  <c r="C36" i="44"/>
  <c r="L59" i="15"/>
  <c r="L58" i="15"/>
  <c r="L60" i="44"/>
  <c r="L59" i="44"/>
  <c r="E20" i="46"/>
  <c r="C8" i="44"/>
  <c r="J20" i="15"/>
  <c r="J8" i="44"/>
  <c r="C29" i="44"/>
  <c r="J20" i="75"/>
  <c r="Q72" i="75"/>
  <c r="L59" i="75"/>
  <c r="L58" i="75"/>
  <c r="F67" i="75"/>
  <c r="F70" i="75"/>
  <c r="M7" i="75"/>
  <c r="J6" i="75"/>
  <c r="F49" i="75"/>
  <c r="F50" i="75"/>
  <c r="F65" i="15"/>
  <c r="F64" i="15"/>
  <c r="F63" i="15"/>
  <c r="B40" i="1"/>
  <c r="C34" i="15"/>
  <c r="F62" i="15"/>
  <c r="C61" i="15"/>
  <c r="M7" i="15"/>
  <c r="F49" i="15"/>
  <c r="F50" i="15"/>
  <c r="J53" i="75"/>
  <c r="J57" i="75"/>
  <c r="J55" i="75"/>
  <c r="J58" i="75"/>
  <c r="Q51" i="75"/>
  <c r="L56" i="75"/>
  <c r="I54" i="75"/>
  <c r="L60" i="75"/>
  <c r="L57" i="75"/>
  <c r="F65" i="75"/>
  <c r="F64" i="75"/>
  <c r="F63" i="75"/>
  <c r="C27" i="75"/>
  <c r="C34" i="75"/>
  <c r="F62" i="75"/>
  <c r="C61" i="75"/>
  <c r="C6" i="75"/>
  <c r="J6" i="15"/>
  <c r="J53" i="15"/>
  <c r="J57" i="15"/>
  <c r="J55" i="15"/>
  <c r="J58" i="15"/>
  <c r="Q51" i="15"/>
  <c r="L56" i="15"/>
  <c r="L60" i="15"/>
  <c r="I54" i="15"/>
  <c r="L57" i="15"/>
  <c r="F67" i="15"/>
  <c r="C27" i="15"/>
  <c r="F70" i="15"/>
  <c r="C18" i="15"/>
  <c r="C15" i="15"/>
  <c r="C4" i="65"/>
  <c r="B39" i="1"/>
  <c r="C6" i="15"/>
  <c r="C20" i="12"/>
  <c r="C14" i="75"/>
  <c r="F7" i="67"/>
  <c r="C17" i="75"/>
  <c r="C17" i="15"/>
  <c r="E7" i="67"/>
  <c r="C18" i="44"/>
  <c r="C16" i="75"/>
  <c r="C16" i="15"/>
  <c r="E3" i="65"/>
  <c r="C14" i="12"/>
  <c r="C18" i="12"/>
  <c r="D113" i="46"/>
  <c r="E3" i="67"/>
  <c r="B2" i="46"/>
  <c r="C18" i="75"/>
  <c r="C15" i="75"/>
  <c r="T16" i="1"/>
  <c r="H27" i="6"/>
  <c r="R6" i="1"/>
  <c r="R16" i="1"/>
  <c r="R27" i="6"/>
  <c r="C21" i="44"/>
  <c r="E4" i="67"/>
  <c r="F17" i="11"/>
  <c r="C17" i="11"/>
  <c r="C19" i="11"/>
  <c r="C19" i="15"/>
  <c r="J18" i="75"/>
  <c r="F11" i="75"/>
  <c r="M11" i="75"/>
  <c r="J10" i="75"/>
  <c r="J5" i="75"/>
  <c r="F11" i="15"/>
  <c r="C52" i="15"/>
  <c r="M11" i="15"/>
  <c r="J10" i="15"/>
  <c r="J5" i="15"/>
  <c r="F13" i="44"/>
  <c r="C12" i="44"/>
  <c r="M13" i="44"/>
  <c r="J12" i="44"/>
  <c r="J7" i="44"/>
  <c r="Q67" i="15"/>
  <c r="Q58" i="15"/>
  <c r="J18" i="15"/>
  <c r="Q67" i="75"/>
  <c r="Q58" i="75"/>
  <c r="C48" i="15"/>
  <c r="Q62" i="75"/>
  <c r="Q75" i="75"/>
  <c r="P28" i="46"/>
  <c r="O28" i="46"/>
  <c r="M28" i="46"/>
  <c r="N28" i="46"/>
  <c r="Q76" i="44"/>
  <c r="Q63" i="44"/>
  <c r="Q62" i="15"/>
  <c r="Q75" i="15"/>
  <c r="L47" i="44"/>
  <c r="C32" i="15"/>
  <c r="C33" i="15"/>
  <c r="F1" i="15"/>
  <c r="Q53" i="15"/>
  <c r="C32" i="75"/>
  <c r="C33" i="75"/>
  <c r="F1" i="75"/>
  <c r="Q53" i="75"/>
  <c r="F24" i="15"/>
  <c r="C24" i="15"/>
  <c r="F24" i="75"/>
  <c r="C24" i="75"/>
  <c r="F26" i="12"/>
  <c r="C27" i="12"/>
  <c r="D26" i="12"/>
  <c r="C32" i="12"/>
  <c r="D30" i="12"/>
  <c r="F21" i="43"/>
  <c r="F26" i="44"/>
  <c r="C26" i="44"/>
  <c r="C48" i="75"/>
  <c r="Q74" i="75"/>
  <c r="Q61" i="75"/>
  <c r="J20" i="44"/>
  <c r="C34" i="44"/>
  <c r="C7" i="44"/>
  <c r="Q62" i="44"/>
  <c r="Q75" i="44"/>
  <c r="Q61" i="15"/>
  <c r="Q74" i="15"/>
  <c r="Q54" i="44"/>
  <c r="F1" i="44"/>
  <c r="B7" i="67"/>
  <c r="AE9" i="1"/>
  <c r="AE8" i="1"/>
  <c r="C109" i="9"/>
  <c r="C110" i="9"/>
  <c r="C23" i="12"/>
  <c r="C19" i="75"/>
  <c r="C47" i="15"/>
  <c r="C59" i="15"/>
  <c r="B2" i="67"/>
  <c r="B4" i="46"/>
  <c r="D4" i="46"/>
  <c r="B3" i="46"/>
  <c r="C10" i="15"/>
  <c r="C5" i="15"/>
  <c r="C38" i="15"/>
  <c r="J26" i="75"/>
  <c r="J24" i="75"/>
  <c r="C31" i="75"/>
  <c r="C31" i="15"/>
  <c r="C20" i="11"/>
  <c r="C21" i="11"/>
  <c r="C22" i="11"/>
  <c r="C23" i="11"/>
  <c r="B2" i="11"/>
  <c r="C22" i="44"/>
  <c r="C28" i="44"/>
  <c r="C40" i="44"/>
  <c r="J28" i="44"/>
  <c r="J31" i="44"/>
  <c r="J26" i="44"/>
  <c r="C23" i="43"/>
  <c r="D21" i="43"/>
  <c r="C22" i="43"/>
  <c r="C21" i="43"/>
  <c r="C60" i="15"/>
  <c r="J26" i="15"/>
  <c r="J24" i="15"/>
  <c r="C10" i="75"/>
  <c r="C5" i="75"/>
  <c r="C52" i="75"/>
  <c r="C47" i="75"/>
  <c r="C20" i="15"/>
  <c r="C23" i="15"/>
  <c r="C20" i="75"/>
  <c r="C23" i="75"/>
  <c r="F41" i="75"/>
  <c r="L52" i="44"/>
  <c r="F41" i="15"/>
  <c r="F68" i="15"/>
  <c r="F68" i="75"/>
  <c r="J29" i="15"/>
  <c r="J29" i="75"/>
  <c r="C65" i="15"/>
  <c r="B4" i="67"/>
  <c r="B3" i="67"/>
  <c r="C25" i="44"/>
  <c r="C31" i="44"/>
  <c r="C26" i="75"/>
  <c r="C29" i="75"/>
  <c r="C58" i="15"/>
  <c r="Q69" i="44"/>
  <c r="L58" i="44"/>
  <c r="L61" i="44"/>
  <c r="C59" i="75"/>
  <c r="C60" i="75"/>
  <c r="C65" i="75"/>
  <c r="Q49" i="44"/>
  <c r="Q55" i="44"/>
  <c r="Q67" i="44"/>
  <c r="Q58" i="44"/>
  <c r="B3" i="11"/>
  <c r="B5" i="11"/>
  <c r="B4" i="11"/>
  <c r="C26" i="15"/>
  <c r="C29" i="15"/>
  <c r="C38" i="75"/>
  <c r="C28" i="43"/>
  <c r="C30" i="43"/>
  <c r="C32" i="43"/>
  <c r="B2" i="43"/>
  <c r="C58" i="75"/>
  <c r="B5" i="43"/>
  <c r="B4" i="43"/>
  <c r="B3" i="43"/>
  <c r="C36" i="15"/>
  <c r="C13" i="15"/>
  <c r="J19" i="15"/>
  <c r="J17" i="15"/>
  <c r="Q50" i="15"/>
  <c r="J14" i="15"/>
  <c r="C56" i="15"/>
  <c r="C63" i="15"/>
  <c r="J59" i="15"/>
  <c r="J60" i="15"/>
  <c r="Q49" i="15"/>
  <c r="C35" i="44"/>
  <c r="C33" i="44"/>
  <c r="J21" i="44"/>
  <c r="J19" i="44"/>
  <c r="C38" i="44"/>
  <c r="J16" i="44"/>
  <c r="Q51" i="44"/>
  <c r="C15" i="44"/>
  <c r="Q68" i="44"/>
  <c r="Q77" i="44"/>
  <c r="Q59" i="44"/>
  <c r="C36" i="75"/>
  <c r="C13" i="75"/>
  <c r="C56" i="75"/>
  <c r="C63" i="75"/>
  <c r="Q50" i="75"/>
  <c r="J19" i="75"/>
  <c r="J17" i="75"/>
  <c r="J14" i="75"/>
  <c r="J59" i="75"/>
  <c r="J60" i="75"/>
  <c r="Q49" i="75"/>
  <c r="Q64" i="44"/>
  <c r="J22" i="75"/>
  <c r="J13" i="75"/>
  <c r="J23" i="75"/>
  <c r="C37" i="75"/>
  <c r="Q71" i="75"/>
  <c r="C55" i="75"/>
  <c r="C64" i="75"/>
  <c r="C57" i="75"/>
  <c r="C66" i="75"/>
  <c r="C67" i="75"/>
  <c r="J35" i="75"/>
  <c r="C37" i="15"/>
  <c r="C30" i="15"/>
  <c r="C39" i="15"/>
  <c r="J35" i="15"/>
  <c r="Q71" i="15"/>
  <c r="C55" i="15"/>
  <c r="C64" i="15"/>
  <c r="C57" i="15"/>
  <c r="C66" i="15"/>
  <c r="C67" i="15"/>
  <c r="C30" i="75"/>
  <c r="C39" i="75"/>
  <c r="Q72" i="44"/>
  <c r="C43" i="44"/>
  <c r="C39" i="44"/>
  <c r="C32" i="44"/>
  <c r="C42" i="44"/>
  <c r="J15" i="44"/>
  <c r="J25" i="44"/>
  <c r="J24" i="44"/>
  <c r="J22" i="15"/>
  <c r="J13" i="15"/>
  <c r="J23" i="15"/>
  <c r="J18" i="44"/>
  <c r="J27" i="44"/>
  <c r="J16" i="15"/>
  <c r="J25" i="15"/>
  <c r="J16" i="75"/>
  <c r="J25" i="75"/>
  <c r="C70" i="15"/>
  <c r="C40" i="75"/>
  <c r="C46" i="75"/>
  <c r="Q70" i="75"/>
  <c r="Q69" i="75"/>
  <c r="J39" i="75"/>
  <c r="J40" i="75"/>
  <c r="Q71" i="44"/>
  <c r="Q70" i="44"/>
  <c r="C44" i="44"/>
  <c r="C45" i="44"/>
  <c r="B2" i="44"/>
  <c r="J39" i="15"/>
  <c r="J40" i="15"/>
  <c r="C70" i="75"/>
  <c r="C40" i="15"/>
  <c r="Q70" i="15"/>
  <c r="Q69" i="15"/>
  <c r="L51" i="15"/>
  <c r="L51" i="75"/>
  <c r="Q68" i="75"/>
  <c r="Q68" i="15"/>
  <c r="B2" i="75"/>
  <c r="B3" i="75"/>
  <c r="F8" i="12"/>
  <c r="F10" i="12"/>
  <c r="Q66" i="75"/>
  <c r="Q76" i="75"/>
  <c r="C43" i="75"/>
  <c r="Q57" i="75"/>
  <c r="Q63" i="75"/>
  <c r="Q48" i="75"/>
  <c r="Q54" i="75"/>
  <c r="J42" i="75"/>
  <c r="J43" i="75"/>
  <c r="B2" i="15"/>
  <c r="B3" i="15"/>
  <c r="C6" i="12"/>
  <c r="C43" i="15"/>
  <c r="Q66" i="15"/>
  <c r="Q76" i="15"/>
  <c r="Q48" i="15"/>
  <c r="Q54" i="15"/>
  <c r="Q57" i="15"/>
  <c r="Q63" i="15"/>
  <c r="J42" i="15"/>
  <c r="J43" i="15"/>
  <c r="B3" i="44"/>
  <c r="B4" i="44"/>
  <c r="B5" i="44"/>
  <c r="C46" i="15"/>
  <c r="C24" i="12"/>
  <c r="C29" i="12"/>
  <c r="C28" i="12"/>
  <c r="C26" i="12"/>
  <c r="C31" i="12"/>
  <c r="C30" i="12"/>
  <c r="C35" i="12"/>
  <c r="C33" i="12"/>
  <c r="C36" i="12"/>
  <c r="B2" i="12"/>
  <c r="B3" i="12"/>
  <c r="C20" i="9"/>
  <c r="C19" i="9"/>
  <c r="B4" i="12"/>
  <c r="B5" i="12"/>
  <c r="L43" i="9"/>
  <c r="G19" i="9"/>
  <c r="C32" i="9"/>
  <c r="D22" i="9"/>
  <c r="G20" i="9"/>
  <c r="C21" i="9"/>
  <c r="N43" i="9"/>
  <c r="G21" i="9"/>
  <c r="G22" i="9"/>
  <c r="C33" i="9"/>
  <c r="C34" i="9"/>
  <c r="C35" i="9"/>
  <c r="F42" i="9"/>
  <c r="C42" i="9"/>
  <c r="O38" i="9"/>
  <c r="O43" i="9"/>
  <c r="K26" i="9"/>
  <c r="K25" i="9"/>
  <c r="N38" i="9"/>
  <c r="K28" i="9"/>
  <c r="D42" i="9"/>
  <c r="Q5" i="54"/>
  <c r="B47" i="63"/>
  <c r="C44" i="9"/>
  <c r="D63" i="9"/>
  <c r="R5" i="54"/>
  <c r="B48" i="63"/>
  <c r="N68" i="9"/>
  <c r="D14" i="66"/>
  <c r="M38" i="9"/>
  <c r="K27" i="9"/>
  <c r="E42" i="9"/>
  <c r="P5" i="54"/>
  <c r="B46" i="63"/>
  <c r="G15" i="66"/>
  <c r="D73" i="9"/>
  <c r="N73" i="9"/>
  <c r="C103" i="9"/>
  <c r="C96" i="9"/>
  <c r="C91" i="9"/>
  <c r="D70" i="9"/>
  <c r="D71" i="9"/>
  <c r="D66" i="9"/>
  <c r="N72" i="9"/>
  <c r="C111" i="9"/>
  <c r="C104" i="9"/>
  <c r="C90" i="9"/>
  <c r="C97" i="9"/>
  <c r="C82" i="9"/>
  <c r="C81" i="9"/>
  <c r="C85" i="9"/>
  <c r="C86" i="9"/>
  <c r="D72" i="9"/>
  <c r="E14" i="66"/>
  <c r="F14" i="66"/>
  <c r="B5" i="66"/>
  <c r="G14" i="66"/>
  <c r="E44" i="9"/>
  <c r="O39" i="9"/>
  <c r="N69" i="9"/>
  <c r="F44" i="9"/>
  <c r="D44" i="9"/>
  <c r="B6" i="66"/>
  <c r="C6" i="66"/>
  <c r="R6" i="54"/>
  <c r="B50" i="63"/>
  <c r="K29" i="9"/>
  <c r="K30" i="9"/>
  <c r="C113" i="9"/>
  <c r="M85" i="9"/>
  <c r="N85" i="9"/>
  <c r="M88" i="9"/>
  <c r="N88" i="9"/>
  <c r="M83" i="9"/>
  <c r="N83" i="9"/>
  <c r="M84" i="9"/>
  <c r="N84" i="9"/>
  <c r="M86" i="9"/>
  <c r="N86" i="9"/>
  <c r="M87" i="9"/>
  <c r="N87" i="9"/>
  <c r="C5" i="66"/>
  <c r="D5" i="66"/>
  <c r="C98" i="9"/>
  <c r="E98" i="9"/>
  <c r="E99" i="9"/>
  <c r="D6" i="66"/>
  <c r="C99" i="9"/>
  <c r="N89" i="9"/>
  <c r="O89" i="9"/>
  <c r="C114" i="9"/>
  <c r="E114" i="9"/>
  <c r="E115"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<sst xmlns="http://schemas.openxmlformats.org/spreadsheetml/2006/main" count="8544" uniqueCount="3547">
  <si>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</si>
  <si>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</si>
  <si>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</si>
  <si>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</si>
  <si>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</si>
  <si>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</si>
  <si>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</si>
  <si>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</si>
  <si>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</si>
  <si>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</si>
  <si>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</si>
  <si>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</si>
  <si>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</si>
  <si>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</si>
  <si>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</si>
  <si>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</si>
  <si>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</si>
  <si>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</si>
  <si>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</si>
  <si>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</si>
  <si>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</si>
  <si>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</si>
  <si>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</si>
  <si>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</si>
  <si>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</si>
  <si>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</si>
  <si>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</si>
  <si>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</si>
  <si>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</si>
  <si>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</si>
  <si>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</si>
  <si>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</si>
  <si>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</si>
  <si>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</si>
  <si>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</si>
  <si>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</si>
  <si>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</si>
  <si>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</si>
  <si>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</si>
  <si>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</si>
  <si>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</si>
  <si>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</si>
  <si>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</si>
  <si>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</si>
  <si>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</si>
  <si>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</si>
  <si>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</si>
  <si>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</si>
  <si>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</si>
  <si>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</si>
  <si>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</si>
  <si>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</si>
  <si>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</si>
  <si>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</si>
  <si>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</si>
  <si>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</si>
  <si>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</si>
  <si>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</si>
  <si>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</si>
  <si>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</si>
  <si>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</si>
  <si>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</si>
  <si>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</si>
  <si>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</si>
  <si>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</si>
  <si>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</si>
  <si>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</si>
  <si>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</si>
  <si>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</si>
  <si>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</si>
  <si>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</si>
  <si>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</si>
  <si>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</si>
  <si>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</si>
  <si>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</si>
  <si>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</si>
  <si>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</si>
  <si>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</si>
  <si>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</si>
  <si>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</si>
  <si>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</si>
  <si>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</si>
  <si>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</si>
  <si>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</si>
  <si>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</si>
  <si>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</si>
  <si>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</si>
  <si>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</si>
  <si>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</si>
  <si>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</si>
  <si>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</si>
  <si>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</si>
  <si>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</si>
  <si>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</si>
  <si>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</si>
  <si>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</si>
  <si>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</si>
  <si>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</si>
  <si>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</si>
  <si>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</si>
  <si>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</si>
  <si>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</si>
  <si>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</si>
  <si>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</si>
  <si>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</si>
  <si>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</si>
  <si>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</si>
  <si>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</si>
  <si>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</si>
  <si>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</si>
  <si>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</si>
  <si>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</si>
  <si>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</si>
  <si>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</si>
  <si>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</si>
  <si>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</si>
  <si>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</si>
  <si>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</si>
  <si>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</si>
  <si>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</si>
  <si>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</si>
  <si>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</si>
  <si>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</si>
  <si>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</si>
  <si>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</si>
  <si>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</si>
  <si>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</si>
  <si>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</si>
  <si>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</si>
  <si>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</si>
  <si>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</si>
  <si>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</si>
  <si>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</si>
  <si>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</si>
  <si>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</si>
  <si>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</si>
  <si>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</si>
  <si>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</si>
  <si>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</si>
  <si>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</si>
  <si>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</si>
  <si>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</si>
  <si>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</si>
  <si>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</si>
  <si>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</si>
  <si>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</si>
  <si>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</si>
  <si>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</si>
  <si>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</si>
  <si>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</si>
  <si>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</si>
  <si>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</si>
  <si>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</si>
  <si>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</si>
  <si>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</si>
  <si>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</si>
  <si>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</si>
  <si>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</si>
  <si>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</si>
  <si>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</si>
  <si>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</si>
  <si>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</si>
  <si>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</si>
  <si>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</si>
  <si>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</si>
  <si>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</si>
  <si>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</si>
  <si>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</si>
  <si>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</si>
  <si>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</si>
  <si>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</si>
  <si>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</si>
  <si>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</si>
  <si>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</si>
  <si>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</si>
  <si>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</si>
  <si>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</si>
  <si>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</si>
  <si>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</si>
  <si>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</si>
  <si>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</si>
  <si>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</si>
  <si>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</si>
  <si>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</si>
  <si>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</si>
  <si>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</si>
  <si>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</si>
  <si>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</si>
  <si>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</si>
  <si>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</si>
  <si>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</si>
  <si>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</si>
  <si>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</si>
  <si>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</si>
  <si>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</si>
  <si>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</si>
  <si>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</si>
  <si>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</si>
  <si>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</si>
  <si>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</si>
  <si>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</si>
  <si>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</si>
  <si>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</si>
  <si>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</si>
  <si>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</si>
  <si>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</si>
  <si>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</si>
  <si>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</si>
  <si>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</si>
  <si>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</si>
  <si>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</si>
  <si>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</si>
  <si>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</si>
  <si>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</si>
  <si>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</si>
  <si>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</si>
  <si>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</si>
  <si>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</si>
  <si>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</si>
  <si>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</si>
  <si>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</si>
  <si>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</si>
  <si>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</si>
  <si>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</si>
  <si>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</si>
  <si>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</si>
  <si>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</si>
  <si>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</si>
  <si>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</si>
  <si>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</si>
  <si>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</si>
  <si>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</si>
  <si>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</si>
  <si>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</si>
  <si>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</si>
  <si>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</si>
  <si>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</si>
  <si>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</si>
  <si>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</si>
  <si>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</si>
  <si>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</si>
  <si>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</si>
  <si>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</si>
  <si>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</si>
  <si>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</si>
  <si>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</si>
  <si>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</si>
  <si>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</si>
  <si>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</si>
  <si>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</si>
  <si>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</si>
  <si>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</si>
  <si>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</si>
  <si>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</si>
  <si>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</si>
  <si>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</si>
  <si>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</si>
  <si>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</si>
  <si>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</si>
  <si>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</si>
  <si>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</si>
  <si>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</si>
  <si>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</si>
  <si>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</si>
  <si>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</si>
  <si>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</si>
  <si>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</si>
  <si>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</si>
  <si>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</si>
  <si>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</si>
  <si>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</si>
  <si>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</si>
  <si>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</si>
  <si>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</si>
  <si>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</si>
  <si>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</si>
  <si>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</si>
  <si>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</si>
  <si>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</si>
  <si>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</si>
  <si>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</si>
  <si>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</si>
  <si>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</si>
  <si>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</si>
  <si>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</si>
  <si>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</si>
  <si>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</si>
  <si>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</si>
  <si>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</si>
  <si>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</si>
  <si>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</si>
  <si>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</si>
  <si>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</si>
  <si>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</si>
  <si>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</si>
  <si>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</si>
  <si>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</si>
  <si>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</si>
  <si>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</si>
  <si>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</si>
  <si>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</si>
  <si>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</si>
  <si>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</si>
  <si>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</si>
  <si>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</si>
  <si>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</si>
  <si>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</si>
  <si>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</si>
  <si>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</si>
  <si>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</si>
  <si>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</si>
  <si>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</si>
  <si>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</si>
  <si>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</si>
  <si>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</si>
  <si>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</si>
  <si>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</si>
  <si>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</si>
  <si>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</si>
  <si>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</si>
  <si>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</si>
  <si>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</si>
  <si>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</si>
  <si>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</si>
  <si>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</si>
  <si>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</si>
  <si>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</si>
  <si>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</si>
  <si>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</si>
  <si>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</si>
  <si>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</si>
  <si>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</si>
  <si>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</si>
  <si>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</si>
  <si>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</si>
  <si>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</si>
  <si>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</si>
  <si>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</si>
  <si>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</si>
  <si>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</si>
  <si>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</si>
  <si>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</si>
  <si>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</si>
  <si>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</si>
  <si>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</si>
  <si>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</si>
  <si>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</si>
  <si>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</si>
  <si>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</si>
  <si>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</si>
  <si>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</si>
  <si>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</si>
  <si>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</si>
  <si>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</si>
  <si>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</si>
  <si>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</si>
  <si>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</si>
  <si>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</si>
  <si>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</si>
  <si>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</si>
  <si>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</si>
  <si>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</si>
  <si>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</si>
  <si>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</si>
  <si>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</si>
  <si>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</si>
  <si>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</si>
  <si>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</si>
  <si>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</si>
  <si>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</si>
  <si>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</si>
  <si>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</si>
  <si>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</si>
  <si>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</si>
  <si>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</si>
  <si>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</si>
  <si>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</si>
  <si>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</si>
  <si>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</si>
  <si>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</si>
  <si>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</si>
  <si>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</si>
  <si>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</si>
  <si>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</si>
  <si>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</si>
  <si>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</si>
  <si>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</si>
  <si>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</si>
  <si>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</si>
  <si>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</si>
  <si>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</si>
  <si>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</si>
  <si>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</si>
  <si>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</si>
  <si>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</si>
  <si>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</si>
  <si>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</si>
  <si>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</si>
  <si>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</si>
  <si>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</si>
  <si>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</si>
  <si>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</si>
  <si>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</si>
  <si>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</si>
  <si>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</si>
  <si>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</si>
  <si>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</si>
  <si>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</si>
  <si>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</si>
  <si>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</si>
  <si>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</si>
  <si>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</si>
  <si>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</si>
  <si>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</si>
  <si>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</si>
  <si>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</si>
  <si>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</si>
  <si>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</si>
  <si>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</si>
  <si>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</si>
  <si>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</si>
  <si>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</si>
  <si>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</si>
  <si>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</si>
  <si>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</si>
  <si>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</si>
  <si>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</si>
  <si>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</si>
  <si>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</si>
  <si>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</si>
  <si>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</si>
  <si>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</si>
  <si>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</si>
  <si>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</si>
  <si>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</si>
  <si>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</si>
  <si>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</si>
  <si>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</si>
  <si>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</si>
  <si>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</si>
  <si>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</si>
  <si>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</si>
  <si>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</si>
  <si>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</si>
  <si>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</si>
  <si>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</si>
  <si>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</si>
  <si>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</si>
  <si>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</si>
  <si>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</si>
  <si>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</si>
  <si>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</si>
  <si>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</si>
  <si>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</si>
  <si>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</si>
  <si>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</si>
  <si>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</si>
  <si>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</si>
  <si>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</si>
  <si>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</si>
  <si>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</si>
  <si>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</si>
  <si>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</si>
  <si>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</si>
  <si>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</si>
  <si>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</si>
  <si>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</si>
  <si>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</si>
  <si>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</si>
  <si>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</si>
  <si>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</si>
  <si>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</si>
  <si>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</si>
  <si>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</si>
  <si>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</si>
  <si>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</si>
  <si>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</si>
  <si>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</si>
  <si>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</si>
  <si>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</si>
  <si>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</si>
  <si>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</si>
  <si>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</si>
  <si>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</si>
  <si>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</si>
  <si>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</si>
  <si>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</si>
  <si>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</si>
  <si>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</si>
  <si>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</si>
  <si>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</si>
  <si>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</si>
  <si>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</si>
  <si>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</si>
  <si>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</si>
  <si>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</si>
  <si>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</si>
  <si>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</si>
  <si>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</si>
  <si>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</si>
  <si>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</si>
  <si>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</si>
  <si>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</si>
  <si>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</si>
  <si>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</si>
  <si>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</si>
  <si>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</si>
  <si>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</si>
  <si>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</si>
  <si>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</si>
  <si>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</si>
  <si>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</si>
  <si>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</si>
  <si>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</si>
  <si>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</si>
  <si>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</si>
  <si>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</si>
  <si>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</si>
  <si>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</si>
  <si>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</si>
  <si>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</si>
  <si>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</si>
  <si>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</si>
  <si>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</si>
  <si>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</si>
  <si>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</si>
  <si>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</si>
  <si>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</si>
  <si>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</si>
  <si>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</si>
  <si>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</si>
  <si>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</si>
  <si>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</si>
  <si>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</si>
  <si>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</si>
  <si>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</si>
  <si>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</si>
  <si>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</si>
  <si>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</si>
  <si>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</si>
  <si>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</si>
  <si>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</si>
  <si>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</si>
  <si>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</si>
  <si>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</si>
  <si>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</si>
  <si>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</si>
  <si>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</si>
  <si>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</si>
  <si>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</si>
  <si>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</si>
  <si>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</si>
  <si>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</si>
  <si>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</si>
  <si>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</si>
  <si>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</si>
  <si>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</si>
  <si>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</si>
  <si>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</si>
  <si>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</si>
  <si>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</si>
  <si>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</si>
  <si>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</si>
  <si>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</si>
  <si>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</si>
  <si>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</si>
  <si>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</si>
  <si>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</si>
  <si>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</si>
  <si>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</si>
  <si>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</si>
  <si>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</si>
  <si>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</si>
  <si>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</si>
  <si>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</si>
  <si>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</si>
  <si>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</si>
  <si>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</si>
  <si>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</si>
  <si>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</si>
  <si>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</si>
  <si>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</si>
  <si>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</si>
  <si>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</si>
  <si>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</si>
  <si>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</si>
  <si>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</si>
  <si>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</si>
  <si>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</si>
  <si>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</si>
  <si>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</si>
  <si>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</si>
  <si>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</si>
  <si>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</si>
  <si>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</si>
  <si>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</si>
  <si>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</si>
  <si>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</si>
  <si>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</si>
  <si>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</si>
  <si>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</si>
  <si>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</si>
  <si>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</si>
  <si>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</si>
  <si>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</si>
  <si>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</si>
  <si>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</si>
  <si>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</si>
  <si>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</si>
  <si>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</si>
  <si>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</si>
  <si>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</si>
  <si>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</si>
  <si>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</si>
  <si>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</si>
  <si>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</si>
  <si>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</si>
  <si>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</si>
  <si>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</si>
  <si>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</si>
  <si>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</si>
  <si>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</si>
  <si>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</si>
  <si>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</si>
  <si>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</si>
  <si>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</si>
  <si>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</si>
  <si>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</si>
  <si>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</si>
  <si>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</si>
  <si>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</si>
  <si>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</si>
  <si>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</si>
  <si>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</si>
  <si>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</si>
  <si>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</si>
  <si>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</si>
  <si>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</si>
  <si>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</si>
  <si>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</si>
  <si>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</si>
  <si>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</si>
  <si>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</si>
  <si>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</si>
  <si>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</si>
  <si>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</si>
  <si>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</si>
  <si>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</si>
  <si>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</si>
  <si>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</si>
  <si>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</si>
  <si>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</si>
  <si>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</si>
  <si>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</si>
  <si>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</si>
  <si>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</si>
  <si>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</si>
  <si>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</si>
  <si>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</si>
  <si>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</si>
  <si>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</si>
  <si>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</si>
  <si>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</si>
  <si>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</si>
  <si>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</si>
  <si>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</si>
  <si>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</si>
  <si>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</si>
  <si>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</si>
  <si>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</si>
  <si>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</si>
  <si>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</si>
  <si>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</si>
  <si>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</si>
  <si>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</si>
  <si>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</si>
  <si>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</si>
  <si>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</si>
  <si>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</si>
  <si>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</si>
  <si>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</si>
  <si>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</si>
  <si>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</si>
  <si>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</si>
  <si>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</si>
  <si>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</si>
  <si>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</si>
  <si>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</si>
  <si>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</si>
  <si>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</si>
  <si>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</si>
  <si>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</si>
  <si>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</si>
  <si>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</si>
  <si>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</si>
  <si>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</si>
  <si>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</si>
  <si>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</si>
  <si>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</si>
  <si>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</si>
  <si>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</si>
  <si>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</si>
  <si>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</si>
  <si>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</si>
  <si>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</si>
  <si>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</si>
  <si>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</si>
  <si>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</si>
  <si>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</si>
  <si>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</si>
  <si>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</si>
  <si>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</si>
  <si>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</si>
  <si>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</si>
  <si>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</si>
  <si>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</si>
  <si>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</si>
  <si>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</si>
  <si>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</si>
  <si>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</si>
  <si>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</si>
  <si>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</si>
  <si>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</si>
  <si>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</si>
  <si>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</si>
  <si>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</si>
  <si>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</si>
  <si>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</si>
  <si>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</si>
  <si>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</si>
  <si>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</si>
  <si>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</si>
  <si>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</si>
  <si>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</si>
  <si>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</si>
  <si>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</si>
  <si>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</si>
  <si>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</si>
  <si>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</si>
  <si>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</si>
  <si>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</si>
  <si>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</si>
  <si>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</si>
  <si>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</si>
  <si>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</si>
  <si>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</si>
  <si>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</si>
  <si>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</si>
  <si>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</si>
  <si>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</si>
  <si>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</si>
  <si>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</si>
  <si>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</si>
  <si>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</si>
  <si>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</si>
  <si>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</si>
  <si>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</si>
  <si>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</si>
  <si>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</si>
  <si>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</si>
  <si>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</si>
  <si>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</si>
  <si>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</si>
  <si>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</si>
  <si>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</si>
  <si>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</si>
  <si>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</si>
  <si>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</si>
  <si>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</si>
  <si>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</si>
  <si>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</si>
  <si>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</si>
  <si>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</si>
  <si>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</si>
  <si>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</si>
  <si>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</si>
  <si>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</si>
  <si>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</si>
  <si>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</si>
  <si>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</si>
  <si>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</si>
  <si>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</si>
  <si>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</si>
  <si>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</si>
  <si>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</si>
  <si>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</si>
  <si>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</si>
  <si>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</si>
  <si>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</si>
  <si>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</si>
  <si>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</si>
  <si>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</si>
  <si>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</si>
  <si>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</si>
  <si>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</si>
  <si>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</si>
  <si>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</si>
  <si>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</si>
  <si>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</si>
  <si>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</si>
  <si>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</si>
  <si>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</si>
  <si>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</si>
  <si>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</si>
  <si>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</si>
  <si>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</si>
  <si>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</si>
  <si>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</si>
  <si>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</si>
  <si>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</si>
  <si>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</si>
  <si>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</si>
  <si>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</si>
  <si>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</si>
  <si>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</si>
  <si>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</si>
  <si>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</si>
  <si>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</si>
  <si>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</si>
  <si>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</si>
  <si>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</si>
  <si>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</si>
  <si>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</si>
  <si>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</si>
  <si>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</si>
  <si>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</si>
  <si>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</si>
  <si>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</si>
  <si>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</si>
  <si>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</si>
  <si>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</si>
  <si>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</si>
  <si>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</si>
  <si>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</si>
  <si>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</si>
  <si>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</si>
  <si>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</si>
  <si>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</si>
  <si>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</si>
  <si>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</si>
  <si>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</si>
  <si>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</si>
  <si>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</si>
  <si>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</si>
  <si>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</si>
  <si>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</si>
  <si>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</si>
  <si>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</si>
  <si>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</si>
  <si>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</si>
  <si>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</si>
  <si>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</si>
  <si>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</si>
  <si>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</si>
  <si>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</si>
  <si>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</si>
  <si>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</si>
  <si>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</si>
  <si>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</si>
  <si>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</si>
  <si>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</si>
  <si>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</si>
  <si>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</si>
  <si>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</si>
  <si>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</si>
  <si>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</si>
  <si>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</si>
  <si>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</si>
  <si>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</si>
  <si>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</si>
  <si>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</si>
  <si>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</si>
  <si>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</si>
  <si>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</si>
  <si>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</si>
  <si>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</si>
  <si>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</si>
  <si>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</si>
  <si>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</si>
  <si>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</si>
  <si>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</si>
  <si>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</si>
  <si>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</si>
  <si>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</si>
  <si>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</si>
  <si>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</si>
  <si>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</si>
  <si>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</si>
  <si>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</si>
  <si>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</si>
  <si>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</si>
  <si>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</si>
  <si>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</si>
  <si>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</si>
  <si>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</si>
  <si>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</si>
  <si>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</si>
  <si>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</si>
  <si>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</si>
  <si>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</si>
  <si>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</si>
  <si>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</si>
  <si>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</si>
  <si>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</si>
  <si>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</si>
  <si>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</si>
  <si>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</si>
  <si>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</si>
  <si>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</si>
  <si>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</si>
  <si>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</si>
  <si>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</si>
  <si>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</si>
  <si>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</si>
  <si>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</si>
  <si>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</si>
  <si>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</si>
  <si>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</si>
  <si>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</si>
  <si>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</si>
  <si>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</si>
  <si>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</si>
  <si>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</si>
  <si>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</si>
  <si>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</si>
  <si>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</si>
  <si>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</si>
  <si>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</si>
  <si>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</si>
  <si>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</si>
  <si>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</si>
  <si>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</si>
  <si>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</si>
  <si>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</si>
  <si>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</si>
  <si>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</si>
  <si>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</si>
  <si>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</si>
  <si>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</si>
  <si>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</si>
  <si>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</si>
  <si>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</si>
  <si>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</si>
  <si>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</si>
  <si>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</si>
  <si>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</si>
  <si>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</si>
  <si>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</si>
  <si>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</si>
  <si>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</si>
  <si>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</si>
  <si>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</si>
  <si>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</si>
  <si>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</si>
  <si>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</si>
  <si>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</si>
  <si>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</si>
  <si>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</si>
  <si>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</si>
  <si>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</si>
  <si>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</si>
  <si>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</si>
  <si>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</si>
  <si>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</si>
  <si>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</si>
  <si>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</si>
  <si>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</si>
  <si>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</si>
  <si>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</si>
  <si>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</si>
  <si>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</si>
  <si>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</si>
  <si>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</si>
  <si>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</si>
  <si>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</si>
  <si>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</si>
  <si>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</si>
  <si>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</si>
  <si>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</si>
  <si>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</si>
  <si>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</si>
  <si>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</si>
  <si>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</si>
  <si>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</si>
  <si>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</si>
  <si>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</si>
  <si>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</si>
  <si>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</si>
  <si>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</si>
  <si>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</si>
  <si>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</si>
  <si>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</si>
  <si>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</si>
  <si>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</si>
  <si>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</si>
  <si>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</si>
  <si>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</si>
  <si>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</si>
  <si>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</si>
  <si>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</si>
  <si>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</si>
  <si>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</si>
  <si>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</si>
  <si>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</si>
  <si>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</si>
  <si>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</si>
  <si>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</si>
  <si>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</si>
  <si>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</si>
  <si>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</si>
  <si>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</si>
  <si>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</si>
  <si>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</si>
  <si>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</si>
  <si>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</si>
  <si>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</si>
  <si>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</si>
  <si>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</si>
  <si>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</si>
  <si>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</si>
  <si>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</si>
  <si>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</si>
  <si>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</si>
  <si>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</si>
  <si>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</si>
  <si>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</si>
  <si>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</si>
  <si>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</si>
  <si>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</si>
  <si>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</si>
  <si>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</si>
  <si>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</si>
  <si>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</si>
  <si>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</si>
  <si>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</si>
  <si>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</si>
  <si>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</si>
  <si>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</si>
  <si>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</si>
  <si>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</si>
  <si>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</si>
  <si>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</si>
  <si>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</si>
  <si>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</si>
  <si>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</si>
  <si>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</si>
  <si>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</si>
  <si>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</si>
  <si>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</si>
  <si>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</si>
  <si>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</si>
  <si>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</si>
  <si>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</si>
  <si>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</si>
  <si>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</si>
  <si>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</si>
  <si>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</si>
  <si>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</si>
  <si>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</si>
  <si>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</si>
  <si>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</si>
  <si>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</si>
  <si>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</si>
  <si>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</si>
  <si>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</si>
  <si>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</si>
  <si>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</si>
  <si>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</si>
  <si>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</si>
  <si>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</si>
  <si>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</si>
  <si>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</si>
  <si>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</si>
  <si>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</si>
  <si>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</si>
  <si>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</si>
  <si>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</si>
  <si>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</si>
  <si>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</si>
  <si>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</si>
  <si>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</si>
  <si>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</si>
  <si>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</si>
  <si>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</si>
  <si>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</si>
  <si>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</si>
  <si>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</si>
  <si>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</si>
  <si>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</si>
  <si>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</si>
  <si>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</si>
  <si>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</si>
  <si>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</si>
  <si>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</si>
  <si>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</si>
  <si>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</si>
  <si>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</si>
  <si>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</si>
  <si>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</si>
  <si>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</si>
  <si>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</si>
  <si>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</si>
  <si>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</si>
  <si>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</si>
  <si>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</si>
  <si>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</si>
  <si>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</si>
  <si>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</si>
  <si>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</si>
  <si>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</si>
  <si>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</si>
  <si>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</si>
  <si>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</si>
  <si>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</si>
  <si>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</si>
  <si>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</si>
  <si>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</si>
  <si>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</si>
  <si>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</si>
  <si>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</si>
  <si>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</si>
  <si>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</si>
  <si>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</si>
  <si>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</si>
  <si>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</si>
  <si>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</si>
  <si>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</si>
  <si>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</si>
  <si>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</si>
  <si>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</si>
  <si>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</si>
  <si>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</si>
  <si>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</si>
  <si>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</si>
  <si>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</si>
  <si>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</si>
  <si>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</si>
  <si>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</si>
  <si>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</si>
  <si>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</si>
  <si>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</si>
  <si>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</si>
  <si>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</si>
  <si>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</si>
  <si>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</si>
  <si>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</si>
  <si>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</si>
  <si>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</si>
  <si>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</si>
  <si>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</si>
  <si>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</si>
  <si>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</si>
  <si>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</si>
  <si>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</si>
  <si>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</si>
  <si>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</si>
  <si>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</si>
  <si>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</si>
  <si>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</si>
  <si>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</si>
  <si>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</si>
  <si>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</si>
  <si>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</si>
  <si>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</si>
  <si>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</si>
  <si>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</si>
  <si>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</si>
  <si>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</si>
  <si>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</si>
  <si>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</si>
  <si>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</si>
  <si>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</si>
  <si>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</si>
  <si>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</si>
  <si>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</si>
  <si>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</si>
  <si>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</si>
  <si>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</si>
  <si>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</si>
  <si>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</si>
  <si>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</si>
  <si>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</si>
  <si>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</si>
  <si>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</si>
  <si>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</si>
  <si>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</si>
  <si>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</si>
  <si>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</si>
  <si>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</si>
  <si>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</si>
  <si>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</si>
  <si>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</si>
  <si>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</si>
  <si>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</si>
  <si>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</si>
  <si>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</si>
  <si>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</si>
  <si>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</si>
  <si>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</si>
  <si>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</si>
  <si>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</si>
  <si>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</si>
  <si>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</si>
  <si>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</si>
  <si>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</si>
  <si>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</si>
  <si>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</si>
  <si>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</si>
  <si>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</si>
  <si>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</si>
  <si>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</si>
  <si>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</si>
  <si>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</si>
  <si>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</si>
  <si>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</si>
  <si>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</si>
  <si>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</si>
  <si>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</si>
  <si>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</si>
  <si>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</si>
  <si>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</si>
  <si>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</si>
  <si>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</si>
  <si>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</si>
  <si>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</si>
  <si>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</si>
  <si>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</si>
  <si>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</si>
  <si>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</si>
  <si>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</si>
  <si>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</si>
  <si>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</si>
  <si>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</si>
  <si>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</si>
  <si>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</si>
  <si>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</si>
  <si>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</si>
  <si>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</si>
  <si>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</si>
  <si>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</si>
  <si>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</si>
  <si>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</si>
  <si>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</si>
  <si>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</si>
  <si>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</si>
  <si>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</si>
  <si>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</si>
  <si>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</si>
  <si>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</si>
  <si>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</si>
  <si>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</si>
  <si>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</si>
  <si>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</si>
  <si>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</si>
  <si>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</si>
  <si>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</si>
  <si>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</si>
  <si>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</si>
  <si>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</si>
  <si>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</si>
  <si>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</si>
  <si>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</si>
  <si>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</si>
  <si>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</si>
  <si>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</si>
  <si>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</si>
  <si>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</si>
  <si>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</si>
  <si>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</si>
  <si>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</si>
  <si>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</si>
  <si>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</si>
  <si>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</si>
  <si>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</si>
  <si>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</si>
  <si>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</si>
  <si>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</si>
  <si>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</si>
  <si>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</si>
  <si>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</si>
  <si>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</si>
  <si>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</si>
  <si>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</si>
  <si>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</si>
  <si>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</si>
  <si>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</si>
  <si>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</si>
  <si>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</si>
  <si>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</si>
  <si>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</si>
  <si>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</si>
  <si>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</si>
  <si>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</si>
  <si>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</si>
  <si>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</si>
  <si>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</si>
  <si>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</si>
  <si>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</si>
  <si>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</si>
  <si>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</si>
  <si>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</si>
  <si>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</si>
  <si>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</si>
  <si>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</si>
  <si>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</si>
  <si>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</si>
  <si>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</si>
  <si>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</si>
  <si>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</si>
  <si>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</si>
  <si>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</si>
  <si>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</si>
  <si>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</si>
  <si>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</si>
  <si>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</si>
  <si>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</si>
  <si>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</si>
  <si>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</si>
  <si>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</si>
  <si>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</si>
  <si>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</si>
  <si>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</si>
  <si>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</si>
  <si>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</si>
  <si>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</si>
  <si>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</si>
  <si>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</si>
  <si>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</si>
  <si>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</si>
  <si>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</si>
  <si>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</si>
  <si>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</si>
  <si>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</si>
  <si>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</si>
  <si>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</si>
  <si>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</si>
  <si>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</si>
  <si>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</si>
  <si>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</si>
  <si>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</si>
  <si>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</si>
  <si>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</si>
  <si>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</si>
  <si>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</si>
  <si>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</si>
  <si>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</si>
  <si>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</si>
  <si>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</si>
  <si>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</si>
  <si>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</si>
  <si>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</si>
  <si>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</si>
  <si>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</si>
  <si>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</si>
  <si>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</si>
  <si>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</si>
  <si>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</si>
  <si>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</si>
  <si>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</si>
  <si>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</si>
  <si>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</si>
  <si>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</si>
  <si>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</si>
  <si>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</si>
  <si>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</si>
  <si>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</si>
  <si>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</si>
  <si>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</si>
  <si>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</si>
  <si>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</si>
  <si>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</si>
  <si>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</si>
  <si>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</si>
  <si>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</si>
  <si>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</si>
  <si>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</si>
  <si>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</si>
  <si>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</si>
  <si>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</si>
  <si>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</si>
  <si>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</si>
  <si>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</si>
  <si>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</si>
  <si>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</si>
  <si>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</si>
  <si>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</si>
  <si>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</si>
  <si>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</si>
  <si>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</si>
  <si>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</si>
  <si>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</si>
  <si>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</si>
  <si>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</si>
  <si>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</si>
  <si>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</si>
  <si>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</si>
  <si>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</si>
  <si>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</si>
  <si>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</si>
  <si>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</si>
  <si>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</si>
  <si>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</si>
  <si>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</si>
  <si>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</si>
  <si>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</si>
  <si>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</si>
  <si>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</si>
  <si>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</si>
  <si>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</si>
  <si>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</si>
  <si>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</si>
  <si>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</si>
  <si>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</si>
  <si>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</si>
  <si>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</si>
  <si>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</si>
  <si>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</si>
  <si>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</si>
  <si>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</si>
  <si>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</si>
  <si>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</si>
  <si>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</si>
  <si>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</si>
  <si>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</si>
  <si>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</si>
  <si>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</si>
  <si>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</si>
  <si>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</si>
  <si>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</si>
  <si>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</si>
  <si>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</si>
  <si>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</si>
  <si>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</si>
  <si>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</si>
  <si>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</si>
  <si>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</si>
  <si>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</si>
  <si>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</si>
  <si>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</si>
  <si>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</si>
  <si>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</si>
  <si>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</si>
  <si>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</si>
  <si>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</si>
  <si>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</si>
  <si>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</si>
  <si>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</si>
  <si>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</si>
  <si>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</si>
  <si>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</si>
  <si>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</si>
  <si>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</si>
  <si>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</si>
  <si>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</si>
  <si>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</si>
  <si>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</si>
  <si>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</si>
  <si>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</si>
  <si>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</si>
  <si>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</si>
  <si>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</si>
  <si>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</si>
  <si>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</si>
  <si>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</si>
  <si>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</si>
  <si>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</si>
  <si>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</si>
  <si>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</si>
  <si>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</si>
  <si>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</si>
  <si>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</si>
  <si>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</si>
  <si>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</si>
  <si>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</si>
  <si>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</si>
  <si>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</si>
  <si>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</si>
  <si>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</si>
  <si>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</si>
  <si>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</si>
  <si>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</si>
  <si>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</si>
  <si>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</si>
  <si>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</si>
  <si>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</si>
  <si>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</si>
  <si>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</si>
  <si>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</si>
  <si>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</si>
  <si>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</si>
  <si>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</si>
  <si>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</si>
  <si>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</si>
  <si>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</si>
  <si>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</si>
  <si>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</si>
  <si>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</si>
  <si>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</si>
  <si>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</si>
  <si>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</si>
  <si>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</si>
  <si>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</si>
  <si>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</si>
  <si>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</si>
  <si>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</si>
  <si>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</si>
  <si>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</si>
  <si>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</si>
  <si>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</si>
  <si>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</si>
  <si>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</si>
  <si>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</si>
  <si>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</si>
  <si>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</si>
  <si>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</si>
  <si>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</si>
  <si>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</si>
  <si>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</si>
  <si>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</si>
  <si>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</si>
  <si>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</si>
  <si>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</si>
  <si>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</si>
  <si>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</si>
  <si>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</si>
  <si>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</si>
  <si>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</si>
  <si>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</si>
  <si>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</si>
  <si>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</si>
  <si>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</si>
  <si>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</si>
  <si>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</si>
  <si>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</si>
  <si>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</si>
  <si>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</si>
  <si>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</si>
  <si>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</si>
  <si>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</si>
  <si>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</si>
  <si>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</si>
  <si>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</si>
  <si>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</si>
  <si>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</si>
  <si>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</si>
  <si>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</si>
  <si>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</si>
  <si>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</si>
  <si>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</si>
  <si>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</si>
  <si>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</si>
  <si>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</si>
  <si>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</si>
  <si>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</si>
  <si>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</si>
  <si>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</si>
  <si>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</si>
  <si>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</si>
  <si>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</si>
  <si>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</si>
  <si>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</si>
  <si>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</si>
  <si>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</si>
  <si>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</si>
  <si>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</si>
  <si>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</si>
  <si>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</si>
  <si>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</si>
  <si>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</si>
  <si>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</si>
  <si>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</si>
  <si>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</si>
  <si>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</si>
  <si>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</si>
  <si>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</si>
  <si>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</si>
  <si>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</si>
  <si>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</si>
  <si>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</si>
  <si>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</si>
  <si>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</si>
  <si>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</si>
  <si>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</si>
  <si>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</si>
  <si>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</si>
  <si>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</si>
  <si>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</si>
  <si>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</si>
  <si>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</si>
  <si>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</si>
  <si>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</si>
  <si>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</si>
  <si>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</si>
  <si>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</si>
  <si>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</si>
  <si>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</si>
  <si>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</si>
  <si>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</si>
  <si>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</si>
  <si>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</si>
  <si>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</si>
  <si>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</si>
  <si>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</si>
  <si>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</si>
  <si>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</si>
  <si>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</si>
  <si>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</si>
  <si>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</si>
  <si>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</si>
  <si>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</si>
  <si>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</si>
  <si>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</si>
  <si>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</si>
  <si>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</si>
  <si>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</si>
  <si>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</si>
  <si>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</si>
  <si>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</si>
  <si>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</si>
  <si>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</si>
  <si>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</si>
  <si>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</si>
  <si>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</si>
  <si>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</si>
  <si>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</si>
  <si>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</si>
  <si>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</si>
  <si>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</si>
  <si>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</si>
  <si>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</si>
  <si>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</si>
  <si>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</si>
  <si>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</si>
  <si>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</si>
  <si>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</si>
  <si>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</si>
  <si>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</si>
  <si>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</si>
  <si>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</si>
  <si>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</si>
  <si>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</si>
  <si>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</si>
  <si>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</si>
  <si>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</si>
  <si>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</si>
  <si>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</si>
  <si>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</si>
  <si>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</si>
  <si>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</si>
  <si>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</si>
  <si>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</si>
  <si>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</si>
  <si>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</si>
  <si>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</si>
  <si>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</si>
  <si>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</si>
  <si>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</si>
  <si>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</si>
  <si>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</si>
  <si>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</si>
  <si>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</si>
  <si>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</si>
  <si>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</si>
  <si>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</si>
  <si>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</si>
  <si>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</si>
  <si>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</si>
  <si>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</si>
  <si>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</si>
  <si>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</si>
  <si>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</si>
  <si>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</si>
  <si>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</si>
  <si>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</si>
  <si>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</si>
  <si>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</si>
  <si>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</si>
  <si>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</si>
  <si>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</si>
  <si>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</si>
  <si>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</si>
  <si>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</si>
  <si>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</si>
  <si>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</si>
  <si>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</si>
  <si>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</si>
  <si>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</si>
  <si>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</si>
  <si>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</si>
  <si>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</si>
  <si>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</si>
  <si>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</si>
  <si>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</si>
  <si>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</si>
  <si>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</si>
  <si>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</si>
  <si>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</si>
  <si>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</si>
  <si>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</si>
  <si>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</si>
  <si>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</si>
  <si>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</si>
  <si>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</si>
  <si>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</si>
  <si>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</si>
  <si>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</si>
  <si>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</si>
  <si>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</si>
  <si>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</si>
  <si>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</si>
  <si>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</si>
  <si>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</si>
  <si>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</si>
  <si>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</si>
  <si>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</si>
  <si>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</si>
  <si>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</si>
  <si>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</si>
  <si>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</si>
  <si>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</si>
  <si>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</si>
  <si>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</si>
  <si>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</si>
  <si>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</si>
  <si>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</si>
  <si>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</si>
  <si>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</si>
  <si>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</si>
  <si>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</si>
  <si>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</si>
  <si>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</si>
  <si>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</si>
  <si>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</si>
  <si>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</si>
  <si>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</si>
  <si>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</si>
  <si>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</si>
  <si>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</si>
  <si>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</si>
  <si>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</si>
  <si>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</si>
  <si>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</si>
  <si>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</si>
  <si>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</si>
  <si>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</si>
  <si>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</si>
  <si>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</si>
  <si>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</si>
  <si>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</si>
  <si>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</si>
  <si>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</si>
  <si>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</si>
  <si>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</si>
  <si>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</si>
  <si>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</si>
  <si>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</si>
  <si>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</si>
  <si>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</si>
  <si>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</si>
  <si>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</si>
  <si>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</si>
  <si>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</si>
  <si>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</si>
  <si>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</si>
  <si>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</si>
  <si>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</si>
  <si>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</si>
  <si>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</si>
  <si>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</si>
  <si>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</si>
  <si>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</si>
  <si>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</si>
  <si>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</si>
  <si>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</si>
  <si>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</si>
  <si>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</si>
  <si>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</si>
  <si>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</si>
  <si>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</si>
  <si>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</si>
  <si>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</si>
  <si>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</si>
  <si>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</si>
  <si>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</si>
  <si>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</si>
  <si>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</si>
  <si>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</si>
  <si>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</si>
  <si>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</si>
  <si>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</si>
  <si>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</si>
  <si>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</si>
  <si>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</si>
  <si>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</si>
  <si>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</si>
  <si>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</si>
  <si>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</si>
  <si>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</si>
  <si>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</si>
  <si>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</si>
  <si>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</si>
  <si>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</si>
  <si>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</si>
  <si>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</si>
  <si>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</si>
  <si>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</si>
  <si>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</si>
  <si>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</si>
  <si>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</si>
  <si>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</si>
  <si>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</si>
  <si>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</si>
  <si>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</si>
  <si>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</si>
  <si>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</si>
  <si>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</si>
  <si>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</si>
  <si>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</si>
  <si>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</si>
  <si>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</si>
  <si>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</si>
  <si>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</si>
  <si>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</si>
  <si>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</si>
  <si>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</si>
  <si>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</si>
  <si>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</si>
  <si>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</si>
  <si>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</si>
  <si>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</si>
  <si>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</si>
  <si>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</si>
  <si>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</si>
  <si>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</si>
  <si>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</si>
  <si>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</si>
  <si>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</si>
  <si>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</si>
  <si>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</si>
  <si>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</si>
  <si>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</si>
  <si>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</si>
  <si>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</si>
  <si>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</si>
  <si>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</si>
  <si>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</si>
  <si>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</si>
  <si>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</si>
  <si>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</si>
  <si>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</si>
  <si>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</si>
  <si>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</si>
  <si>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</si>
  <si>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</si>
  <si>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</si>
  <si>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</si>
  <si>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</si>
  <si>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</si>
  <si>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</si>
  <si>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</si>
  <si>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</si>
  <si>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</si>
  <si>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</si>
  <si>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</si>
  <si>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</si>
  <si>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</si>
  <si>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</si>
  <si>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</si>
  <si>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</si>
  <si>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</si>
  <si>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</si>
  <si>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</si>
  <si>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</si>
  <si>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</si>
  <si>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</si>
  <si>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</si>
  <si>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</si>
  <si>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</si>
  <si>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</si>
  <si>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</si>
  <si>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</si>
  <si>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</si>
  <si>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</si>
  <si>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</si>
  <si>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</si>
  <si>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</si>
  <si>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</si>
  <si>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</si>
  <si>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</si>
  <si>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</si>
  <si>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</si>
  <si>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</si>
  <si>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</si>
  <si>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</si>
  <si>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</si>
  <si>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</si>
  <si>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</si>
  <si>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</si>
  <si>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</si>
  <si>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</si>
  <si>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</si>
  <si>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</si>
  <si>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</si>
  <si>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</si>
  <si>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</si>
  <si>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</si>
  <si>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</si>
  <si>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</si>
  <si>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</si>
  <si>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</si>
  <si>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</si>
  <si>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</si>
  <si>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</si>
  <si>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</si>
  <si>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</si>
  <si>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</si>
  <si>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</si>
  <si>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</si>
  <si>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</si>
  <si>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</si>
  <si>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</si>
  <si>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</si>
  <si>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</si>
  <si>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</si>
  <si>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</si>
  <si>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</si>
  <si>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</si>
  <si>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</si>
  <si>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</si>
  <si>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</si>
  <si>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</si>
  <si>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</si>
  <si>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</si>
  <si>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</si>
  <si>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</si>
  <si>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</si>
  <si>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</si>
  <si>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</si>
  <si>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</si>
  <si>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</si>
  <si>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</si>
  <si>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</si>
  <si>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</si>
  <si>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</si>
  <si>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</si>
  <si>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</si>
  <si>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</si>
  <si>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</si>
  <si>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</si>
  <si>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</si>
  <si>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</si>
  <si>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</si>
  <si>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</si>
  <si>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</si>
  <si>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</si>
  <si>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</si>
  <si>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</si>
  <si>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</si>
  <si>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</si>
  <si>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</si>
  <si>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</si>
  <si>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</si>
  <si>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</si>
  <si>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</si>
  <si>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</si>
  <si>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</si>
  <si>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</si>
  <si>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</si>
  <si>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</si>
  <si>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</si>
  <si>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</si>
  <si>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</si>
  <si>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</si>
  <si>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</si>
  <si>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</si>
  <si>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</si>
  <si>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</si>
  <si>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</si>
  <si>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</si>
  <si>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</si>
  <si>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</si>
  <si>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</si>
  <si>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</si>
  <si>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</si>
  <si>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</si>
  <si>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</si>
  <si>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</si>
  <si>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</si>
  <si>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</si>
  <si>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</si>
  <si>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</si>
  <si>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</si>
  <si>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</si>
  <si>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</si>
  <si>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</si>
  <si>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</si>
  <si>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</si>
  <si>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</si>
  <si>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</si>
  <si>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</si>
  <si>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</si>
  <si>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</si>
  <si>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</si>
  <si>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</si>
  <si>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</si>
  <si>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</si>
  <si>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</si>
  <si>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</si>
  <si>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</si>
  <si>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</si>
  <si>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</si>
  <si>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</si>
  <si>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</si>
  <si>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</si>
  <si>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</si>
  <si>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</si>
  <si>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</si>
  <si>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</si>
  <si>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</si>
  <si>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</si>
  <si>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</si>
  <si>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</si>
  <si>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</si>
  <si>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</si>
  <si>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</si>
  <si>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</si>
  <si>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</si>
  <si>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</si>
  <si>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</si>
  <si>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</si>
  <si>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</si>
  <si>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</si>
  <si>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</si>
  <si>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</si>
  <si>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</si>
  <si>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</si>
  <si>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</si>
  <si>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</si>
  <si>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</si>
  <si>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</si>
  <si>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</si>
  <si>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</si>
  <si>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</si>
  <si>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</si>
  <si>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</si>
  <si>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</si>
  <si>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</si>
  <si>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</si>
  <si>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</si>
  <si>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</si>
  <si>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</si>
  <si>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</si>
  <si>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</si>
  <si>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</si>
  <si>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</si>
  <si>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</si>
  <si>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</si>
  <si>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</si>
  <si>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</si>
  <si>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</si>
  <si>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</si>
  <si>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</si>
  <si>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</si>
  <si>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</si>
  <si>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</si>
  <si>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</si>
  <si>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</si>
  <si>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</si>
  <si>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</si>
  <si>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</si>
  <si>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</si>
  <si>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</si>
  <si>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</si>
  <si>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</si>
  <si>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</si>
  <si>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</si>
  <si>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</si>
  <si>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</si>
  <si>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</si>
  <si>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</si>
  <si>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</si>
  <si>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</si>
  <si>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</si>
  <si>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</si>
  <si>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</si>
  <si>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</si>
  <si>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</si>
  <si>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</si>
  <si>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</si>
  <si>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</si>
  <si>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</si>
  <si>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</si>
  <si>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</si>
  <si>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</si>
  <si>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</si>
  <si>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</si>
  <si>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</si>
  <si>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</si>
  <si>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</si>
  <si>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</si>
  <si>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</si>
  <si>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</si>
  <si>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</si>
  <si>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</si>
  <si>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</si>
  <si>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</si>
  <si>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</si>
  <si>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</si>
  <si>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</si>
  <si>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</si>
  <si>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</si>
  <si>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</si>
  <si>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</si>
  <si>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</si>
  <si>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</si>
  <si>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</si>
  <si>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</si>
  <si>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</si>
  <si>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</si>
  <si>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</si>
  <si>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</si>
  <si>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</si>
  <si>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</si>
  <si>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</si>
  <si>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</si>
  <si>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</si>
  <si>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</si>
  <si>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</si>
  <si>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</si>
  <si>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</si>
  <si>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</si>
  <si>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</si>
  <si>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</si>
  <si>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</si>
  <si>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</si>
  <si>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</si>
  <si>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</si>
  <si>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</si>
  <si>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</si>
  <si>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</si>
  <si>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</si>
  <si>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</si>
  <si>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</si>
  <si>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</si>
  <si>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</si>
  <si>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</si>
  <si>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</si>
  <si>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</si>
  <si>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</si>
  <si>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</si>
  <si>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</si>
  <si>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</si>
  <si>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</si>
  <si>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</si>
  <si>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</si>
  <si>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</si>
  <si>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</si>
  <si>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</si>
  <si>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</si>
  <si>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</si>
  <si>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</si>
  <si>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</si>
  <si>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</si>
  <si>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</si>
  <si>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</si>
  <si>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</si>
  <si>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</si>
  <si>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</si>
  <si>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</si>
  <si>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</si>
  <si>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</si>
  <si>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</si>
  <si>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</si>
  <si>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</si>
  <si>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</si>
  <si>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</si>
  <si>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</si>
  <si>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</si>
  <si>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</si>
  <si>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</si>
  <si>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</si>
  <si>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</si>
  <si>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</si>
  <si>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</si>
  <si>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</si>
  <si>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</si>
  <si>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</si>
  <si>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</si>
  <si>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</si>
  <si>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</si>
  <si>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</si>
  <si>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</si>
  <si>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</si>
  <si>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</si>
  <si>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</si>
  <si>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</si>
  <si>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</si>
  <si>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</si>
  <si>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</si>
  <si>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</si>
  <si>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</si>
  <si>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</si>
  <si>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</si>
  <si>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</si>
  <si>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</si>
  <si>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</si>
  <si>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</si>
  <si>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</si>
  <si>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</si>
  <si>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</si>
  <si>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</si>
  <si>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</si>
  <si>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</si>
  <si>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</si>
  <si>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</si>
  <si>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</si>
  <si>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</si>
  <si>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</si>
  <si>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</si>
  <si>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</si>
  <si>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</si>
  <si>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</si>
  <si>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</si>
  <si>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</si>
  <si>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</si>
  <si>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</si>
  <si>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</si>
  <si>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</si>
  <si>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</si>
  <si>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</si>
  <si>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</si>
  <si>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</si>
  <si>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</si>
  <si>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</si>
  <si>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</si>
  <si>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</si>
  <si>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</si>
  <si>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</si>
  <si>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</si>
  <si>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</si>
  <si>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</si>
  <si>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</si>
  <si>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</si>
  <si>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</si>
  <si>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</si>
  <si>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</si>
  <si>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</si>
  <si>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</si>
  <si>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</si>
  <si>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</si>
  <si>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</si>
  <si>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</si>
  <si>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</si>
  <si>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</si>
  <si>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</si>
  <si>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</si>
  <si>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</si>
  <si>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</si>
  <si>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</si>
  <si>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</si>
  <si>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</si>
  <si>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</si>
  <si>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</si>
  <si>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</si>
  <si>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</si>
  <si>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</si>
  <si>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</si>
  <si>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</si>
  <si>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</si>
  <si>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</si>
  <si>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</si>
  <si>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</si>
  <si>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</si>
  <si>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</si>
  <si>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</si>
  <si>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</si>
  <si>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</si>
  <si>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</si>
  <si>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</si>
  <si>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</si>
  <si>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</si>
  <si>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</si>
  <si>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</si>
  <si>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</si>
  <si>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</si>
  <si>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</si>
  <si>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</si>
  <si>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</si>
  <si>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</si>
  <si>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</si>
  <si>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</si>
  <si>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</si>
  <si>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</si>
  <si>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</si>
  <si>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</si>
  <si>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</si>
  <si>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</si>
  <si>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</si>
  <si>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</si>
  <si>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</si>
  <si>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</si>
  <si>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</si>
  <si>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</si>
  <si>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</si>
  <si>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</si>
  <si>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</si>
  <si>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</si>
  <si>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</si>
  <si>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</si>
  <si>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</si>
  <si>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</si>
  <si>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</si>
  <si>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</si>
  <si>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</si>
  <si>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</si>
  <si>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</si>
  <si>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</si>
  <si>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</si>
  <si>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</si>
  <si>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</si>
  <si>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</si>
  <si>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</si>
  <si>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</si>
  <si>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</si>
  <si>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</si>
  <si>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</si>
  <si>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</si>
  <si>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</si>
  <si>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</si>
  <si>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</si>
  <si>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</si>
  <si>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</si>
  <si>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</si>
  <si>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</si>
  <si>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</si>
  <si>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</si>
  <si>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</si>
  <si>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</si>
  <si>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</si>
  <si>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</si>
  <si>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</si>
  <si>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</si>
  <si>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</si>
  <si>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</si>
  <si>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</si>
  <si>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</si>
  <si>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</si>
  <si>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</si>
  <si>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</si>
  <si>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</si>
  <si>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</si>
  <si>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</si>
  <si>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</si>
  <si>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</si>
  <si>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</si>
  <si>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</si>
  <si>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</si>
  <si>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</si>
  <si>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</si>
  <si>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</si>
  <si>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</si>
  <si>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</si>
  <si>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</si>
  <si>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</si>
  <si>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</si>
  <si>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</si>
  <si>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</si>
  <si>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</si>
  <si>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</si>
  <si>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</si>
  <si>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</si>
  <si>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</si>
  <si>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</si>
  <si>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</si>
  <si>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</si>
  <si>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</si>
  <si>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</si>
  <si>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</si>
  <si>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</si>
  <si>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</si>
  <si>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</si>
  <si>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</si>
  <si>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</si>
  <si>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</si>
  <si>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</si>
  <si>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</si>
  <si>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</si>
  <si>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</si>
  <si>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</si>
  <si>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</si>
  <si>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</si>
  <si>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</si>
  <si>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</si>
  <si>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</si>
  <si>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</si>
  <si>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</si>
  <si>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</si>
  <si>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</si>
  <si>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</si>
  <si>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</si>
  <si>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</si>
  <si>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</si>
  <si>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</si>
  <si>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</si>
  <si>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</si>
  <si>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</si>
  <si>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</si>
  <si>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</si>
  <si>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</si>
  <si>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</si>
  <si>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</si>
  <si>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</si>
  <si>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</si>
  <si>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</si>
  <si>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</si>
  <si>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</si>
  <si>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</si>
  <si>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</si>
  <si>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</si>
  <si>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</si>
  <si>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</si>
  <si>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</si>
  <si>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</si>
  <si>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</si>
  <si>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</si>
  <si>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</si>
  <si>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</si>
  <si>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</si>
  <si>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</si>
  <si>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</si>
  <si>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</si>
  <si>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</si>
  <si>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</si>
  <si>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</si>
  <si>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</si>
  <si>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</si>
  <si>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</si>
  <si>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</si>
  <si>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</si>
  <si>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</si>
  <si>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</si>
  <si>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</si>
  <si>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</si>
  <si>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</si>
  <si>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</si>
  <si>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</si>
  <si>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</si>
  <si>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</si>
  <si>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</si>
  <si>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</si>
  <si>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</si>
  <si>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</si>
  <si>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</si>
  <si>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</si>
  <si>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</si>
  <si>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</si>
  <si>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</si>
  <si>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</si>
  <si>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</si>
  <si>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</si>
  <si>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</si>
  <si>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</si>
  <si>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</si>
  <si>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</si>
  <si>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</si>
  <si>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</si>
  <si>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</si>
  <si>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</si>
  <si>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</si>
  <si>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</si>
  <si>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</si>
  <si>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</si>
  <si>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</si>
  <si>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</si>
  <si>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</si>
  <si>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</si>
  <si>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</si>
  <si>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</si>
  <si>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</si>
  <si>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</si>
  <si>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</si>
  <si>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</si>
  <si>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</si>
  <si>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</si>
  <si>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</si>
  <si>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</si>
  <si>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</si>
  <si>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</si>
  <si>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</si>
  <si>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</si>
  <si>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</si>
  <si>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</si>
  <si>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</si>
  <si>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</si>
  <si>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</si>
  <si>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</si>
  <si>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</si>
  <si>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</si>
  <si>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</si>
  <si>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</si>
  <si>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</si>
  <si>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</si>
  <si>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</si>
  <si>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</si>
  <si>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</si>
  <si>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</si>
  <si>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</si>
  <si>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</si>
  <si>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</si>
  <si>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</si>
  <si>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</si>
  <si>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</si>
  <si>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</si>
  <si>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</si>
  <si>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</si>
  <si>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</si>
  <si>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</si>
  <si>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</si>
  <si>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</si>
  <si>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</si>
  <si>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</si>
  <si>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</si>
  <si>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</si>
  <si>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</si>
  <si>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</si>
  <si>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</si>
  <si>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</si>
  <si>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</si>
  <si>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</si>
  <si>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</si>
  <si>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</si>
  <si>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</si>
  <si>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</si>
  <si>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</si>
  <si>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</si>
  <si>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</si>
  <si>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</si>
  <si>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</si>
  <si>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</si>
  <si>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</si>
  <si>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</si>
  <si>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</si>
  <si>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</si>
  <si>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</si>
  <si>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</si>
  <si>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</si>
  <si>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</si>
  <si>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</si>
  <si>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</si>
  <si>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</si>
  <si>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</si>
  <si>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</si>
  <si>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</si>
  <si>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</si>
  <si>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</si>
  <si>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</si>
  <si>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</si>
  <si>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</si>
  <si>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</si>
  <si>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</si>
  <si>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</si>
  <si>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</si>
  <si>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</si>
  <si>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</si>
  <si>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</si>
  <si>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</si>
  <si>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</si>
  <si>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</si>
  <si>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</si>
  <si>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</si>
  <si>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</si>
  <si>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</si>
  <si>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</si>
  <si>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</si>
  <si>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</si>
  <si>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</si>
  <si>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</si>
  <si>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</si>
  <si>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</si>
  <si>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</si>
  <si>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</si>
  <si>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</si>
  <si>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</si>
  <si>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</si>
  <si>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</si>
  <si>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</si>
  <si>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</si>
  <si>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</si>
  <si>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</si>
  <si>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</si>
  <si>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</si>
  <si>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</si>
  <si>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</si>
  <si>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</si>
  <si>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</si>
  <si>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</si>
  <si>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</si>
  <si>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</si>
  <si>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</si>
  <si>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</si>
  <si>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</si>
  <si>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</si>
  <si>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</si>
  <si>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</si>
  <si>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</si>
  <si>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</si>
  <si>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</si>
  <si>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</si>
  <si>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</si>
  <si>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</si>
  <si>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</si>
  <si>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</si>
  <si>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</si>
  <si>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</si>
  <si>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</si>
  <si>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</si>
  <si>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</si>
  <si>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</si>
  <si>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</si>
  <si>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</si>
  <si>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</si>
  <si>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</si>
  <si>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</si>
  <si>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</si>
  <si>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</si>
  <si>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</si>
  <si>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</si>
  <si>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</si>
  <si>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</si>
  <si>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</si>
  <si>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</si>
  <si>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</si>
  <si>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</si>
  <si>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</si>
  <si>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</si>
  <si>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</si>
  <si>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</si>
  <si>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</si>
  <si>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</si>
  <si>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</si>
  <si>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</si>
  <si>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</si>
  <si>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</si>
  <si>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</si>
  <si>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</si>
  <si>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</si>
  <si>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</si>
  <si>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</si>
  <si>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</si>
  <si>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</si>
  <si>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</si>
  <si>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</si>
  <si>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</si>
  <si>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</si>
  <si>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</si>
  <si>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</si>
  <si>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</si>
  <si>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</si>
  <si>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</si>
  <si>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</si>
  <si>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</si>
  <si>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</si>
  <si>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</si>
  <si>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</si>
  <si>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</si>
  <si>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</si>
  <si>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</si>
  <si>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</si>
  <si>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</si>
  <si>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</si>
  <si>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</si>
  <si>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</si>
  <si>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</si>
  <si>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</si>
  <si>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</si>
  <si>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</si>
  <si>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</si>
  <si>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</si>
  <si>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</si>
  <si>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</si>
  <si>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</si>
  <si>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</si>
  <si>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</si>
  <si>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</si>
  <si>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</si>
  <si>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</si>
  <si>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</si>
  <si>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</si>
  <si>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</si>
  <si>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</si>
  <si>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</si>
  <si>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</si>
  <si>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</si>
  <si>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</si>
  <si>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</si>
  <si>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</si>
  <si>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</si>
  <si>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</si>
  <si>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</si>
  <si>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</si>
  <si>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</si>
  <si>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</si>
  <si>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</si>
  <si>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</si>
  <si>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</si>
  <si>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</si>
  <si>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</si>
  <si>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</si>
  <si>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</si>
  <si>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</si>
  <si>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</si>
  <si>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</si>
  <si>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</si>
  <si>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</si>
  <si>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</si>
  <si>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</si>
  <si>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</si>
  <si>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</si>
  <si>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</si>
  <si>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</si>
  <si>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</si>
  <si>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</si>
  <si>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</si>
  <si>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</si>
  <si>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</si>
  <si>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</si>
  <si>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</si>
  <si>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</si>
  <si>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</si>
  <si>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</si>
  <si>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</si>
  <si>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</si>
  <si>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</si>
  <si>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</si>
  <si>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</si>
  <si>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</si>
  <si>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</si>
  <si>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</si>
  <si>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</si>
  <si>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</si>
  <si>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</si>
  <si>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</si>
  <si>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</si>
  <si>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</si>
  <si>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</si>
  <si>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</si>
  <si>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</si>
  <si>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</si>
  <si>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</si>
  <si>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</si>
  <si>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</si>
  <si>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</si>
  <si>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</si>
  <si>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</si>
  <si>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</si>
  <si>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</si>
  <si>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</si>
  <si>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</si>
  <si>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</si>
  <si>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</si>
  <si>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</si>
  <si>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</si>
  <si>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</si>
  <si>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</si>
  <si>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</si>
  <si>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</si>
  <si>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</si>
  <si>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</si>
  <si>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</si>
  <si>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</si>
  <si>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</si>
  <si>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</si>
  <si>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</si>
  <si>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</si>
  <si>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</si>
  <si>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</si>
  <si>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</si>
  <si>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</si>
  <si>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</si>
  <si>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</si>
  <si>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</si>
  <si>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</si>
  <si>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</si>
  <si>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</si>
  <si>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</si>
  <si>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</si>
  <si>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</si>
  <si>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</si>
  <si>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</si>
  <si>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</si>
  <si>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</si>
  <si>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</si>
  <si>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</si>
  <si>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</si>
  <si>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</si>
  <si>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</si>
  <si>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</si>
  <si>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</si>
  <si>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</si>
  <si>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</si>
  <si>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</si>
  <si>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</si>
  <si>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</si>
  <si>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</si>
  <si>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</si>
  <si>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</si>
  <si>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</si>
  <si>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</si>
  <si>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</si>
  <si>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</si>
  <si>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</si>
  <si>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</si>
  <si>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</si>
  <si>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</si>
  <si>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</si>
  <si>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</si>
  <si>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</si>
  <si>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</si>
  <si>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</si>
  <si>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</si>
  <si>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</si>
  <si>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</si>
  <si>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</si>
  <si>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</si>
  <si>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</si>
  <si>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</si>
  <si>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</si>
  <si>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</si>
  <si>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</si>
  <si>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</si>
  <si>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</si>
  <si>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</si>
  <si>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</si>
  <si>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</si>
  <si>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</si>
  <si>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</si>
  <si>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</si>
  <si>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</si>
  <si>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</si>
  <si>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</si>
  <si>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</si>
  <si>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</si>
  <si>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</si>
  <si>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</si>
  <si>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</si>
  <si>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</si>
  <si>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</si>
  <si>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</si>
  <si>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</si>
  <si>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</si>
  <si>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</si>
  <si>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</si>
  <si>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</si>
  <si>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</si>
  <si>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</si>
  <si>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</si>
  <si>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</si>
  <si>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</si>
  <si>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</si>
  <si>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</si>
  <si>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</si>
  <si>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</si>
  <si>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</si>
  <si>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</si>
  <si>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</si>
  <si>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</si>
  <si>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</si>
  <si>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</si>
  <si>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</si>
  <si>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</si>
  <si>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</si>
  <si>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</si>
  <si>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</si>
  <si>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</si>
  <si>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</si>
  <si>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</si>
  <si>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</si>
  <si>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</si>
  <si>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</si>
  <si>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</si>
  <si>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</si>
  <si>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</si>
  <si>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</si>
  <si>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</si>
  <si>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</si>
  <si>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</si>
  <si>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</si>
  <si>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</si>
  <si>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</si>
  <si>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</si>
  <si>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</si>
  <si>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</si>
  <si>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</si>
  <si>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</si>
  <si>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</si>
  <si>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</si>
  <si>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</si>
  <si>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</si>
  <si>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</si>
  <si>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</si>
  <si>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</si>
  <si>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</si>
  <si>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</si>
  <si>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</si>
  <si>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</si>
  <si>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</si>
  <si>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</si>
  <si>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</si>
  <si>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</si>
  <si>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</si>
  <si>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</si>
  <si>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</si>
  <si>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</si>
  <si>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</si>
  <si>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</si>
  <si>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</si>
  <si>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</si>
  <si>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</si>
  <si>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</si>
  <si>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</si>
  <si>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</si>
  <si>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</si>
  <si>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</si>
  <si>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</si>
  <si>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</si>
  <si>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</si>
  <si>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</si>
  <si>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</si>
  <si>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</si>
  <si>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</si>
  <si>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</si>
  <si>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</si>
  <si>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</si>
  <si>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</si>
  <si>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</si>
  <si>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</si>
  <si>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</si>
  <si>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</si>
  <si>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</si>
  <si>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</si>
  <si>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</si>
  <si>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</si>
  <si>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</si>
  <si>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</si>
  <si>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</si>
  <si>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</si>
  <si>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</si>
  <si>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</si>
  <si>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</si>
  <si>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</si>
  <si>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</si>
  <si>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</si>
  <si>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</si>
  <si>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</si>
  <si>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</si>
  <si>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</si>
  <si>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</si>
  <si>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</si>
  <si>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</si>
  <si>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</si>
  <si>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</si>
  <si>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</si>
  <si>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</si>
  <si>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</si>
  <si>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</si>
  <si>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</si>
  <si>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</si>
  <si>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</si>
  <si>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</si>
  <si>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</si>
  <si>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</si>
  <si>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</si>
  <si>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</si>
  <si>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</si>
  <si>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</si>
  <si>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</si>
  <si>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</si>
  <si>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</si>
  <si>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</si>
  <si>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</si>
  <si>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</si>
  <si>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</si>
  <si>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</si>
  <si>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</si>
  <si>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</si>
  <si>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</si>
  <si>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</si>
  <si>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</si>
  <si>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</si>
  <si>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</si>
  <si>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</si>
  <si>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</si>
  <si>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</si>
  <si>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</si>
  <si>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</si>
  <si>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</si>
  <si>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项目</t>
    <phoneticPr fontId="228" type="noConversion"/>
  </si>
  <si>
    <t>总共</t>
    <phoneticPr fontId="228" type="noConversion"/>
  </si>
  <si>
    <t>一期</t>
    <phoneticPr fontId="228" type="noConversion"/>
  </si>
  <si>
    <t>其余</t>
    <phoneticPr fontId="228" type="noConversion"/>
  </si>
  <si>
    <t>土地面积</t>
    <phoneticPr fontId="228" type="noConversion"/>
  </si>
  <si>
    <t>总建筑面积</t>
    <phoneticPr fontId="228" type="noConversion"/>
  </si>
  <si>
    <t>计容面积</t>
    <phoneticPr fontId="228" type="noConversion"/>
  </si>
  <si>
    <t>洋房</t>
    <phoneticPr fontId="228" type="noConversion"/>
  </si>
  <si>
    <t>叠拼</t>
    <phoneticPr fontId="228" type="noConversion"/>
  </si>
  <si>
    <t>商业</t>
    <phoneticPr fontId="228" type="noConversion"/>
  </si>
  <si>
    <t>消防监控、监控室</t>
    <phoneticPr fontId="228" type="noConversion"/>
  </si>
  <si>
    <t>物业用房</t>
    <phoneticPr fontId="228" type="noConversion"/>
  </si>
  <si>
    <t>幼儿园</t>
    <phoneticPr fontId="228" type="noConversion"/>
  </si>
  <si>
    <t>门卫</t>
    <phoneticPr fontId="228" type="noConversion"/>
  </si>
  <si>
    <t>不计容</t>
    <phoneticPr fontId="228" type="noConversion"/>
  </si>
  <si>
    <t>架空层面积</t>
    <phoneticPr fontId="228" type="noConversion"/>
  </si>
  <si>
    <t>楼顶机房及楼梯间</t>
    <phoneticPr fontId="228" type="noConversion"/>
  </si>
  <si>
    <t>地下车库</t>
    <phoneticPr fontId="228" type="noConversion"/>
  </si>
  <si>
    <t>人防车库</t>
    <phoneticPr fontId="228" type="noConversion"/>
  </si>
  <si>
    <t>洋房</t>
  </si>
  <si>
    <t>商业</t>
  </si>
  <si>
    <t>地上</t>
  </si>
  <si>
    <t>地下</t>
  </si>
  <si>
    <t>车库</t>
  </si>
  <si>
    <t>洋房</t>
    <phoneticPr fontId="7" type="noConversion"/>
  </si>
  <si>
    <t>商业</t>
    <phoneticPr fontId="7" type="noConversion"/>
  </si>
  <si>
    <t>车库</t>
    <phoneticPr fontId="7" type="noConversion"/>
  </si>
  <si>
    <r>
      <rPr>
        <b/>
        <sz val="11"/>
        <rFont val="宋体"/>
        <family val="3"/>
        <charset val="134"/>
      </rPr>
      <t>比较因素</t>
    </r>
    <phoneticPr fontId="3" type="noConversion"/>
  </si>
  <si>
    <r>
      <rPr>
        <sz val="11"/>
        <color indexed="8"/>
        <rFont val="宋体"/>
        <family val="3"/>
        <charset val="134"/>
      </rPr>
      <t>修正幅度</t>
    </r>
    <phoneticPr fontId="3" type="noConversion"/>
  </si>
  <si>
    <r>
      <rPr>
        <b/>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</si>
  <si>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</si>
  <si>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</si>
  <si>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</si>
  <si>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</si>
  <si>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</si>
  <si>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土地使用年限（年）</t>
    </r>
    <phoneticPr fontId="3" type="noConversion"/>
  </si>
  <si>
    <t>100/</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</si>
  <si>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</si>
  <si>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</si>
  <si>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</si>
  <si>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</si>
  <si>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较好</t>
  </si>
  <si>
    <t>一般</t>
  </si>
  <si>
    <t>好</t>
  </si>
  <si>
    <t>六通</t>
  </si>
  <si>
    <t>较规则</t>
  </si>
  <si>
    <t>规则</t>
  </si>
  <si>
    <t>较适宜</t>
  </si>
  <si>
    <t>适宜</t>
  </si>
  <si>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</si>
  <si>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</si>
  <si>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</si>
  <si>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t>住宅</t>
    <phoneticPr fontId="3" type="noConversion"/>
  </si>
  <si>
    <t>综合</t>
    <phoneticPr fontId="3" type="noConversion"/>
  </si>
  <si>
    <t>无</t>
    <phoneticPr fontId="3" type="noConversion"/>
  </si>
  <si>
    <t>有</t>
    <phoneticPr fontId="3" type="noConversion"/>
  </si>
  <si>
    <r>
      <rPr>
        <sz val="11"/>
        <rFont val="宋体"/>
        <family val="3"/>
        <charset val="134"/>
      </rPr>
      <t>五通</t>
    </r>
    <phoneticPr fontId="3" type="noConversion"/>
  </si>
  <si>
    <t>规则</t>
    <phoneticPr fontId="3" type="noConversion"/>
  </si>
  <si>
    <t>较规则</t>
    <phoneticPr fontId="3" type="noConversion"/>
  </si>
  <si>
    <t>不规则</t>
    <phoneticPr fontId="3" type="noConversion"/>
  </si>
  <si>
    <t>适宜</t>
    <phoneticPr fontId="3" type="noConversion"/>
  </si>
  <si>
    <t>较适宜</t>
    <phoneticPr fontId="3" type="noConversion"/>
  </si>
  <si>
    <t>一般</t>
    <phoneticPr fontId="3" type="noConversion"/>
  </si>
  <si>
    <t>三通</t>
    <phoneticPr fontId="3" type="noConversion"/>
  </si>
  <si>
    <t>好</t>
    <phoneticPr fontId="3" type="noConversion"/>
  </si>
  <si>
    <t>较好</t>
    <phoneticPr fontId="3" type="noConversion"/>
  </si>
  <si>
    <t>项目位置</t>
  </si>
  <si>
    <t>中心城区控规BP08-26和BP08-27地块</t>
  </si>
  <si>
    <t>中心城区控规BP06-26、BP06-28、BP06-30和BP06-32A地块</t>
  </si>
  <si>
    <t>海棠湾A8片区A8-07-01地块和A8-07-01(1)地块内</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</si>
  <si>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</si>
  <si>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</si>
  <si>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</si>
  <si>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</si>
  <si>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</si>
  <si>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</si>
  <si>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</si>
  <si>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</si>
  <si>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</si>
  <si>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</si>
  <si>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</si>
  <si>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</si>
  <si>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</si>
  <si>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三亚市</t>
  </si>
  <si>
    <t>住宅用地</t>
  </si>
  <si>
    <t>大于1并且小于或等于2.5</t>
  </si>
  <si>
    <t>挂牌</t>
  </si>
  <si>
    <t>2019-09-30</t>
  </si>
  <si>
    <t>三亚国奥体育产业投资有限公司</t>
  </si>
  <si>
    <t>4星</t>
  </si>
  <si>
    <t>三亚市天涯国际影视拍摄制作服务中心有限公司</t>
  </si>
  <si>
    <t>5星</t>
  </si>
  <si>
    <t>原三亚市创意产业园控规CY02-13-04地块内</t>
    <phoneticPr fontId="228" type="noConversion"/>
  </si>
  <si>
    <t>大于或等于1并且小于或等于2</t>
  </si>
  <si>
    <t>2019-07-05</t>
  </si>
  <si>
    <t>三亚易视芯置业有限公司</t>
  </si>
  <si>
    <t>1星</t>
  </si>
  <si>
    <t>三亚市月川片区控规YC3-37-3地块内</t>
  </si>
  <si>
    <t>＞1且≤3.5</t>
  </si>
  <si>
    <t>2018-12-29</t>
  </si>
  <si>
    <t>海南中投合通实业发展有限公司</t>
  </si>
  <si>
    <t>＞1且≤1.2</t>
  </si>
  <si>
    <t>2017-10-20</t>
  </si>
  <si>
    <t>黄金海岸置业开发有限公司</t>
  </si>
  <si>
    <t>三亚市红沙片区控规B-030地块内</t>
    <phoneticPr fontId="228" type="noConversion"/>
  </si>
  <si>
    <t>＞1且≤2</t>
  </si>
  <si>
    <t>2017-10-16</t>
  </si>
  <si>
    <t>三亚润丰投资建设有限公司</t>
  </si>
  <si>
    <t>河东旧城改造控规HD03-01-02地块</t>
  </si>
  <si>
    <t>综合用地(含住宅)</t>
  </si>
  <si>
    <t>≤2.738</t>
  </si>
  <si>
    <t>2017-07-10</t>
  </si>
  <si>
    <t>三亚富岛置业有限公司</t>
  </si>
  <si>
    <t>吉阳片区控规A-39地块</t>
  </si>
  <si>
    <t>＞1,≤2</t>
  </si>
  <si>
    <t>三亚上成房地产开发有限公司</t>
  </si>
  <si>
    <t>2星</t>
  </si>
  <si>
    <t>三亚市海坡片区控规HPA-01-11地块和HPA-01-12地块内</t>
  </si>
  <si>
    <t>≤1.8</t>
  </si>
  <si>
    <t>2017-06-16</t>
  </si>
  <si>
    <t>三亚城圣文化投资管理有限公司</t>
  </si>
  <si>
    <t>控规CY01-14-01、CY02-11-06地块</t>
  </si>
  <si>
    <t>cy01-14-01:≤1.0、cy02-11-06:1.0＜容积率≤2.0</t>
  </si>
  <si>
    <t>2016-11-21</t>
  </si>
  <si>
    <t>北京荣轩投资发展有限公司</t>
  </si>
  <si>
    <t>3星</t>
  </si>
  <si>
    <t>三亚湾海坡片区控规HPC-07-04地块和HPC-03-01地块内</t>
  </si>
  <si>
    <t>＞1且≤1.01</t>
  </si>
  <si>
    <t>2016-10-28</t>
  </si>
  <si>
    <t>三亚联合实业有限公司</t>
  </si>
  <si>
    <t>海棠湾B1片区B1-d1-8地块和B1-d1-10b地块</t>
    <phoneticPr fontId="228" type="noConversion"/>
  </si>
  <si>
    <t>＞1且≤1.5</t>
  </si>
  <si>
    <t>2016-07-15</t>
  </si>
  <si>
    <t>海南中海三邦友房地产开发有限责任公司</t>
  </si>
  <si>
    <t>河西控规HX5-2-2地块内</t>
  </si>
  <si>
    <t>2016-07-14</t>
  </si>
  <si>
    <t>三亚安福实业有限责任公司</t>
  </si>
  <si>
    <t>海棠湾A4片区A4-03-04-01地块和A4片区A4-03-04-02地块</t>
  </si>
  <si>
    <t>≥1,≤2</t>
  </si>
  <si>
    <t>2015-12-31</t>
  </si>
  <si>
    <t>中电天堃(三亚)投资管理有限责任公司</t>
  </si>
  <si>
    <t>三亚市海棠湾A8片区A8-05-09地块</t>
  </si>
  <si>
    <t>＞1,≤1.2</t>
  </si>
  <si>
    <t>2015-11-20</t>
  </si>
  <si>
    <t>海南联投投资有限责任公司</t>
  </si>
  <si>
    <t>下洋田安置区地块</t>
  </si>
  <si>
    <t>＞1,≤2.5</t>
  </si>
  <si>
    <t>2015-10-30</t>
  </si>
  <si>
    <t>三亚京海成房地产开发有限公司</t>
  </si>
  <si>
    <t>三亚市红沙棕榈滩控规G2-1、H3-4、H1-6、H1-7、H1-8和H1-10地块</t>
  </si>
  <si>
    <t>大于1并且小于或等于2</t>
  </si>
  <si>
    <t>2015-01-09</t>
  </si>
  <si>
    <t>绿地控股集团有限公司、绿地集团三亚置业有限公司</t>
  </si>
  <si>
    <t>三亚市红塘湾旅游度假区控规C-05地块</t>
  </si>
  <si>
    <t>大于1并且小于或等于1.05</t>
  </si>
  <si>
    <t>2014-08-15</t>
  </si>
  <si>
    <t>北京城建(海南)地产有限公司</t>
  </si>
  <si>
    <t>三亚市红塘湾旅游度假区控规C-06、C-07和D-01地块</t>
  </si>
  <si>
    <t>2014-08-11</t>
  </si>
  <si>
    <t>三亚悦晟开发建设有限公司</t>
  </si>
  <si>
    <t>吉阳镇迎宾路清平乐小区西侧</t>
  </si>
  <si>
    <t>2014-05-22</t>
  </si>
  <si>
    <t>三亚东锣岛地产有限公司</t>
  </si>
  <si>
    <t>海坡控规HPC-04-02地块</t>
  </si>
  <si>
    <t>大于1并且小于或等于1.5</t>
  </si>
  <si>
    <t>2014-02-28</t>
  </si>
  <si>
    <t>海南中港诚实业有限公司</t>
  </si>
  <si>
    <t>红沙棕榈滩控规G3-1、H4-1、H1-11和H1-12地块</t>
  </si>
  <si>
    <t>2014-02-12</t>
  </si>
  <si>
    <t>绿地控股集团有限公司</t>
  </si>
  <si>
    <t>三亚市创意产业园CY02-09-02(2)地块</t>
  </si>
  <si>
    <t>2014-01-15</t>
  </si>
  <si>
    <t>三亚嘉鹏科技发展有限公司</t>
  </si>
  <si>
    <t>月川控规YC3-6-3地块内</t>
  </si>
  <si>
    <t>大于1并且小于或等于2.86</t>
  </si>
  <si>
    <t>2013-11-29</t>
  </si>
  <si>
    <t>三亚海航凤凰投资开发有限公司</t>
  </si>
  <si>
    <t>三亚月川控规YC2-38-2地块东侧</t>
  </si>
  <si>
    <t>≤3.5%</t>
  </si>
  <si>
    <t>招标</t>
  </si>
  <si>
    <t>2013-10-11</t>
  </si>
  <si>
    <t>三亚苏商融智房地产开发有限公司</t>
  </si>
  <si>
    <t>月川片区控规YC4-23-3地块</t>
  </si>
  <si>
    <t>大于1并且小于或等于3.6</t>
  </si>
  <si>
    <t>2013-05-13</t>
  </si>
  <si>
    <t>三亚银沙海岸发展有限公司</t>
  </si>
  <si>
    <t>三亚市迎宾路中段控规B-05-05和B-06-06地块</t>
  </si>
  <si>
    <t>2013-05-09</t>
  </si>
  <si>
    <t>三亚润德置业投资有限公司</t>
  </si>
  <si>
    <t>三亚市创意产业园A33-4/2地块</t>
  </si>
  <si>
    <t>2013-04-05</t>
  </si>
  <si>
    <t>三亚湾新城控规HPB-03-12和HPB-03-14地块</t>
  </si>
  <si>
    <t>hpb-03-121.0﹤容积率≤1.01,hpb-03-14容积率≤0.8</t>
  </si>
  <si>
    <t>2013-03-18</t>
  </si>
  <si>
    <t>海南三亚湾新城开发有限公司</t>
  </si>
  <si>
    <t>三亚红塘湾旅游度假区控规E-12、E-15、E-16、E-19、E-23、E-24、E-26、E-27号地块</t>
  </si>
  <si>
    <t>e-12容积率≤0.6、e-15容积率为1-2、e-16容积率≤0.8、e-19容积率≤0.6、e-23容积率为1-2、e-24容积率≤1.0、e-26为1＜容积率≤1.2、e-27容积率≤0.8</t>
  </si>
  <si>
    <t>2012-11-28</t>
  </si>
  <si>
    <t>三亚红塘湾旅游度假区控规E-01、E-02、E-03、E-05、E-09号地块</t>
  </si>
  <si>
    <t>e-01容积率≤1.0、e-02容积率≤0.8、e-03容积率≤1.2、e-05容积率≤0.7、e-09容积率≤1.2</t>
  </si>
  <si>
    <t>2012-11-24</t>
  </si>
  <si>
    <t>北京城建投资发展股份有限公司</t>
  </si>
  <si>
    <t>三亚市临春控规E-5号地块内</t>
  </si>
  <si>
    <t>大于或等于1并且小于或等于1.01</t>
  </si>
  <si>
    <t>2012-08-06</t>
  </si>
  <si>
    <t>三亚(首都机场)投资开发有限公司</t>
  </si>
  <si>
    <t>三亚市临春控规E-6号地块内</t>
  </si>
  <si>
    <t>大于或等于1并且小于或等于1.8</t>
  </si>
  <si>
    <t>三亚市南边海片区控规NBH03-03-03号地块</t>
  </si>
  <si>
    <t>大于1并且小于或等于3.5</t>
  </si>
  <si>
    <t>2012-06-29</t>
  </si>
  <si>
    <t>三亚博大精益房地产开发有限公司</t>
  </si>
  <si>
    <t>三亚市原月川行政中心片区A-22-1地块内</t>
  </si>
  <si>
    <t>大于1并且小于或等于2.9</t>
  </si>
  <si>
    <t>2012-06-21</t>
  </si>
  <si>
    <t>三亚城投置业有限公司</t>
  </si>
  <si>
    <t>三亚市月川片区控规YC4-6-8地块</t>
  </si>
  <si>
    <t>大于1并且小于或等于4</t>
  </si>
  <si>
    <t>2012-03-29</t>
  </si>
  <si>
    <t>三亚中铁置业有限公司</t>
  </si>
  <si>
    <t>三亚市吉阳镇榆亚大道东侧</t>
  </si>
  <si>
    <t>≤2</t>
  </si>
  <si>
    <t>2011-12-29</t>
  </si>
  <si>
    <t>三亚盈湾旅业有限公司</t>
  </si>
  <si>
    <t>三亚市田独高新技术产业园B15-1号地块</t>
  </si>
  <si>
    <t>1-3</t>
  </si>
  <si>
    <t>2011-11-22</t>
  </si>
  <si>
    <t>三亚和泓房地产开发有限公司</t>
  </si>
  <si>
    <t>三亚市迎宾大道田独A片区A-10R2-1地块</t>
  </si>
  <si>
    <t>≤2.5</t>
  </si>
  <si>
    <t>2011-09-30</t>
  </si>
  <si>
    <t>三亚市吉阳镇迎宾路与龙坡南路交汇处两侧</t>
  </si>
  <si>
    <t>2011-09-20</t>
  </si>
  <si>
    <t>三亚大腾房地产有限公司</t>
  </si>
  <si>
    <t>三亚市迎宾路北侧,荔枝沟加油站东侧地块</t>
  </si>
  <si>
    <t>≤3.5</t>
  </si>
  <si>
    <t>2011-08-17</t>
  </si>
  <si>
    <t>三亚不夜城置业有限公司</t>
  </si>
  <si>
    <t>三亚市海榆西线南侧,海虹路东侧地块</t>
  </si>
  <si>
    <t>≤1.2</t>
  </si>
  <si>
    <t>2010-10-12</t>
  </si>
  <si>
    <t>蒲正龙</t>
  </si>
  <si>
    <t>三亚市新城区控制性详细规划A-35-1地块</t>
  </si>
  <si>
    <t>2010-09-17</t>
  </si>
  <si>
    <t>海南嘉鹏置业有限公司</t>
  </si>
  <si>
    <t>凤凰镇三亚湾海坡二线用地范围内,海虹路东侧的三亚湾新城控规HD1-2、HD2-3地块</t>
  </si>
  <si>
    <t>≤1.0</t>
  </si>
  <si>
    <t>2010-01-07</t>
  </si>
  <si>
    <t>田独镇颂和水库南侧</t>
  </si>
  <si>
    <t>≤1.02</t>
  </si>
  <si>
    <t>2009-12-18</t>
  </si>
  <si>
    <t>袁隆平农业高科技股份有限公司</t>
  </si>
  <si>
    <t>原月川行政中心月川控规地块</t>
  </si>
  <si>
    <t>地块一≤3.0;地块二≤2.5</t>
  </si>
  <si>
    <t>拍卖</t>
  </si>
  <si>
    <t>2009-12-15</t>
  </si>
  <si>
    <t>中铁置业</t>
  </si>
  <si>
    <t>凤凰镇三亚湾海坡二线用地范围内,海虹路东侧的三亚湾新城控规</t>
  </si>
  <si>
    <t>地块一0.5;地块二1.8;地块三1.2;地块四1.2</t>
  </si>
  <si>
    <t>2009-10-28</t>
  </si>
  <si>
    <t>河东区榕根社区</t>
  </si>
  <si>
    <t>≤3.8、≤4.29</t>
  </si>
  <si>
    <t>2009-09-01</t>
  </si>
  <si>
    <t>海南东朋祥泰房地产开发有限公司</t>
  </si>
  <si>
    <t>创意新城开发区</t>
  </si>
  <si>
    <t>2009-08-31</t>
  </si>
  <si>
    <t>三亚中兴置地有限公司</t>
  </si>
  <si>
    <t>三亚市鹿回头半岛</t>
  </si>
  <si>
    <t>≤1.71</t>
  </si>
  <si>
    <t>2009-08-10</t>
  </si>
  <si>
    <t>三亚鹿回头旅游区开发有限公司</t>
  </si>
  <si>
    <t>正常</t>
  </si>
  <si>
    <t>无</t>
    <phoneticPr fontId="26" type="noConversion"/>
  </si>
  <si>
    <t>有</t>
    <phoneticPr fontId="26" type="noConversion"/>
  </si>
  <si>
    <t>楼面地价</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</si>
  <si>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</si>
  <si>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</si>
  <si>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</si>
  <si>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</si>
  <si>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</si>
  <si>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</si>
  <si>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</si>
  <si>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</si>
  <si>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</si>
  <si>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</si>
  <si>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</si>
  <si>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</si>
  <si>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</si>
  <si>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</si>
  <si>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</si>
  <si>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</si>
  <si>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</si>
  <si>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</si>
  <si>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长基听棠</t>
    <phoneticPr fontId="3" type="noConversion"/>
  </si>
  <si>
    <t>长基听棠</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</si>
  <si>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</si>
  <si>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</si>
  <si>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</si>
  <si>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</si>
  <si>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</si>
  <si>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</si>
  <si>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t>100/</t>
    <phoneticPr fontId="3" type="noConversion"/>
  </si>
  <si>
    <r>
      <rPr>
        <sz val="11"/>
        <color indexed="8"/>
        <rFont val="宋体"/>
        <family val="3"/>
        <charset val="134"/>
      </rPr>
      <t>交易时间</t>
    </r>
    <phoneticPr fontId="3" type="noConversion"/>
  </si>
  <si>
    <r>
      <rPr>
        <sz val="11"/>
        <color indexed="8"/>
        <rFont val="宋体"/>
        <family val="3"/>
        <charset val="134"/>
      </rPr>
      <t>交易情况</t>
    </r>
    <phoneticPr fontId="3" type="noConversion"/>
  </si>
  <si>
    <r>
      <rPr>
        <sz val="11"/>
        <color indexed="8"/>
        <rFont val="宋体"/>
        <family val="3"/>
        <charset val="134"/>
      </rPr>
      <t>权益状况</t>
    </r>
    <phoneticPr fontId="3" type="noConversion"/>
  </si>
  <si>
    <t>60-70（含）</t>
  </si>
  <si>
    <t>100/</t>
    <phoneticPr fontId="3" type="noConversion"/>
  </si>
  <si>
    <r>
      <rPr>
        <b/>
        <sz val="11"/>
        <rFont val="宋体"/>
        <family val="3"/>
        <charset val="134"/>
      </rPr>
      <t>区位状况</t>
    </r>
    <phoneticPr fontId="3" type="noConversion"/>
  </si>
  <si>
    <r>
      <rPr>
        <sz val="11"/>
        <color indexed="8"/>
        <rFont val="宋体"/>
        <family val="3"/>
        <charset val="134"/>
      </rPr>
      <t>交通便捷度</t>
    </r>
  </si>
  <si>
    <r>
      <rPr>
        <sz val="11"/>
        <color indexed="8"/>
        <rFont val="宋体"/>
        <family val="3"/>
        <charset val="134"/>
      </rPr>
      <t>公共配套设施</t>
    </r>
    <phoneticPr fontId="3" type="noConversion"/>
  </si>
  <si>
    <t>100/</t>
    <phoneticPr fontId="3" type="noConversion"/>
  </si>
  <si>
    <r>
      <rPr>
        <sz val="11"/>
        <color indexed="8"/>
        <rFont val="宋体"/>
        <family val="3"/>
        <charset val="134"/>
      </rPr>
      <t>基础设施水平</t>
    </r>
    <phoneticPr fontId="3" type="noConversion"/>
  </si>
  <si>
    <r>
      <rPr>
        <sz val="11"/>
        <color indexed="8"/>
        <rFont val="宋体"/>
        <family val="3"/>
        <charset val="134"/>
      </rPr>
      <t>自然及人文环境</t>
    </r>
  </si>
  <si>
    <r>
      <rPr>
        <sz val="11"/>
        <color indexed="8"/>
        <rFont val="宋体"/>
        <family val="3"/>
        <charset val="134"/>
      </rPr>
      <t>楼层</t>
    </r>
    <r>
      <rPr>
        <sz val="11"/>
        <color indexed="8"/>
        <rFont val="Arial"/>
        <family val="2"/>
      </rPr>
      <t>-1</t>
    </r>
    <phoneticPr fontId="3" type="noConversion"/>
  </si>
  <si>
    <t>100/</t>
    <phoneticPr fontId="3" type="noConversion"/>
  </si>
  <si>
    <r>
      <rPr>
        <sz val="11"/>
        <color indexed="8"/>
        <rFont val="宋体"/>
        <family val="3"/>
        <charset val="134"/>
      </rPr>
      <t>朝向</t>
    </r>
  </si>
  <si>
    <t>100/</t>
    <phoneticPr fontId="3"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</si>
  <si>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</si>
  <si>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</si>
  <si>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</si>
  <si>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</si>
  <si>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</si>
  <si>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</si>
  <si>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</si>
  <si>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</si>
  <si>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</si>
  <si>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</si>
  <si>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</si>
  <si>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t>专业</t>
  </si>
  <si>
    <r>
      <rPr>
        <sz val="11"/>
        <rFont val="宋体"/>
        <family val="3"/>
        <charset val="134"/>
      </rPr>
      <t>实物状况</t>
    </r>
    <phoneticPr fontId="3" type="noConversion"/>
  </si>
  <si>
    <r>
      <rPr>
        <sz val="11"/>
        <color indexed="8"/>
        <rFont val="宋体"/>
        <family val="3"/>
        <charset val="134"/>
      </rPr>
      <t>市政基础设施</t>
    </r>
    <phoneticPr fontId="3" type="noConversion"/>
  </si>
  <si>
    <t>100/</t>
    <phoneticPr fontId="3"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</si>
  <si>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</si>
  <si>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</si>
  <si>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</si>
  <si>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</si>
  <si>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</si>
  <si>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</si>
  <si>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</si>
  <si>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</si>
  <si>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</si>
  <si>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</si>
  <si>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</si>
  <si>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</si>
  <si>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</si>
  <si>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</si>
  <si>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</si>
  <si>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</si>
  <si>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</si>
  <si>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</si>
  <si>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</si>
  <si>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</si>
  <si>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</si>
  <si>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</si>
  <si>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</si>
  <si>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</si>
  <si>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</si>
  <si>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</si>
  <si>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</si>
  <si>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</si>
  <si>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</si>
  <si>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</si>
  <si>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</si>
  <si>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</si>
  <si>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</si>
  <si>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</si>
  <si>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</si>
  <si>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</si>
  <si>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</si>
  <si>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洋房</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</si>
  <si>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</si>
  <si>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</si>
  <si>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</si>
  <si>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</si>
  <si>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好</t>
    <phoneticPr fontId="3" type="noConversion"/>
  </si>
  <si>
    <r>
      <rPr>
        <sz val="11"/>
        <color indexed="8"/>
        <rFont val="宋体"/>
        <family val="3"/>
        <charset val="134"/>
      </rPr>
      <t>公共部分装修</t>
    </r>
    <phoneticPr fontId="3" type="noConversion"/>
  </si>
  <si>
    <t>精装修</t>
    <phoneticPr fontId="3"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</si>
  <si>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</si>
  <si>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</si>
  <si>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3" type="noConversion"/>
  </si>
  <si>
    <r>
      <rPr>
        <sz val="11"/>
        <color indexed="8"/>
        <rFont val="宋体"/>
        <family val="3"/>
        <charset val="134"/>
      </rPr>
      <t>市政基础设施</t>
    </r>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</si>
  <si>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</si>
  <si>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</si>
  <si>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</si>
  <si>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</si>
  <si>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房型</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</si>
  <si>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</si>
  <si>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phoneticPr fontId="3" type="noConversion"/>
  </si>
  <si>
    <t>精装修</t>
    <phoneticPr fontId="3" type="noConversion"/>
  </si>
  <si>
    <t>普通装修</t>
    <phoneticPr fontId="3" type="noConversion"/>
  </si>
  <si>
    <t>简单装修</t>
    <phoneticPr fontId="3" type="noConversion"/>
  </si>
  <si>
    <t>毛坯</t>
    <phoneticPr fontId="3" type="noConversion"/>
  </si>
  <si>
    <r>
      <rPr>
        <sz val="11"/>
        <color indexed="8"/>
        <rFont val="宋体"/>
        <family val="3"/>
        <charset val="134"/>
      </rPr>
      <t>内部装修维护情况</t>
    </r>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</si>
  <si>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</si>
  <si>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</si>
  <si>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</si>
  <si>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</si>
  <si>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</si>
  <si>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</si>
  <si>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</si>
  <si>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</si>
  <si>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</si>
  <si>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</si>
  <si>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</si>
  <si>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</si>
  <si>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</si>
  <si>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</si>
  <si>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</si>
  <si>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</si>
  <si>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</si>
  <si>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</si>
  <si>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</si>
  <si>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</si>
  <si>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</si>
  <si>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</si>
  <si>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</si>
  <si>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</si>
  <si>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</si>
  <si>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</si>
  <si>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</si>
  <si>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</si>
  <si>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</si>
  <si>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叠墅</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</si>
  <si>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</si>
  <si>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</si>
  <si>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</si>
  <si>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</si>
  <si>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</si>
  <si>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</si>
  <si>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</si>
  <si>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</si>
  <si>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</si>
  <si>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</si>
  <si>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</si>
  <si>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</si>
  <si>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海棠盛世</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</si>
  <si>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</si>
  <si>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</si>
  <si>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</si>
  <si>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</si>
  <si>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</si>
  <si>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</si>
  <si>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</si>
  <si>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</si>
  <si>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</si>
  <si>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</si>
  <si>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住宅</t>
    <phoneticPr fontId="228" type="noConversion"/>
  </si>
  <si>
    <r>
      <rPr>
        <sz val="11"/>
        <rFont val="宋体"/>
        <family val="3"/>
        <charset val="134"/>
      </rPr>
      <t>权益状况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</si>
  <si>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</si>
  <si>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</si>
  <si>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100/</t>
    <phoneticPr fontId="3" type="noConversion"/>
  </si>
  <si>
    <t>100/</t>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</si>
  <si>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</si>
  <si>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</si>
  <si>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</si>
  <si>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</si>
  <si>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</si>
  <si>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</si>
  <si>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</si>
  <si>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</si>
  <si>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</si>
  <si>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</si>
  <si>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</si>
  <si>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</si>
  <si>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</si>
  <si>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</si>
  <si>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</si>
  <si>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</si>
  <si>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</si>
  <si>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</si>
  <si>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</si>
  <si>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</si>
  <si>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</si>
  <si>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</si>
  <si>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建筑类型</t>
    </r>
    <phoneticPr fontId="3" type="noConversion"/>
  </si>
  <si>
    <t>双拼</t>
    <phoneticPr fontId="228"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</si>
  <si>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</si>
  <si>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</si>
  <si>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228" type="noConversion"/>
  </si>
  <si>
    <r>
      <rPr>
        <sz val="11"/>
        <color indexed="8"/>
        <rFont val="宋体"/>
        <family val="3"/>
        <charset val="134"/>
      </rPr>
      <t>建筑品质</t>
    </r>
    <phoneticPr fontId="3" type="noConversion"/>
  </si>
  <si>
    <t>好</t>
    <phoneticPr fontId="228" type="noConversion"/>
  </si>
  <si>
    <r>
      <rPr>
        <sz val="11"/>
        <color indexed="8"/>
        <rFont val="宋体"/>
        <family val="3"/>
        <charset val="134"/>
      </rPr>
      <t>公共部分装修</t>
    </r>
    <phoneticPr fontId="3" type="noConversion"/>
  </si>
  <si>
    <t>精装修</t>
    <phoneticPr fontId="228"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</si>
  <si>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</si>
  <si>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</si>
  <si>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228" type="noConversion"/>
  </si>
  <si>
    <t>六通</t>
    <phoneticPr fontId="228" type="noConversion"/>
  </si>
  <si>
    <t>五通</t>
    <phoneticPr fontId="228" type="noConversion"/>
  </si>
  <si>
    <t>四通</t>
    <phoneticPr fontId="228" type="noConversion"/>
  </si>
  <si>
    <t>三通</t>
    <phoneticPr fontId="228"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</si>
  <si>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</si>
  <si>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</si>
  <si>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t>普通装修</t>
    <phoneticPr fontId="228" type="noConversion"/>
  </si>
  <si>
    <t>简单装修</t>
    <phoneticPr fontId="228" type="noConversion"/>
  </si>
  <si>
    <t>毛坯</t>
    <phoneticPr fontId="228"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</si>
  <si>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</si>
  <si>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</si>
  <si>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</si>
  <si>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</si>
  <si>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</si>
  <si>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</si>
  <si>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</si>
  <si>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</si>
  <si>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</si>
  <si>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</si>
  <si>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</si>
  <si>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</si>
  <si>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</si>
  <si>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</si>
  <si>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</si>
  <si>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</si>
  <si>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</si>
  <si>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</si>
  <si>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</si>
  <si>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</si>
  <si>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土地（套用方法）</t>
  </si>
  <si>
    <t>否</t>
  </si>
  <si>
    <t>不动产收益法-商业</t>
  </si>
  <si>
    <t>不动产收益法-车库</t>
  </si>
  <si>
    <r>
      <t>不动产收益法</t>
    </r>
    <r>
      <rPr>
        <sz val="11"/>
        <color theme="1"/>
        <rFont val="Arial"/>
        <family val="2"/>
      </rPr>
      <t>-</t>
    </r>
    <r>
      <rPr>
        <sz val="11"/>
        <color theme="1"/>
        <rFont val="宋体"/>
        <family val="3"/>
        <charset val="134"/>
      </rPr>
      <t>车库</t>
    </r>
  </si>
  <si>
    <t>按租金收入计税</t>
  </si>
  <si>
    <t>剩余法-待开发</t>
  </si>
  <si>
    <t>比较法-住宅、综合</t>
  </si>
  <si>
    <t>情况3</t>
  </si>
  <si>
    <t>自行开发建设</t>
  </si>
  <si>
    <t>非个人房产</t>
  </si>
  <si>
    <t>一期洋房</t>
    <phoneticPr fontId="3" type="noConversion"/>
  </si>
  <si>
    <t>一期叠拼</t>
    <phoneticPr fontId="3" type="noConversion"/>
  </si>
  <si>
    <t>一期幼儿园</t>
    <phoneticPr fontId="3" type="noConversion"/>
  </si>
  <si>
    <t>一期门房</t>
    <phoneticPr fontId="3" type="noConversion"/>
  </si>
  <si>
    <t>一期设备</t>
    <phoneticPr fontId="3" type="noConversion"/>
  </si>
  <si>
    <t>剩余洋房</t>
    <phoneticPr fontId="3" type="noConversion"/>
  </si>
  <si>
    <t>剩余商业</t>
    <phoneticPr fontId="3" type="noConversion"/>
  </si>
  <si>
    <t>消防监控室</t>
    <phoneticPr fontId="3" type="noConversion"/>
  </si>
  <si>
    <t>物业管理</t>
    <phoneticPr fontId="3" type="noConversion"/>
  </si>
  <si>
    <t>架空层</t>
    <phoneticPr fontId="3" type="noConversion"/>
  </si>
  <si>
    <t>剩余设备</t>
    <phoneticPr fontId="3" type="noConversion"/>
  </si>
  <si>
    <t>地下车库</t>
    <phoneticPr fontId="3" type="noConversion"/>
  </si>
  <si>
    <t>押一</t>
  </si>
  <si>
    <t>已全部缴纳</t>
  </si>
  <si>
    <t>中心城区控规BP08-26和BP08-27地块</t>
    <phoneticPr fontId="228" type="noConversion"/>
  </si>
  <si>
    <t>叠墅</t>
    <phoneticPr fontId="7" type="noConversion"/>
  </si>
  <si>
    <t>联排</t>
  </si>
  <si>
    <t>小计</t>
    <phoneticPr fontId="228" type="noConversion"/>
  </si>
  <si>
    <t>海棠湾八号温泉公馆</t>
    <phoneticPr fontId="3" type="noConversion"/>
  </si>
  <si>
    <t>叠墅</t>
    <phoneticPr fontId="228" type="noConversion"/>
  </si>
  <si>
    <t>联排</t>
    <phoneticPr fontId="228" type="noConversion"/>
  </si>
  <si>
    <t>项目全部</t>
  </si>
  <si>
    <t>土地</t>
  </si>
  <si>
    <t>自定义</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</si>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</sst>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_ꃿ"/>
    <numFmt numFmtId="195" formatCode="[DBNum1][$-804]yyyy&quot;年&quot;m&quot;月&quot;d&quot;日&quot;;@"/>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6"/>
      <color indexed="8"/>
      <name val="宋体"/>
      <family val="3"/>
      <charset val="134"/>
    </font>
    <font>
      <b/>
      <sz val="16"/>
      <color rgb="FFFF0000"/>
      <name val="宋体"/>
      <family val="3"/>
      <charset val="134"/>
    </font>
    <font>
      <b/>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194" fontId="81" fillId="0" borderId="0">
      <alignment vertical="center"/>
    </xf>
    <xf numFmtId="0" fontId="1" fillId="0" borderId="0">
      <alignment vertical="center"/>
    </xf>
    <xf numFmtId="195" fontId="145" fillId="0" borderId="0">
      <alignment vertical="center"/>
    </xf>
  </cellStyleXfs>
  <cellXfs count="39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1" applyFont="1" applyBorder="1">
      <alignment vertical="center"/>
    </xf>
    <xf numFmtId="0" fontId="145" fillId="0" borderId="0" xfId="1">
      <alignment vertical="center"/>
    </xf>
    <xf numFmtId="0" fontId="145" fillId="0" borderId="2" xfId="1" applyBorder="1">
      <alignment vertical="center"/>
    </xf>
    <xf numFmtId="0" fontId="81" fillId="0" borderId="21" xfId="0"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1" fillId="0" borderId="12" xfId="1" applyFont="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71" fillId="5" borderId="4" xfId="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100" fillId="5" borderId="24" xfId="1" applyFont="1" applyFill="1" applyBorder="1" applyAlignment="1" applyProtection="1">
      <alignment vertical="center" textRotation="255" wrapText="1"/>
    </xf>
    <xf numFmtId="49" fontId="83" fillId="5" borderId="59" xfId="1" applyNumberFormat="1" applyFont="1" applyFill="1" applyBorder="1" applyAlignment="1" applyProtection="1">
      <alignment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7" fontId="84" fillId="5" borderId="0" xfId="1" applyNumberFormat="1" applyFont="1" applyFill="1" applyBorder="1" applyAlignment="1" applyProtection="1">
      <alignment horizontal="center"/>
      <protection locked="0"/>
    </xf>
    <xf numFmtId="181" fontId="84" fillId="5" borderId="0" xfId="1" applyNumberFormat="1" applyFont="1" applyFill="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protection locked="0"/>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1" fillId="0" borderId="74"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45" fillId="0" borderId="0" xfId="1" applyAlignment="1">
      <alignment horizontal="center" vertical="center" wrapText="1"/>
    </xf>
    <xf numFmtId="0" fontId="145" fillId="6" borderId="0" xfId="1" applyFont="1" applyFill="1" applyAlignment="1"/>
    <xf numFmtId="0" fontId="145" fillId="6" borderId="0" xfId="1" applyFill="1" applyAlignment="1"/>
    <xf numFmtId="0" fontId="145" fillId="0" borderId="0" xfId="1" applyFont="1" applyFill="1" applyAlignment="1"/>
    <xf numFmtId="0" fontId="145" fillId="0" borderId="0" xfId="1" applyFill="1" applyAlignment="1"/>
    <xf numFmtId="0" fontId="145" fillId="0" borderId="0" xfId="1" applyAlignment="1"/>
    <xf numFmtId="0" fontId="145" fillId="18" borderId="0" xfId="1" applyFont="1" applyFill="1" applyAlignment="1"/>
    <xf numFmtId="0" fontId="145" fillId="18" borderId="0" xfId="1" applyFill="1" applyAlignment="1"/>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1" fillId="5" borderId="84" xfId="1" applyFont="1" applyFill="1" applyBorder="1" applyAlignment="1" applyProtection="1">
      <alignment vertical="center"/>
    </xf>
    <xf numFmtId="0" fontId="101" fillId="5" borderId="84" xfId="1" applyFont="1" applyFill="1" applyBorder="1" applyAlignment="1" applyProtection="1">
      <alignment horizontal="right" vertical="center"/>
    </xf>
    <xf numFmtId="0" fontId="101" fillId="5" borderId="85" xfId="1" applyFont="1" applyFill="1" applyBorder="1" applyAlignment="1" applyProtection="1">
      <alignment horizontal="center" vertical="center"/>
    </xf>
    <xf numFmtId="0" fontId="101" fillId="2" borderId="85" xfId="1" applyFont="1" applyFill="1" applyBorder="1" applyAlignment="1" applyProtection="1">
      <alignment vertical="center"/>
      <protection locked="0"/>
    </xf>
    <xf numFmtId="0" fontId="101" fillId="6" borderId="86" xfId="1" applyFont="1" applyFill="1" applyBorder="1" applyAlignment="1" applyProtection="1">
      <alignment vertical="center"/>
      <protection locked="0"/>
    </xf>
    <xf numFmtId="0" fontId="101" fillId="6" borderId="71" xfId="1" applyFont="1" applyFill="1" applyBorder="1" applyAlignment="1" applyProtection="1">
      <alignment horizontal="center" vertical="center"/>
      <protection locked="0"/>
    </xf>
    <xf numFmtId="0" fontId="102" fillId="5" borderId="85" xfId="1" applyFont="1" applyFill="1" applyBorder="1" applyAlignment="1" applyProtection="1">
      <alignment vertical="center"/>
    </xf>
    <xf numFmtId="0" fontId="101" fillId="5" borderId="85" xfId="1" applyFont="1" applyFill="1" applyBorder="1" applyAlignment="1" applyProtection="1">
      <alignment vertical="center"/>
    </xf>
    <xf numFmtId="187" fontId="101" fillId="5" borderId="85" xfId="1" applyNumberFormat="1" applyFont="1" applyFill="1" applyBorder="1" applyAlignment="1" applyProtection="1">
      <alignment horizontal="center" vertical="center"/>
    </xf>
    <xf numFmtId="181" fontId="101" fillId="5" borderId="85" xfId="1" applyNumberFormat="1" applyFont="1" applyFill="1" applyBorder="1" applyAlignment="1" applyProtection="1">
      <alignment vertical="center"/>
    </xf>
    <xf numFmtId="0" fontId="101" fillId="5" borderId="154"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98" fillId="5" borderId="91" xfId="1" applyFont="1" applyFill="1" applyBorder="1" applyAlignment="1" applyProtection="1">
      <alignment horizontal="center" vertical="center"/>
    </xf>
    <xf numFmtId="0" fontId="98" fillId="0" borderId="91" xfId="1" applyFont="1" applyFill="1" applyBorder="1" applyAlignment="1" applyProtection="1">
      <alignment horizontal="center" vertical="center"/>
      <protection locked="0"/>
    </xf>
    <xf numFmtId="0" fontId="97" fillId="5" borderId="21" xfId="2" applyFont="1" applyFill="1" applyBorder="1" applyAlignment="1" applyProtection="1">
      <alignment vertical="center"/>
    </xf>
    <xf numFmtId="0" fontId="97" fillId="5" borderId="21" xfId="1" applyFont="1" applyFill="1" applyBorder="1" applyAlignment="1" applyProtection="1">
      <alignment horizontal="right" vertical="center"/>
    </xf>
    <xf numFmtId="0" fontId="95" fillId="6" borderId="17"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7" fillId="5" borderId="20" xfId="2" applyFont="1" applyFill="1" applyBorder="1" applyAlignment="1" applyProtection="1">
      <alignment vertical="center"/>
      <protection locked="0"/>
    </xf>
    <xf numFmtId="0" fontId="97" fillId="6" borderId="21" xfId="2"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73" fillId="5" borderId="0" xfId="1" applyFont="1" applyFill="1" applyBorder="1" applyAlignment="1" applyProtection="1">
      <alignment vertical="center"/>
      <protection locked="0"/>
    </xf>
    <xf numFmtId="0" fontId="106" fillId="5" borderId="0" xfId="1" applyFont="1" applyFill="1" applyAlignment="1" applyProtection="1">
      <alignment horizontal="center" vertical="center"/>
    </xf>
    <xf numFmtId="187" fontId="71" fillId="5" borderId="57" xfId="1" applyNumberFormat="1" applyFont="1" applyFill="1" applyBorder="1" applyAlignment="1" applyProtection="1">
      <alignment horizontal="center" vertical="center" wrapText="1"/>
    </xf>
    <xf numFmtId="187" fontId="71" fillId="5" borderId="16" xfId="1" applyNumberFormat="1" applyFont="1" applyFill="1" applyBorder="1" applyAlignment="1" applyProtection="1">
      <alignment horizontal="center" vertical="center" wrapText="1"/>
    </xf>
    <xf numFmtId="0" fontId="71" fillId="5" borderId="16"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0" fontId="81" fillId="0" borderId="59"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106" fillId="5" borderId="77" xfId="1" applyNumberFormat="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0" fontId="84" fillId="0" borderId="8" xfId="1" applyNumberFormat="1" applyFont="1" applyFill="1" applyBorder="1" applyAlignment="1" applyProtection="1">
      <alignment horizontal="center"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2" borderId="42" xfId="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80" fillId="5" borderId="2" xfId="1" applyFont="1" applyFill="1" applyBorder="1" applyAlignment="1" applyProtection="1">
      <alignment horizontal="center" vertical="center"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0" fontId="84" fillId="0" borderId="31" xfId="1" applyFont="1" applyFill="1" applyBorder="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84" fillId="0" borderId="31" xfId="1" applyFont="1" applyBorder="1" applyAlignment="1" applyProtection="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58" xfId="1" applyNumberFormat="1" applyFont="1" applyFill="1" applyBorder="1" applyAlignment="1" applyProtection="1">
      <alignment horizontal="center" vertical="center" wrapText="1"/>
    </xf>
    <xf numFmtId="188" fontId="71" fillId="5" borderId="6" xfId="1" applyNumberFormat="1" applyFont="1" applyFill="1" applyBorder="1" applyAlignment="1" applyProtection="1">
      <alignment horizontal="center" vertical="center" wrapText="1"/>
    </xf>
    <xf numFmtId="49" fontId="71" fillId="0" borderId="31" xfId="1" applyNumberFormat="1" applyFont="1" applyFill="1" applyBorder="1" applyAlignment="1" applyProtection="1">
      <alignment horizontal="center" vertical="center"/>
      <protection locked="0"/>
    </xf>
    <xf numFmtId="0" fontId="75" fillId="5" borderId="31" xfId="1" applyNumberFormat="1" applyFont="1" applyFill="1" applyBorder="1" applyAlignment="1" applyProtection="1">
      <alignment vertical="center" wrapText="1"/>
    </xf>
    <xf numFmtId="0" fontId="75" fillId="5" borderId="0" xfId="1" applyNumberFormat="1" applyFont="1" applyFill="1" applyBorder="1" applyAlignment="1" applyProtection="1">
      <alignment vertical="center" wrapText="1"/>
    </xf>
    <xf numFmtId="0" fontId="84" fillId="5"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1" fillId="0" borderId="4" xfId="1" applyNumberFormat="1" applyFont="1" applyFill="1" applyBorder="1" applyAlignment="1" applyProtection="1">
      <alignment horizontal="center" vertical="center" wrapText="1"/>
      <protection locked="0"/>
    </xf>
    <xf numFmtId="9" fontId="71" fillId="0" borderId="31" xfId="1" applyNumberFormat="1" applyFont="1" applyFill="1" applyBorder="1" applyAlignment="1" applyProtection="1">
      <alignment horizontal="center" vertical="center" wrapText="1"/>
      <protection locked="0"/>
    </xf>
    <xf numFmtId="0" fontId="149" fillId="0" borderId="31" xfId="1" applyFont="1" applyFill="1" applyBorder="1" applyAlignment="1" applyProtection="1">
      <alignment vertical="center"/>
      <protection locked="0"/>
    </xf>
    <xf numFmtId="0" fontId="71"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protection locked="0"/>
    </xf>
    <xf numFmtId="0" fontId="80" fillId="0" borderId="31" xfId="1" applyFont="1" applyFill="1" applyBorder="1" applyAlignment="1" applyProtection="1">
      <alignment vertical="center" wrapText="1"/>
      <protection locked="0"/>
    </xf>
    <xf numFmtId="0" fontId="71" fillId="0" borderId="31" xfId="1" applyFont="1" applyFill="1" applyBorder="1" applyAlignment="1" applyProtection="1">
      <alignment vertical="center" wrapText="1"/>
      <protection locked="0"/>
    </xf>
    <xf numFmtId="0" fontId="84" fillId="5" borderId="75" xfId="1" applyNumberFormat="1" applyFont="1" applyFill="1" applyBorder="1" applyAlignment="1" applyProtection="1">
      <alignment horizontal="center"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0" borderId="78" xfId="1" applyNumberFormat="1" applyFont="1" applyFill="1" applyBorder="1" applyAlignment="1" applyProtection="1">
      <alignment horizontal="center" vertical="center"/>
      <protection locked="0"/>
    </xf>
    <xf numFmtId="0" fontId="83" fillId="5" borderId="23" xfId="1" applyNumberFormat="1" applyFont="1" applyFill="1" applyBorder="1" applyAlignment="1" applyProtection="1">
      <alignment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153" fillId="0" borderId="0" xfId="1" applyFont="1" applyFill="1" applyAlignment="1" applyProtection="1">
      <alignment horizontal="left" vertical="center"/>
      <protection locked="0"/>
    </xf>
    <xf numFmtId="0" fontId="149" fillId="5" borderId="26"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106" fillId="5" borderId="39" xfId="1" applyFont="1" applyFill="1" applyBorder="1" applyAlignment="1" applyProtection="1">
      <alignment horizontal="center" vertical="center"/>
    </xf>
    <xf numFmtId="0" fontId="106" fillId="5" borderId="87" xfId="1" applyFont="1" applyFill="1" applyBorder="1" applyProtection="1">
      <alignment vertical="center"/>
    </xf>
    <xf numFmtId="0" fontId="149" fillId="5" borderId="2"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49"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06"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84" fillId="5" borderId="61"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149"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3" fontId="71" fillId="0" borderId="9" xfId="1" applyNumberFormat="1"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xf>
    <xf numFmtId="183" fontId="78" fillId="9" borderId="2" xfId="0" applyNumberFormat="1" applyFont="1" applyFill="1" applyBorder="1" applyAlignment="1" applyProtection="1">
      <alignment horizontal="center" vertical="center" shrinkToFit="1"/>
      <protection locked="0"/>
    </xf>
    <xf numFmtId="181" fontId="71" fillId="9" borderId="2" xfId="0" applyNumberFormat="1" applyFont="1" applyFill="1" applyBorder="1" applyAlignment="1" applyProtection="1">
      <alignment vertical="center"/>
      <protection locked="0"/>
    </xf>
    <xf numFmtId="49" fontId="52" fillId="9" borderId="50"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181" fontId="71" fillId="9" borderId="2"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9" fontId="76" fillId="0" borderId="2" xfId="0" applyNumberFormat="1" applyFont="1" applyFill="1" applyBorder="1" applyAlignment="1" applyProtection="1">
      <alignment horizontal="center" vertical="center" wrapText="1"/>
      <protection locked="0"/>
    </xf>
    <xf numFmtId="179" fontId="76" fillId="0" borderId="5" xfId="0" applyNumberFormat="1" applyFont="1" applyFill="1" applyBorder="1" applyAlignment="1" applyProtection="1">
      <alignment horizontal="center" vertical="center" wrapText="1"/>
      <protection locked="0"/>
    </xf>
    <xf numFmtId="0" fontId="83" fillId="5" borderId="2" xfId="0" applyFont="1" applyFill="1" applyBorder="1" applyAlignment="1" applyProtection="1">
      <alignment horizontal="center" vertical="center"/>
    </xf>
    <xf numFmtId="0" fontId="71" fillId="17" borderId="2" xfId="0" applyFont="1" applyFill="1" applyBorder="1" applyAlignment="1" applyProtection="1">
      <alignment vertical="center"/>
    </xf>
    <xf numFmtId="0" fontId="71" fillId="17" borderId="11" xfId="0" applyFont="1" applyFill="1" applyBorder="1" applyAlignment="1" applyProtection="1">
      <alignment vertical="center"/>
    </xf>
    <xf numFmtId="189" fontId="86" fillId="9" borderId="2" xfId="0" applyNumberFormat="1" applyFont="1" applyFill="1" applyBorder="1" applyAlignment="1" applyProtection="1">
      <alignment horizontal="center" vertical="center" wrapText="1"/>
    </xf>
    <xf numFmtId="10" fontId="11" fillId="9" borderId="16" xfId="0" applyNumberFormat="1"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1" applyBorder="1" applyAlignment="1">
      <alignment horizontal="center" vertical="center"/>
    </xf>
    <xf numFmtId="0" fontId="145" fillId="0" borderId="2" xfId="1" applyFont="1" applyBorder="1" applyAlignment="1">
      <alignment horizontal="center" vertical="center"/>
    </xf>
    <xf numFmtId="0" fontId="145" fillId="0" borderId="10" xfId="1" applyFont="1" applyBorder="1" applyAlignment="1">
      <alignment horizontal="center" vertical="center"/>
    </xf>
    <xf numFmtId="0" fontId="145" fillId="0" borderId="3" xfId="1" applyFont="1" applyBorder="1" applyAlignment="1">
      <alignment horizontal="center" vertical="center"/>
    </xf>
    <xf numFmtId="0" fontId="145" fillId="0" borderId="21" xfId="1" applyFont="1" applyBorder="1" applyAlignment="1">
      <alignment horizontal="center" vertical="center"/>
    </xf>
    <xf numFmtId="0" fontId="145" fillId="0" borderId="5" xfId="1" applyFont="1" applyBorder="1" applyAlignment="1">
      <alignment horizontal="center" vertical="center"/>
    </xf>
    <xf numFmtId="0" fontId="145" fillId="0" borderId="9"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11"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8" xfId="1" applyFont="1" applyBorder="1" applyAlignment="1">
      <alignment horizontal="center" vertical="center"/>
    </xf>
  </cellXfs>
  <cellStyles count="20">
    <cellStyle name="百分比 2" xfId="11"/>
    <cellStyle name="常规" xfId="0" builtinId="0"/>
    <cellStyle name="常规 10" xfId="16"/>
    <cellStyle name="常规 11" xfId="19"/>
    <cellStyle name="常规 16" xfId="1"/>
    <cellStyle name="常规 2" xfId="2"/>
    <cellStyle name="常规 2 2" xfId="3"/>
    <cellStyle name="常规 2 2 2 2 3" xfId="12"/>
    <cellStyle name="常规 3" xfId="4"/>
    <cellStyle name="常规 3 2" xfId="5"/>
    <cellStyle name="常规 39 2" xfId="17"/>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399234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104775</xdr:colOff>
      <xdr:row>16</xdr:row>
      <xdr:rowOff>66675</xdr:rowOff>
    </xdr:from>
    <xdr:to>
      <xdr:col>6</xdr:col>
      <xdr:colOff>485299</xdr:colOff>
      <xdr:row>20</xdr:row>
      <xdr:rowOff>66589</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2809875"/>
          <a:ext cx="3809524" cy="685714"/>
        </a:xfrm>
        <a:prstGeom prst="rect">
          <a:avLst/>
        </a:prstGeom>
      </xdr:spPr>
    </xdr:pic>
    <xdr:clientData/>
  </xdr:twoCellAnchor>
  <xdr:twoCellAnchor editAs="oneCell">
    <xdr:from>
      <xdr:col>1</xdr:col>
      <xdr:colOff>95250</xdr:colOff>
      <xdr:row>22</xdr:row>
      <xdr:rowOff>114300</xdr:rowOff>
    </xdr:from>
    <xdr:to>
      <xdr:col>11</xdr:col>
      <xdr:colOff>313441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1</xdr:col>
      <xdr:colOff>276225</xdr:colOff>
      <xdr:row>30</xdr:row>
      <xdr:rowOff>47625</xdr:rowOff>
    </xdr:from>
    <xdr:to>
      <xdr:col>5</xdr:col>
      <xdr:colOff>580644</xdr:colOff>
      <xdr:row>34</xdr:row>
      <xdr:rowOff>142777</xdr:rowOff>
    </xdr:to>
    <xdr:pic>
      <xdr:nvPicPr>
        <xdr:cNvPr id="6" name="图片 5"/>
        <xdr:cNvPicPr>
          <a:picLocks noChangeAspect="1"/>
        </xdr:cNvPicPr>
      </xdr:nvPicPr>
      <xdr:blipFill>
        <a:blip xmlns:r="http://schemas.openxmlformats.org/officeDocument/2006/relationships" r:embed="rId5"/>
        <a:stretch>
          <a:fillRect/>
        </a:stretch>
      </xdr:blipFill>
      <xdr:spPr>
        <a:xfrm>
          <a:off x="962025" y="5191125"/>
          <a:ext cx="3047619" cy="780952"/>
        </a:xfrm>
        <a:prstGeom prst="rect">
          <a:avLst/>
        </a:prstGeom>
      </xdr:spPr>
    </xdr:pic>
    <xdr:clientData/>
  </xdr:twoCellAnchor>
  <xdr:twoCellAnchor editAs="oneCell">
    <xdr:from>
      <xdr:col>1</xdr:col>
      <xdr:colOff>0</xdr:colOff>
      <xdr:row>35</xdr:row>
      <xdr:rowOff>152400</xdr:rowOff>
    </xdr:from>
    <xdr:to>
      <xdr:col>11</xdr:col>
      <xdr:colOff>427715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38100</xdr:colOff>
      <xdr:row>44</xdr:row>
      <xdr:rowOff>9525</xdr:rowOff>
    </xdr:from>
    <xdr:to>
      <xdr:col>11</xdr:col>
      <xdr:colOff>389624</xdr:colOff>
      <xdr:row>66</xdr:row>
      <xdr:rowOff>142387</xdr:rowOff>
    </xdr:to>
    <xdr:pic>
      <xdr:nvPicPr>
        <xdr:cNvPr id="6" name="图片 5"/>
        <xdr:cNvPicPr>
          <a:picLocks noChangeAspect="1"/>
        </xdr:cNvPicPr>
      </xdr:nvPicPr>
      <xdr:blipFill>
        <a:blip xmlns:r="http://schemas.openxmlformats.org/officeDocument/2006/relationships" r:embed="rId5"/>
        <a:stretch>
          <a:fillRect/>
        </a:stretch>
      </xdr:blipFill>
      <xdr:spPr>
        <a:xfrm>
          <a:off x="723900" y="755332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9525</xdr:colOff>
      <xdr:row>32</xdr:row>
      <xdr:rowOff>57150</xdr:rowOff>
    </xdr:from>
    <xdr:to>
      <xdr:col>11</xdr:col>
      <xdr:colOff>342002</xdr:colOff>
      <xdr:row>37</xdr:row>
      <xdr:rowOff>133233</xdr:rowOff>
    </xdr:to>
    <xdr:pic>
      <xdr:nvPicPr>
        <xdr:cNvPr id="8" name="图片 7"/>
        <xdr:cNvPicPr>
          <a:picLocks noChangeAspect="1"/>
        </xdr:cNvPicPr>
      </xdr:nvPicPr>
      <xdr:blipFill>
        <a:blip xmlns:r="http://schemas.openxmlformats.org/officeDocument/2006/relationships" r:embed="rId7"/>
        <a:stretch>
          <a:fillRect/>
        </a:stretch>
      </xdr:blipFill>
      <xdr:spPr>
        <a:xfrm>
          <a:off x="695325" y="5543550"/>
          <a:ext cx="7190477" cy="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52</xdr:row>
      <xdr:rowOff>0</xdr:rowOff>
    </xdr:from>
    <xdr:to>
      <xdr:col>12</xdr:col>
      <xdr:colOff>8217</xdr:colOff>
      <xdr:row>86</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9086850"/>
          <a:ext cx="10466667" cy="5885715"/>
        </a:xfrm>
        <a:prstGeom prst="rect">
          <a:avLst/>
        </a:prstGeom>
      </xdr:spPr>
    </xdr:pic>
    <xdr:clientData/>
  </xdr:twoCellAnchor>
  <xdr:twoCellAnchor editAs="oneCell">
    <xdr:from>
      <xdr:col>0</xdr:col>
      <xdr:colOff>419100</xdr:colOff>
      <xdr:row>87</xdr:row>
      <xdr:rowOff>76200</xdr:rowOff>
    </xdr:from>
    <xdr:to>
      <xdr:col>12</xdr:col>
      <xdr:colOff>93941</xdr:colOff>
      <xdr:row>122</xdr:row>
      <xdr:rowOff>18308</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15163800"/>
          <a:ext cx="10476191" cy="5942858"/>
        </a:xfrm>
        <a:prstGeom prst="rect">
          <a:avLst/>
        </a:prstGeom>
      </xdr:spPr>
    </xdr:pic>
    <xdr:clientData/>
  </xdr:twoCellAnchor>
  <xdr:twoCellAnchor editAs="oneCell">
    <xdr:from>
      <xdr:col>0</xdr:col>
      <xdr:colOff>523875</xdr:colOff>
      <xdr:row>123</xdr:row>
      <xdr:rowOff>47625</xdr:rowOff>
    </xdr:from>
    <xdr:to>
      <xdr:col>12</xdr:col>
      <xdr:colOff>132050</xdr:colOff>
      <xdr:row>156</xdr:row>
      <xdr:rowOff>65966</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21307425"/>
          <a:ext cx="10409525" cy="5676191"/>
        </a:xfrm>
        <a:prstGeom prst="rect">
          <a:avLst/>
        </a:prstGeom>
      </xdr:spPr>
    </xdr:pic>
    <xdr:clientData/>
  </xdr:twoCellAnchor>
  <xdr:twoCellAnchor editAs="oneCell">
    <xdr:from>
      <xdr:col>3</xdr:col>
      <xdr:colOff>0</xdr:colOff>
      <xdr:row>176</xdr:row>
      <xdr:rowOff>0</xdr:rowOff>
    </xdr:from>
    <xdr:to>
      <xdr:col>3</xdr:col>
      <xdr:colOff>304800</xdr:colOff>
      <xdr:row>177</xdr:row>
      <xdr:rowOff>133350</xdr:rowOff>
    </xdr:to>
    <xdr:sp macro="" textlink="">
      <xdr:nvSpPr>
        <xdr:cNvPr id="5" name="AutoShape 2" descr="区域规划——三亚中心城区地块出让"/>
        <xdr:cNvSpPr>
          <a:spLocks noChangeAspect="1" noChangeArrowheads="1"/>
        </xdr:cNvSpPr>
      </xdr:nvSpPr>
      <xdr:spPr bwMode="auto">
        <a:xfrm>
          <a:off x="3552825" y="3034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1657350</xdr:colOff>
      <xdr:row>158</xdr:row>
      <xdr:rowOff>133350</xdr:rowOff>
    </xdr:from>
    <xdr:to>
      <xdr:col>8</xdr:col>
      <xdr:colOff>503948</xdr:colOff>
      <xdr:row>194</xdr:row>
      <xdr:rowOff>8769</xdr:rowOff>
    </xdr:to>
    <xdr:pic>
      <xdr:nvPicPr>
        <xdr:cNvPr id="6" name="图片 5"/>
        <xdr:cNvPicPr>
          <a:picLocks noChangeAspect="1"/>
        </xdr:cNvPicPr>
      </xdr:nvPicPr>
      <xdr:blipFill>
        <a:blip xmlns:r="http://schemas.openxmlformats.org/officeDocument/2006/relationships" r:embed="rId4"/>
        <a:stretch>
          <a:fillRect/>
        </a:stretch>
      </xdr:blipFill>
      <xdr:spPr>
        <a:xfrm>
          <a:off x="1657350" y="27393900"/>
          <a:ext cx="7019048" cy="6047619"/>
        </a:xfrm>
        <a:prstGeom prst="rect">
          <a:avLst/>
        </a:prstGeom>
      </xdr:spPr>
    </xdr:pic>
    <xdr:clientData/>
  </xdr:twoCellAnchor>
  <xdr:twoCellAnchor editAs="oneCell">
    <xdr:from>
      <xdr:col>12</xdr:col>
      <xdr:colOff>542925</xdr:colOff>
      <xdr:row>58</xdr:row>
      <xdr:rowOff>133350</xdr:rowOff>
    </xdr:from>
    <xdr:to>
      <xdr:col>19</xdr:col>
      <xdr:colOff>522960</xdr:colOff>
      <xdr:row>77</xdr:row>
      <xdr:rowOff>94848</xdr:rowOff>
    </xdr:to>
    <xdr:pic>
      <xdr:nvPicPr>
        <xdr:cNvPr id="7" name="图片 6"/>
        <xdr:cNvPicPr>
          <a:picLocks noChangeAspect="1"/>
        </xdr:cNvPicPr>
      </xdr:nvPicPr>
      <xdr:blipFill>
        <a:blip xmlns:r="http://schemas.openxmlformats.org/officeDocument/2006/relationships" r:embed="rId5"/>
        <a:stretch>
          <a:fillRect/>
        </a:stretch>
      </xdr:blipFill>
      <xdr:spPr>
        <a:xfrm>
          <a:off x="11344275" y="10248900"/>
          <a:ext cx="7323810" cy="3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7">
          <cell r="I7">
            <v>1.2</v>
          </cell>
        </row>
        <row r="17">
          <cell r="C17" t="str">
            <v>项目类型</v>
          </cell>
        </row>
        <row r="19">
          <cell r="C19" t="str">
            <v>洋房</v>
          </cell>
          <cell r="E19">
            <v>3594.41</v>
          </cell>
        </row>
        <row r="20">
          <cell r="C20" t="str">
            <v>叠墅</v>
          </cell>
          <cell r="E20">
            <v>7001.46</v>
          </cell>
        </row>
        <row r="21">
          <cell r="E21">
            <v>0</v>
          </cell>
        </row>
        <row r="22">
          <cell r="E22">
            <v>0</v>
          </cell>
        </row>
        <row r="23">
          <cell r="E23">
            <v>0</v>
          </cell>
        </row>
        <row r="24">
          <cell r="E24">
            <v>0</v>
          </cell>
        </row>
        <row r="25">
          <cell r="E25">
            <v>0</v>
          </cell>
        </row>
        <row r="26">
          <cell r="E26">
            <v>0</v>
          </cell>
        </row>
        <row r="27">
          <cell r="C27" t="str">
            <v>小计</v>
          </cell>
          <cell r="E27">
            <v>10595.869999999999</v>
          </cell>
        </row>
        <row r="28">
          <cell r="C28" t="str">
            <v>设备及其他</v>
          </cell>
          <cell r="E28">
            <v>1185.1300000000001</v>
          </cell>
        </row>
        <row r="29">
          <cell r="C29" t="str">
            <v>公共配套及物业（住宅）</v>
          </cell>
          <cell r="E29">
            <v>0</v>
          </cell>
        </row>
        <row r="30">
          <cell r="C30" t="str">
            <v>小计</v>
          </cell>
          <cell r="E30">
            <v>1185.1300000000001</v>
          </cell>
        </row>
        <row r="31">
          <cell r="C31" t="str">
            <v>合计</v>
          </cell>
          <cell r="E31">
            <v>11781</v>
          </cell>
        </row>
        <row r="32">
          <cell r="E32">
            <v>0</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15">
          <cell r="K15">
            <v>5</v>
          </cell>
        </row>
        <row r="16">
          <cell r="C16" t="str">
            <v>较好</v>
          </cell>
        </row>
        <row r="21">
          <cell r="K21">
            <v>3</v>
          </cell>
        </row>
        <row r="22">
          <cell r="C22" t="str">
            <v>一般</v>
          </cell>
        </row>
        <row r="25">
          <cell r="K25">
            <v>5</v>
          </cell>
        </row>
        <row r="26">
          <cell r="C26" t="str">
            <v>较好</v>
          </cell>
        </row>
        <row r="27">
          <cell r="K27">
            <v>2</v>
          </cell>
        </row>
        <row r="28">
          <cell r="C28" t="str">
            <v>一般</v>
          </cell>
        </row>
        <row r="29">
          <cell r="K29">
            <v>1</v>
          </cell>
        </row>
        <row r="30">
          <cell r="C30" t="str">
            <v>六通</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洋房"/>
      <sheetName val="洋房案例"/>
      <sheetName val="叠墅案例"/>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G14">
            <v>12978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2650</v>
      </c>
      <c r="B1" s="2842" t="s">
        <v>2747</v>
      </c>
    </row>
    <row r="2" spans="1:55" s="2846" customFormat="1" ht="15" thickTop="1">
      <c r="A2" s="2844" t="s">
        <v>2654</v>
      </c>
      <c r="B2" s="2845" t="str">
        <f>'预评函-封皮'!B37</f>
        <v>出让国有建设用地使用权抵押价格预评估</v>
      </c>
      <c r="AX2" s="2847"/>
      <c r="AZ2" s="2847"/>
      <c r="BA2" s="2848"/>
      <c r="BC2" s="2848"/>
    </row>
    <row r="3" spans="1:55" s="2849" customFormat="1">
      <c r="A3" s="2828" t="s">
        <v>2655</v>
      </c>
      <c r="B3" s="2831">
        <f>'预评函-封皮'!B40</f>
        <v>0</v>
      </c>
    </row>
    <row r="4" spans="1:55" s="2830" customFormat="1">
      <c r="A4" s="2828" t="s">
        <v>2656</v>
      </c>
      <c r="B4" s="2829" t="str">
        <f>'预评函-封皮'!B46</f>
        <v>土地估价师、土地估价师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2657</v>
      </c>
      <c r="B5" s="2851" t="str">
        <f>'预评函-封皮'!B49</f>
        <v>康正预评字号</v>
      </c>
    </row>
    <row r="6" spans="1:55" s="2852" customFormat="1" ht="15" thickTop="1">
      <c r="A6" s="2844" t="s">
        <v>2699</v>
      </c>
      <c r="B6" s="2845" t="str">
        <f>'预评函-1'!A4</f>
        <v>受贵公司委托，我公司对出让国有建设用地使用权抵押价格进行了预评估。</v>
      </c>
      <c r="AM6" s="2853"/>
    </row>
    <row r="7" spans="1:55" s="2827" customFormat="1">
      <c r="A7" s="2828" t="s">
        <v>2651</v>
      </c>
      <c r="B7" s="2829" t="str">
        <f>'预评函-1'!A6</f>
        <v>估价对象为使用的、位于出让国有建设用地使用权。根据《国有土地使用证》[]，估价对象（分摊）出让国有建设用地使用权面积为29475.73平方米。根据《建设工程规划许可证》[]、《出让合同》[]，估价对象规划建筑面积为49030.88平方米。</v>
      </c>
    </row>
    <row r="8" spans="1:55" s="2827" customFormat="1">
      <c r="A8" s="2828" t="s">
        <v>2652</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2702</v>
      </c>
      <c r="B9" s="282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2653</v>
      </c>
      <c r="B10" s="2829" t="str">
        <f>'预评函-1'!A11</f>
        <v>2019年10月26日（评估专业人员勘察现场之日）</v>
      </c>
    </row>
    <row r="11" spans="1:55" s="2827" customFormat="1">
      <c r="A11" s="2828" t="s">
        <v>2659</v>
      </c>
      <c r="B11" s="2829" t="str">
        <f>'预评函-1'!A14</f>
        <v>根据《国有土地使用证》[]，本次评估估价对象证载（地类）用途为。</v>
      </c>
    </row>
    <row r="12" spans="1:55" s="2827" customFormat="1">
      <c r="A12" s="2828" t="s">
        <v>2660</v>
      </c>
      <c r="B12" s="2829" t="str">
        <f>'预评函-1'!A15</f>
        <v>本次评估设定用途即为证载用途。</v>
      </c>
    </row>
    <row r="13" spans="1:55" s="2827" customFormat="1">
      <c r="A13" s="2828" t="s">
        <v>2661</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2662</v>
      </c>
      <c r="B14" s="2829" t="str">
        <f>'预评函-1'!A18</f>
        <v>。本次评估设定土地开发程度为红线外市政基础设施达“七通”、宗地红线内场地平整。</v>
      </c>
    </row>
    <row r="15" spans="1:55" s="2827" customFormat="1">
      <c r="A15" s="2828" t="s">
        <v>2658</v>
      </c>
      <c r="B15" s="2829" t="str">
        <f>'预评函-1'!A20</f>
        <v>根据《国有土地使用证》[]，估价对象（分摊）出让国有建设用地使用权面积为29475.73平方米。根据《建设工程规划许可证》[]、《出让合同》[]，估价对象规划建筑面积为49030.88平方米。</v>
      </c>
    </row>
    <row r="16" spans="1:55" s="2827" customFormat="1">
      <c r="A16" s="2828" t="s">
        <v>2663</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17" spans="1:48" s="2827" customFormat="1">
      <c r="A17" s="2828" t="s">
        <v>2664</v>
      </c>
      <c r="B17" s="2829" t="str">
        <f>'预评函-1'!A23</f>
        <v>本次评估设定估价对象剩余土地使用年限为。</v>
      </c>
    </row>
    <row r="18" spans="1:48" s="2827" customFormat="1">
      <c r="A18" s="2828" t="s">
        <v>2665</v>
      </c>
      <c r="B18" s="2829" t="str">
        <f>'预评函-1'!A25</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19" spans="1:48" s="2827" customFormat="1">
      <c r="A19" s="2828" t="s">
        <v>2666</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2667</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2668</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2669</v>
      </c>
      <c r="B22" s="284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8" t="s">
        <v>2670</v>
      </c>
      <c r="B23" s="2829" t="str">
        <f>'预评函-2'!K2</f>
        <v>估价期日：2019年10月26日</v>
      </c>
    </row>
    <row r="24" spans="1:48">
      <c r="A24" s="2828" t="s">
        <v>2671</v>
      </c>
      <c r="B24" s="2829" t="str">
        <f>'预评函-2'!R2</f>
        <v>估价期日的国有建设用地使用权性质：出让</v>
      </c>
    </row>
    <row r="25" spans="1:48">
      <c r="A25" s="2828" t="s">
        <v>2727</v>
      </c>
      <c r="B25" s="2829" t="str">
        <f>'预评函-2'!A3</f>
        <v>估价期日土地使用者</v>
      </c>
    </row>
    <row r="26" spans="1:48">
      <c r="A26" s="2828" t="s">
        <v>2703</v>
      </c>
      <c r="B26" s="2829" t="str">
        <f>'预评函-2'!A5</f>
        <v>中信开发</v>
      </c>
    </row>
    <row r="27" spans="1:48">
      <c r="A27" s="2828" t="s">
        <v>2728</v>
      </c>
      <c r="B27" s="2829" t="str">
        <f>'预评函-2'!B3</f>
        <v>宗地编号/不动产单元号</v>
      </c>
    </row>
    <row r="28" spans="1:48">
      <c r="A28" s="2828" t="s">
        <v>2704</v>
      </c>
      <c r="B28" s="2829" t="str">
        <f>'预评函-2'!B5</f>
        <v>11111111111</v>
      </c>
    </row>
    <row r="29" spans="1:48">
      <c r="A29" s="2828" t="s">
        <v>2730</v>
      </c>
      <c r="B29" s="2829">
        <f>'预评函-2'!C5</f>
        <v>22</v>
      </c>
    </row>
    <row r="30" spans="1:48">
      <c r="A30" s="2828" t="s">
        <v>2731</v>
      </c>
      <c r="B30" s="2829" t="str">
        <f>'预评函-2'!D3</f>
        <v>土地使用证编号/不动产权证书编号</v>
      </c>
    </row>
    <row r="31" spans="1:48">
      <c r="A31" s="2828" t="s">
        <v>2705</v>
      </c>
      <c r="B31" s="2829" t="str">
        <f>'预评函-2'!D5</f>
        <v>京国土字第111号</v>
      </c>
    </row>
    <row r="32" spans="1:48">
      <c r="A32" s="2828" t="s">
        <v>2706</v>
      </c>
      <c r="B32" s="2829">
        <f>'预评函-2'!E5</f>
        <v>0</v>
      </c>
      <c r="AV32" s="2833"/>
    </row>
    <row r="33" spans="1:2">
      <c r="A33" s="2828" t="s">
        <v>2707</v>
      </c>
      <c r="B33" s="2829">
        <f>'预评函-2'!F5</f>
        <v>258</v>
      </c>
    </row>
    <row r="34" spans="1:2">
      <c r="A34" s="2828" t="s">
        <v>2708</v>
      </c>
      <c r="B34" s="2829">
        <f>'预评函-2'!G5</f>
        <v>0</v>
      </c>
    </row>
    <row r="35" spans="1:2">
      <c r="A35" s="2828" t="s">
        <v>2709</v>
      </c>
      <c r="B35" s="2829">
        <f>'预评函-2'!H5</f>
        <v>1.5</v>
      </c>
    </row>
    <row r="36" spans="1:2">
      <c r="A36" s="2828" t="s">
        <v>2710</v>
      </c>
      <c r="B36" s="2829">
        <f>'预评函-2'!I5</f>
        <v>1.5</v>
      </c>
    </row>
    <row r="37" spans="1:2">
      <c r="A37" s="2828" t="s">
        <v>2711</v>
      </c>
      <c r="B37" s="2829">
        <f>'预评函-2'!J5</f>
        <v>1.5</v>
      </c>
    </row>
    <row r="38" spans="1:2">
      <c r="A38" s="2828" t="s">
        <v>2712</v>
      </c>
      <c r="B38" s="2829" t="str">
        <f>'预评函-2'!K5</f>
        <v>红线外七通、宗地红线内</v>
      </c>
    </row>
    <row r="39" spans="1:2">
      <c r="A39" s="2828" t="s">
        <v>2713</v>
      </c>
      <c r="B39" s="2829" t="str">
        <f>'预评函-2'!L5</f>
        <v>红线外七通、宗地红线内场地</v>
      </c>
    </row>
    <row r="40" spans="1:2">
      <c r="A40" s="2828" t="s">
        <v>2732</v>
      </c>
      <c r="B40" s="2829" t="str">
        <f>'预评函-2'!M3</f>
        <v>（剩余）土地使用年限/年</v>
      </c>
    </row>
    <row r="41" spans="1:2">
      <c r="A41" s="2828" t="s">
        <v>2714</v>
      </c>
      <c r="B41" s="2829">
        <f>'预评函-2'!M5</f>
        <v>0</v>
      </c>
    </row>
    <row r="42" spans="1:2">
      <c r="A42" s="2828" t="s">
        <v>2733</v>
      </c>
      <c r="B42" s="2829" t="str">
        <f>'预评函-2'!N3</f>
        <v>（分摊）出让国有建设用地使用权面积/㎡</v>
      </c>
    </row>
    <row r="43" spans="1:2">
      <c r="A43" s="2828" t="s">
        <v>2715</v>
      </c>
      <c r="B43" s="2829">
        <f>'预评函-2'!N5</f>
        <v>29475.73</v>
      </c>
    </row>
    <row r="44" spans="1:2">
      <c r="A44" s="2828" t="s">
        <v>2734</v>
      </c>
      <c r="B44" s="2829" t="str">
        <f>'预评函-2'!O3</f>
        <v>规划建筑面积/㎡</v>
      </c>
    </row>
    <row r="45" spans="1:2">
      <c r="A45" s="2828" t="s">
        <v>2716</v>
      </c>
      <c r="B45" s="2829">
        <f>'预评函-2'!O5</f>
        <v>49030.880000000005</v>
      </c>
    </row>
    <row r="46" spans="1:2">
      <c r="A46" s="2828" t="s">
        <v>2717</v>
      </c>
      <c r="B46" s="2829">
        <f ca="1">'预评函-2'!P5</f>
        <v>16015</v>
      </c>
    </row>
    <row r="47" spans="1:2">
      <c r="A47" s="2828" t="s">
        <v>2718</v>
      </c>
      <c r="B47" s="2829">
        <f ca="1">'预评函-2'!Q5</f>
        <v>9627</v>
      </c>
    </row>
    <row r="48" spans="1:2">
      <c r="A48" s="2828" t="s">
        <v>2719</v>
      </c>
      <c r="B48" s="2829">
        <f ca="1">'预评函-2'!R5</f>
        <v>47204</v>
      </c>
    </row>
    <row r="49" spans="1:2">
      <c r="A49" s="2828" t="s">
        <v>2735</v>
      </c>
      <c r="B49" s="2829" t="str">
        <f>'预评函-2'!A6</f>
        <v>抵押价格</v>
      </c>
    </row>
    <row r="50" spans="1:2">
      <c r="A50" s="2828" t="s">
        <v>2720</v>
      </c>
      <c r="B50" s="2829">
        <f ca="1">'预评函-2'!R6</f>
        <v>47204</v>
      </c>
    </row>
    <row r="51" spans="1:2">
      <c r="A51" s="2828" t="s">
        <v>2736</v>
      </c>
      <c r="B51" s="2829" t="str">
        <f>'预评函-2'!A7</f>
        <v>——</v>
      </c>
    </row>
    <row r="52" spans="1:2">
      <c r="A52" s="2828" t="s">
        <v>2721</v>
      </c>
      <c r="B52" s="2829" t="str">
        <f>'预评函-2'!R7</f>
        <v>——</v>
      </c>
    </row>
    <row r="53" spans="1:2">
      <c r="A53" s="2828" t="s">
        <v>2737</v>
      </c>
      <c r="B53" s="2829">
        <f>'预评函-2'!A8</f>
        <v>0</v>
      </c>
    </row>
    <row r="54" spans="1:2" s="2843" customFormat="1" ht="15" thickBot="1">
      <c r="A54" s="2850" t="s">
        <v>2722</v>
      </c>
      <c r="B54" s="2851" t="str">
        <f>'预评函-2'!R8</f>
        <v>——</v>
      </c>
    </row>
    <row r="55" spans="1:2" ht="15" thickTop="1">
      <c r="A55" s="2839" t="s">
        <v>2672</v>
      </c>
      <c r="B55" s="2840" t="str">
        <f>'预评函-3'!A2</f>
        <v>1.权利限制：根据估价对象《不动产权证书》原件、《国有土地使用权》复印件，截至估价期日，估价对象抵押权未见登记。未设定租赁等其他他项权利。</v>
      </c>
    </row>
    <row r="56" spans="1:2">
      <c r="A56" s="2828" t="s">
        <v>2673</v>
      </c>
      <c r="B56" s="2829" t="str">
        <f>'预评函-3'!A3</f>
        <v>2.基础设施条件：估价对象实际开发程度为红线外七通、宗地红线内；本次评估设定开发程度为红线外七通、宗地红线内场地。</v>
      </c>
    </row>
    <row r="57" spans="1:2">
      <c r="A57" s="2828" t="s">
        <v>2674</v>
      </c>
      <c r="B57" s="2829" t="str">
        <f>'预评函-3'!A4</f>
        <v>3.估价规划限制条件：详见《建设工程规划许可证》[]、《出让合同》[]。</v>
      </c>
    </row>
    <row r="58" spans="1:2" s="2843" customFormat="1" ht="15" thickBot="1">
      <c r="A58" s="2850" t="s">
        <v>2723</v>
      </c>
      <c r="B58" s="2851" t="str">
        <f>'预评函-3'!A5</f>
        <v>4.影响价格的其他限定条件：无。</v>
      </c>
    </row>
    <row r="59" spans="1:2" ht="15" thickTop="1">
      <c r="A59" s="2839" t="s">
        <v>2675</v>
      </c>
      <c r="B59" s="2840" t="str">
        <f>'预评函-3'!A8</f>
        <v>2.本《评估意见函》仅供金融机构进行内部审核使用，不做其他目的之用。</v>
      </c>
    </row>
    <row r="60" spans="1:2">
      <c r="A60" s="2828" t="s">
        <v>2676</v>
      </c>
      <c r="B60" s="2829" t="str">
        <f>'预评函-3'!A9</f>
        <v>3.抵押双方在办理抵押登记手续时，应使用本公司出具的正式《土地估价报告》，特提请报告使用者注意。</v>
      </c>
    </row>
    <row r="61" spans="1:2">
      <c r="A61" s="2828" t="s">
        <v>2678</v>
      </c>
      <c r="B61" s="2829" t="str">
        <f>'预评函-3'!A10</f>
        <v>4.估价师所知悉的法定优先受偿款情况为：</v>
      </c>
    </row>
    <row r="62" spans="1:2">
      <c r="A62" s="2828" t="s">
        <v>2677</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2679</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2680</v>
      </c>
      <c r="B64" s="2834" t="str">
        <f>'预评函-3'!A13</f>
        <v>（3）。</v>
      </c>
    </row>
    <row r="65" spans="1:2">
      <c r="A65" s="2828" t="s">
        <v>2681</v>
      </c>
      <c r="B65" s="2835" t="str">
        <f>'预评函-3'!A14</f>
        <v>综上，本次评估不存在估价师知悉的法定优先受偿款</v>
      </c>
    </row>
    <row r="66" spans="1:2">
      <c r="A66" s="2828" t="s">
        <v>2682</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2683</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2686</v>
      </c>
      <c r="B68" s="2854">
        <f>'预评函-3'!D30</f>
        <v>42558</v>
      </c>
    </row>
    <row r="69" spans="1:2" ht="15" thickTop="1">
      <c r="A69" s="2839" t="s">
        <v>2684</v>
      </c>
      <c r="B69" s="2840" t="str">
        <f>'预评函-3'!A20</f>
        <v>土地估价师</v>
      </c>
    </row>
    <row r="70" spans="1:2">
      <c r="A70" s="2828" t="s">
        <v>2684</v>
      </c>
      <c r="B70" s="2835">
        <f>'预评函-3'!B20</f>
        <v>0</v>
      </c>
    </row>
    <row r="71" spans="1:2">
      <c r="A71" s="2828" t="s">
        <v>2685</v>
      </c>
      <c r="B71" s="2829" t="str">
        <f>'预评函-3'!A21</f>
        <v>土地估价师</v>
      </c>
    </row>
    <row r="72" spans="1:2" s="2843" customFormat="1" ht="15" thickBot="1">
      <c r="A72" s="2850" t="s">
        <v>2685</v>
      </c>
      <c r="B72" s="2856">
        <f>'预评函-3'!B21</f>
        <v>0</v>
      </c>
    </row>
    <row r="73" spans="1:2" ht="15" thickTop="1">
      <c r="A73" s="2839" t="s">
        <v>2744</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2745</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2746</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2781</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1671" customWidth="1"/>
    <col min="2" max="2" width="11.375" style="1671" customWidth="1"/>
    <col min="3" max="3" width="12.625" style="1671" customWidth="1"/>
    <col min="4" max="4" width="14"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634" t="str">
        <f>IF(B10="北京市","北京市",C10)&amp;F10&amp;B16&amp;"国有建设用地使用权"&amp;B9&amp;"预评估"</f>
        <v>出让国有建设用地使用权抵押价格预评估</v>
      </c>
      <c r="C1" s="3635"/>
      <c r="D1" s="3635"/>
      <c r="E1" s="3635"/>
      <c r="F1" s="3635"/>
      <c r="G1" s="3635"/>
      <c r="H1" s="3635"/>
      <c r="I1" s="3636"/>
      <c r="J1" s="1674"/>
      <c r="K1" s="2414"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4"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v>43764</v>
      </c>
      <c r="C3" s="1643" t="s">
        <v>1992</v>
      </c>
      <c r="D3" s="1642">
        <f>B3</f>
        <v>43764</v>
      </c>
      <c r="E3" s="1674"/>
      <c r="F3" s="1674"/>
      <c r="G3" s="1674"/>
      <c r="H3" s="1640"/>
      <c r="I3" s="1675"/>
      <c r="J3" s="1674"/>
      <c r="K3" s="1754"/>
      <c r="L3" s="1703"/>
      <c r="M3" s="1703"/>
      <c r="N3" s="1674"/>
      <c r="O3" s="1675"/>
      <c r="P3" s="1674"/>
      <c r="Q3" s="1674"/>
      <c r="R3" s="1674"/>
      <c r="S3" s="1674"/>
      <c r="T3" s="1674"/>
      <c r="U3" s="1674"/>
    </row>
    <row r="4" spans="1:21" ht="15" thickBot="1">
      <c r="A4" s="1644" t="s">
        <v>1937</v>
      </c>
      <c r="B4" s="1823" t="s">
        <v>2882</v>
      </c>
      <c r="C4" s="1826">
        <f>SUMIF(土地估价师,B4,估价师及机构信息!E3:E24)</f>
        <v>0</v>
      </c>
      <c r="D4" s="1823" t="s">
        <v>2882</v>
      </c>
      <c r="E4" s="1826">
        <f>SUMIF(土地估价师,D4,估价师及机构信息!E3:E24)</f>
        <v>0</v>
      </c>
      <c r="F4" s="1823" t="s">
        <v>949</v>
      </c>
      <c r="G4" s="1826">
        <f>SUMIF(土地估价师,F4,估价师及机构信息!E3:E24)</f>
        <v>0</v>
      </c>
      <c r="H4" s="1823" t="s">
        <v>949</v>
      </c>
      <c r="I4" s="1826">
        <f>SUMIF(土地估价师,H4,估价师及机构信息!E3:E24)</f>
        <v>0</v>
      </c>
      <c r="J4" s="1674"/>
      <c r="K4" s="2414"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2700</v>
      </c>
      <c r="B6" s="1769"/>
      <c r="C6" s="1741"/>
      <c r="D6" s="1648"/>
      <c r="E6" s="1674"/>
      <c r="F6" s="1674"/>
      <c r="G6" s="1674"/>
      <c r="H6" s="1640"/>
      <c r="I6" s="1675"/>
      <c r="J6" s="1674"/>
      <c r="K6" s="3001" t="str">
        <f>IF(COUNTIF(B6,"*上海银行*"),"上海银行","")</f>
        <v/>
      </c>
      <c r="L6" s="1703"/>
      <c r="M6" s="1703"/>
      <c r="N6" s="1674"/>
      <c r="O6" s="1675"/>
      <c r="P6" s="1674"/>
      <c r="Q6" s="1674"/>
      <c r="R6" s="1674"/>
      <c r="S6" s="1674"/>
      <c r="T6" s="1674"/>
      <c r="U6" s="1674"/>
    </row>
    <row r="7" spans="1:21">
      <c r="A7" s="1649" t="s">
        <v>2701</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2990</v>
      </c>
      <c r="C8" s="1651"/>
      <c r="D8" s="3640" t="s">
        <v>1941</v>
      </c>
      <c r="E8" s="1824" t="s">
        <v>2993</v>
      </c>
      <c r="F8" s="1652"/>
      <c r="G8" s="1640"/>
      <c r="H8" s="1640"/>
      <c r="I8" s="1687"/>
      <c r="J8" s="1674"/>
      <c r="K8" s="1754"/>
      <c r="L8" s="1703"/>
      <c r="M8" s="1703"/>
      <c r="N8" s="1674"/>
      <c r="O8" s="1675"/>
      <c r="P8" s="1674"/>
      <c r="Q8" s="1674"/>
      <c r="R8" s="1674"/>
      <c r="S8" s="1674"/>
      <c r="T8" s="1674"/>
      <c r="U8" s="1674"/>
    </row>
    <row r="9" spans="1:21" ht="15" thickBot="1">
      <c r="A9" s="1653" t="s">
        <v>1940</v>
      </c>
      <c r="B9" s="1654" t="s">
        <v>2993</v>
      </c>
      <c r="C9" s="1655"/>
      <c r="D9" s="3641"/>
      <c r="E9" s="1654"/>
      <c r="F9" s="1727"/>
      <c r="G9" s="1722"/>
      <c r="H9" s="1722"/>
      <c r="I9" s="1723"/>
      <c r="J9" s="1674"/>
      <c r="K9" s="1754"/>
      <c r="L9" s="1703"/>
      <c r="M9" s="1703"/>
      <c r="N9" s="1674"/>
      <c r="O9" s="1675"/>
      <c r="P9" s="1674"/>
      <c r="Q9" s="1674"/>
      <c r="R9" s="1674"/>
      <c r="S9" s="1674"/>
      <c r="T9" s="1674"/>
      <c r="U9" s="1674"/>
    </row>
    <row r="10" spans="1:21" ht="15" thickTop="1">
      <c r="A10" s="1724" t="s">
        <v>1996</v>
      </c>
      <c r="B10" s="1699" t="s">
        <v>2994</v>
      </c>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t="s">
        <v>2995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637"/>
      <c r="C12" s="3638"/>
      <c r="D12" s="3639"/>
      <c r="E12" s="1679" t="s">
        <v>2058</v>
      </c>
      <c r="F12" s="3655" t="s">
        <v>2883</v>
      </c>
      <c r="G12" s="3656"/>
      <c r="H12" s="3656"/>
      <c r="I12" s="3657"/>
      <c r="J12" s="1674"/>
      <c r="K12" s="1754"/>
      <c r="L12" s="1703"/>
      <c r="M12" s="1703"/>
      <c r="N12" s="1674"/>
      <c r="O12" s="1675"/>
      <c r="P12" s="1674"/>
      <c r="Q12" s="1674"/>
      <c r="R12" s="1674"/>
      <c r="S12" s="1674"/>
      <c r="T12" s="1674"/>
      <c r="U12" s="1674"/>
    </row>
    <row r="13" spans="1:21">
      <c r="A13" s="1667" t="s">
        <v>2056</v>
      </c>
      <c r="B13" s="3637"/>
      <c r="C13" s="3638"/>
      <c r="D13" s="3639"/>
      <c r="E13" s="1679" t="s">
        <v>2058</v>
      </c>
      <c r="F13" s="3655" t="s">
        <v>2884</v>
      </c>
      <c r="G13" s="3656"/>
      <c r="H13" s="3656"/>
      <c r="I13" s="3657"/>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5" t="s">
        <v>1946</v>
      </c>
      <c r="E16" s="1702" t="s">
        <v>3016</v>
      </c>
      <c r="F16" s="1702"/>
      <c r="G16" s="1702" t="s">
        <v>3019</v>
      </c>
      <c r="H16" s="1702"/>
      <c r="I16" s="1666" t="s">
        <v>1951</v>
      </c>
      <c r="J16" s="1674"/>
      <c r="K16" s="2415" t="str">
        <f>IF(D17="","",D16&amp;TEXT(D17,"yyyy年m月d日;;"))</f>
        <v>住宅2084年7月15日</v>
      </c>
      <c r="L16" s="1679" t="str">
        <f>IF(OR(K16="",M16=""),"","、")</f>
        <v>、</v>
      </c>
      <c r="M16" s="2415" t="str">
        <f>IF(E17="","",E16&amp;TEXT(E17,"yyyy年m月d日;;"))</f>
        <v>商业2054年7月15日</v>
      </c>
      <c r="N16" s="1679" t="str">
        <f>IF(OR(M16="",O16=""),"","、")</f>
        <v/>
      </c>
      <c r="O16" s="2415" t="str">
        <f>IF(F17="","",F16&amp;TEXT(F17,"yyyy年m月d日;;"))</f>
        <v/>
      </c>
      <c r="P16" s="1679" t="str">
        <f>IF(OR(O16="",Q16=""),"","、")</f>
        <v/>
      </c>
      <c r="Q16" s="2415" t="str">
        <f>IF(G17="","",G16&amp;TEXT(G17,"yyyy年m月d日;;"))</f>
        <v>车库2064年7月15日</v>
      </c>
      <c r="R16" s="1679" t="str">
        <f>IF(OR(Q16="",S16=""),"","、")</f>
        <v/>
      </c>
      <c r="S16" s="2415" t="str">
        <f>IF(H17="","",H16&amp;TEXT(H17,"yyyy年m月d日;;"))</f>
        <v/>
      </c>
      <c r="T16" s="1679" t="str">
        <f>IF(OR(S16="",U16=""),"","、")</f>
        <v/>
      </c>
      <c r="U16" s="2415" t="str">
        <f>IF(I17="","",I16&amp;TEXT(I17,"yyyy年m月d日;;"))</f>
        <v/>
      </c>
    </row>
    <row r="17" spans="1:21">
      <c r="A17" s="1743"/>
      <c r="B17" s="1662"/>
      <c r="C17" s="1663" t="s">
        <v>1952</v>
      </c>
      <c r="D17" s="1680">
        <v>67403</v>
      </c>
      <c r="E17" s="1680">
        <v>56445</v>
      </c>
      <c r="F17" s="1680"/>
      <c r="G17" s="3575">
        <v>60098</v>
      </c>
      <c r="H17" s="1680"/>
      <c r="I17" s="1680"/>
      <c r="J17" s="1674"/>
      <c r="K17" s="2414" t="str">
        <f>CONCATENATE(K16,L16,M16,N16,O16,P16,Q16,R16,S16,T16,,U16)</f>
        <v>住宅2084年7月15日、商业2054年7月15日车库2064年7月15日</v>
      </c>
      <c r="L17" s="1703"/>
      <c r="M17" s="1703"/>
      <c r="N17" s="1674"/>
      <c r="O17" s="1675"/>
      <c r="P17" s="1674"/>
      <c r="Q17" s="1674"/>
      <c r="R17" s="1674"/>
      <c r="S17" s="1674"/>
      <c r="T17" s="1674"/>
      <c r="U17" s="1674"/>
    </row>
    <row r="18" spans="1:21">
      <c r="A18" s="1743"/>
      <c r="B18" s="1662"/>
      <c r="C18" s="1663" t="s">
        <v>1953</v>
      </c>
      <c r="D18" s="1664">
        <v>70</v>
      </c>
      <c r="E18" s="1664">
        <v>40</v>
      </c>
      <c r="F18" s="1664"/>
      <c r="G18" s="1664">
        <v>40</v>
      </c>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64.760000000000005</v>
      </c>
      <c r="E19" s="1665">
        <f>IF(B16="出让",IF(E17="","",ROUNDDOWN(MIN((E17-$D$3)/365,E18),2)),E18)</f>
        <v>34.74</v>
      </c>
      <c r="F19" s="1665" t="str">
        <f>IF(B16="出让",IF(F17="","",ROUNDDOWN(MIN((F17-$D$3)/365,F18),2)),F18)</f>
        <v/>
      </c>
      <c r="G19" s="1665">
        <f>IF(B16="出让",IF(G17="","",ROUNDDOWN(MIN((G17-$D$3)/365,G18),2)),G18)</f>
        <v>40</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652"/>
      <c r="E20" s="3653"/>
      <c r="F20" s="3653"/>
      <c r="G20" s="3653"/>
      <c r="H20" s="3653"/>
      <c r="I20" s="3654"/>
      <c r="J20" s="1674"/>
      <c r="K20" s="1754"/>
      <c r="L20" s="1703"/>
      <c r="M20" s="1703"/>
      <c r="N20" s="1674"/>
      <c r="O20" s="1675"/>
      <c r="P20" s="1674"/>
      <c r="Q20" s="1674"/>
      <c r="R20" s="1674"/>
      <c r="S20" s="1674"/>
      <c r="T20" s="1674"/>
      <c r="U20" s="1674"/>
    </row>
    <row r="21" spans="1:21">
      <c r="A21" s="1743" t="s">
        <v>1955</v>
      </c>
      <c r="B21" s="1744" t="s">
        <v>1956</v>
      </c>
      <c r="C21" s="1739">
        <f>'数据-汇总表'!E3</f>
        <v>49030.880000000005</v>
      </c>
      <c r="D21" s="1740" t="s">
        <v>1957</v>
      </c>
      <c r="E21" s="3642" t="s">
        <v>1995</v>
      </c>
      <c r="F21" s="3643"/>
      <c r="G21" s="3643"/>
      <c r="H21" s="3643"/>
      <c r="I21" s="3644"/>
      <c r="J21" s="1674"/>
      <c r="K21" s="1754"/>
      <c r="L21" s="1703"/>
      <c r="M21" s="1703"/>
      <c r="N21" s="1674"/>
      <c r="O21" s="1675"/>
      <c r="P21" s="1674"/>
      <c r="Q21" s="1674"/>
      <c r="R21" s="1674"/>
      <c r="S21" s="1674"/>
      <c r="T21" s="1674"/>
      <c r="U21" s="1674"/>
    </row>
    <row r="22" spans="1:21">
      <c r="A22" s="3091" t="s">
        <v>949</v>
      </c>
      <c r="B22" s="1641" t="s">
        <v>1958</v>
      </c>
      <c r="C22" s="1666">
        <f>'数据-汇总表'!D3</f>
        <v>29475.73</v>
      </c>
      <c r="D22" s="1667" t="s">
        <v>1957</v>
      </c>
      <c r="E22" s="3642" t="s">
        <v>2885</v>
      </c>
      <c r="F22" s="3643"/>
      <c r="G22" s="3643"/>
      <c r="H22" s="3643"/>
      <c r="I22" s="3644"/>
      <c r="J22" s="1674"/>
      <c r="K22" s="1754"/>
      <c r="L22" s="1703"/>
      <c r="M22" s="1703"/>
      <c r="N22" s="1674"/>
      <c r="O22" s="1675"/>
      <c r="P22" s="1674"/>
      <c r="Q22" s="1674"/>
      <c r="R22" s="1674"/>
      <c r="S22" s="1674"/>
      <c r="T22" s="1674"/>
      <c r="U22" s="1674"/>
    </row>
    <row r="23" spans="1:21" ht="29.2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645" t="s">
        <v>1963</v>
      </c>
      <c r="C24" s="3646"/>
      <c r="D24" s="3647" t="s">
        <v>1964</v>
      </c>
      <c r="E24" s="3648"/>
      <c r="F24" s="1688" t="s">
        <v>1965</v>
      </c>
      <c r="G24" s="1674"/>
      <c r="H24" s="1674"/>
      <c r="I24" s="1687"/>
      <c r="J24" s="1674"/>
      <c r="K24" s="3633" t="s">
        <v>1966</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2320</v>
      </c>
      <c r="C25" s="1689" t="s">
        <v>1967</v>
      </c>
      <c r="D25" s="1690"/>
      <c r="E25" s="1691" t="s">
        <v>949</v>
      </c>
      <c r="F25" s="1692"/>
      <c r="G25" s="1674"/>
      <c r="H25" s="1674"/>
      <c r="I25" s="1687"/>
      <c r="J25" s="1674"/>
      <c r="K25" s="3633"/>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2321</v>
      </c>
      <c r="D26" s="1640"/>
      <c r="E26" s="1640"/>
      <c r="F26" s="1668"/>
      <c r="G26" s="1674"/>
      <c r="H26" s="1674"/>
      <c r="I26" s="1687"/>
      <c r="J26" s="1674"/>
      <c r="K26" s="3633"/>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0"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1"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1"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2" t="s">
        <v>1973</v>
      </c>
      <c r="E30" s="1698"/>
      <c r="F30" s="1669"/>
      <c r="G30" s="1722"/>
      <c r="H30" s="1722"/>
      <c r="I30" s="1723"/>
      <c r="J30" s="1674"/>
      <c r="K30" s="1754"/>
      <c r="L30" s="1703"/>
      <c r="M30" s="1703"/>
      <c r="N30" s="1674"/>
      <c r="O30" s="1675"/>
      <c r="P30" s="1674"/>
      <c r="Q30" s="1674"/>
      <c r="R30" s="1674"/>
      <c r="S30" s="1674"/>
      <c r="T30" s="1674"/>
      <c r="U30" s="1674"/>
    </row>
    <row r="31" spans="1:21" ht="15" thickTop="1">
      <c r="A31" s="3619" t="s">
        <v>1998</v>
      </c>
      <c r="B31" s="1744" t="s">
        <v>1999</v>
      </c>
      <c r="C31" s="3658"/>
      <c r="D31" s="3659"/>
      <c r="E31" s="1674"/>
      <c r="F31" s="1674"/>
      <c r="G31" s="1674"/>
      <c r="H31" s="1674"/>
      <c r="I31" s="1687"/>
      <c r="J31" s="1674"/>
      <c r="K31" s="2417"/>
      <c r="L31" s="1674"/>
      <c r="M31" s="1674"/>
      <c r="N31" s="1674"/>
      <c r="O31" s="1674"/>
      <c r="P31" s="1674"/>
      <c r="Q31" s="1674"/>
      <c r="R31" s="1674"/>
      <c r="S31" s="1674"/>
      <c r="T31" s="1674"/>
      <c r="U31" s="1674"/>
    </row>
    <row r="32" spans="1:21">
      <c r="A32" s="3619"/>
      <c r="B32" s="1641" t="s">
        <v>2000</v>
      </c>
      <c r="C32" s="1699"/>
      <c r="D32" s="1700"/>
      <c r="E32" s="1674"/>
      <c r="F32" s="1674"/>
      <c r="G32" s="1674"/>
      <c r="H32" s="1674"/>
      <c r="I32" s="1687"/>
      <c r="J32" s="1674"/>
      <c r="K32" s="2417"/>
      <c r="L32" s="1674"/>
      <c r="M32" s="1674"/>
      <c r="N32" s="1674"/>
      <c r="O32" s="1674"/>
      <c r="P32" s="1674"/>
      <c r="Q32" s="1674"/>
      <c r="R32" s="1674"/>
      <c r="S32" s="1674"/>
      <c r="T32" s="1674"/>
      <c r="U32" s="1674"/>
    </row>
    <row r="33" spans="1:21">
      <c r="A33" s="3619"/>
      <c r="B33" s="1641" t="s">
        <v>2001</v>
      </c>
      <c r="C33" s="1701"/>
      <c r="D33" s="1818"/>
      <c r="E33" s="1674"/>
      <c r="F33" s="1674"/>
      <c r="G33" s="1674"/>
      <c r="H33" s="1674"/>
      <c r="I33" s="1687"/>
      <c r="J33" s="1674"/>
      <c r="K33" s="2417"/>
      <c r="L33" s="1674"/>
      <c r="M33" s="1674"/>
      <c r="N33" s="1674"/>
      <c r="O33" s="1674"/>
      <c r="P33" s="1674"/>
      <c r="Q33" s="1674"/>
      <c r="R33" s="1674"/>
      <c r="S33" s="1674"/>
      <c r="T33" s="1674"/>
      <c r="U33" s="1674"/>
    </row>
    <row r="34" spans="1:21">
      <c r="A34" s="3620"/>
      <c r="B34" s="1641" t="s">
        <v>2002</v>
      </c>
      <c r="C34" s="3621"/>
      <c r="D34" s="3622"/>
      <c r="E34" s="1674"/>
      <c r="F34" s="1674"/>
      <c r="G34" s="1674"/>
      <c r="H34" s="1674"/>
      <c r="I34" s="1687"/>
      <c r="J34" s="1674"/>
      <c r="K34" s="2417"/>
      <c r="L34" s="1674"/>
      <c r="M34" s="1674"/>
      <c r="N34" s="1674"/>
      <c r="O34" s="1674"/>
      <c r="P34" s="1674"/>
      <c r="Q34" s="1674"/>
      <c r="R34" s="1674"/>
      <c r="S34" s="1674"/>
      <c r="T34" s="1674"/>
      <c r="U34" s="1674"/>
    </row>
    <row r="35" spans="1:21">
      <c r="A35" s="3623" t="s">
        <v>844</v>
      </c>
      <c r="B35" s="1702"/>
      <c r="C35" s="1756" t="str">
        <f>IF(B35="场地平整","——","具体情况：")</f>
        <v>具体情况：</v>
      </c>
      <c r="D35" s="3625"/>
      <c r="E35" s="3626"/>
      <c r="F35" s="3626"/>
      <c r="G35" s="3626"/>
      <c r="H35" s="3626"/>
      <c r="I35" s="3627"/>
      <c r="J35" s="1674"/>
      <c r="K35" s="1755"/>
      <c r="L35" s="1703"/>
      <c r="M35" s="1703"/>
      <c r="N35" s="1674"/>
      <c r="O35" s="1675"/>
      <c r="P35" s="1674"/>
      <c r="Q35" s="1674"/>
      <c r="R35" s="1674"/>
      <c r="S35" s="1674"/>
      <c r="T35" s="1674"/>
      <c r="U35" s="1674"/>
    </row>
    <row r="36" spans="1:21">
      <c r="A36" s="3619"/>
      <c r="B36" s="3628" t="s">
        <v>2051</v>
      </c>
      <c r="C36" s="3629"/>
      <c r="D36" s="1772"/>
      <c r="E36" s="3630"/>
      <c r="F36" s="3630"/>
      <c r="G36" s="1667" t="str">
        <f>IF(B35="场地未平整","估价结果处理","")</f>
        <v/>
      </c>
      <c r="H36" s="3631"/>
      <c r="I36" s="3631"/>
      <c r="J36" s="1674"/>
      <c r="K36" s="1755"/>
      <c r="L36" s="1703"/>
      <c r="M36" s="1703"/>
      <c r="N36" s="1674"/>
      <c r="O36" s="1675"/>
      <c r="P36" s="1674"/>
      <c r="Q36" s="1674"/>
      <c r="R36" s="1674"/>
      <c r="S36" s="1674"/>
      <c r="T36" s="1674"/>
      <c r="U36" s="1674"/>
    </row>
    <row r="37" spans="1:21" ht="28.5">
      <c r="A37" s="3619"/>
      <c r="B37" s="3649"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619"/>
      <c r="B38" s="3650"/>
      <c r="C38" s="1649" t="s">
        <v>847</v>
      </c>
      <c r="D38" s="1771">
        <f>ROUNDDOWN(MIN(('数据-取费表'!$B$2-D37)/365,D34),1)</f>
        <v>119.9</v>
      </c>
      <c r="E38" s="1707" t="s">
        <v>848</v>
      </c>
      <c r="F38" s="1674"/>
      <c r="G38" s="1674"/>
      <c r="H38" s="1674"/>
      <c r="I38" s="1687"/>
      <c r="J38" s="1674"/>
      <c r="K38" s="1755"/>
      <c r="L38" s="1674"/>
      <c r="M38" s="1674"/>
      <c r="N38" s="1674"/>
      <c r="O38" s="1674"/>
      <c r="P38" s="1674"/>
      <c r="Q38" s="1674"/>
      <c r="R38" s="1674"/>
      <c r="S38" s="1674"/>
      <c r="T38" s="1674"/>
      <c r="U38" s="1674"/>
    </row>
    <row r="39" spans="1:21">
      <c r="A39" s="3620"/>
      <c r="B39" s="3651"/>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632" t="s">
        <v>1982</v>
      </c>
      <c r="T40" s="1711" t="str">
        <f>NUMBERSTRING(7-K40,1)&amp;"通"</f>
        <v>七通</v>
      </c>
      <c r="U40" s="1674"/>
    </row>
    <row r="41" spans="1:21">
      <c r="A41" s="1643"/>
      <c r="B41" s="3624" t="s">
        <v>1718</v>
      </c>
      <c r="C41" s="3624"/>
      <c r="D41" s="3624"/>
      <c r="E41" s="3624"/>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632"/>
      <c r="T41" s="1713" t="str">
        <f>IF(T40="一通",L41,IF(T40="二通",M41,IF(T40="三通",N41,IF(T40="四通",O41,IF(T40="五通",P41,IF(T40="六通",Q41,R41))))))</f>
        <v>、、、、、、</v>
      </c>
      <c r="U41" s="1674"/>
    </row>
    <row r="42" spans="1:21">
      <c r="A42" s="1715"/>
      <c r="B42" s="1746" t="s">
        <v>1894</v>
      </c>
      <c r="C42" s="1746" t="s">
        <v>1895</v>
      </c>
      <c r="D42" s="1746" t="s">
        <v>1896</v>
      </c>
      <c r="E42" s="1679" t="s">
        <v>1897</v>
      </c>
      <c r="F42" s="1716"/>
      <c r="G42" s="1674"/>
      <c r="H42" s="1674"/>
      <c r="I42" s="1687"/>
      <c r="J42" s="1674"/>
      <c r="K42" s="1754"/>
      <c r="L42" s="1703"/>
      <c r="M42" s="1703"/>
      <c r="N42" s="1674"/>
      <c r="O42" s="1675"/>
      <c r="P42" s="1674"/>
      <c r="Q42" s="1674"/>
      <c r="R42" s="1674"/>
      <c r="S42" s="1674"/>
      <c r="T42" s="1674"/>
      <c r="U42" s="1674"/>
    </row>
    <row r="43" spans="1:21">
      <c r="A43" s="1717" t="s">
        <v>1703</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1704</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8" customFormat="1" ht="21" thickBot="1">
      <c r="A45" s="3019" t="s">
        <v>2886</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0" t="s">
        <v>0</v>
      </c>
      <c r="B1" s="3660" t="s">
        <v>4</v>
      </c>
      <c r="C1" s="3660" t="s">
        <v>5</v>
      </c>
      <c r="D1" s="3661" t="s">
        <v>40</v>
      </c>
      <c r="E1" s="3661" t="s">
        <v>41</v>
      </c>
      <c r="F1" s="3661"/>
      <c r="G1" s="3661"/>
      <c r="H1" s="3661"/>
      <c r="I1" s="3661"/>
      <c r="J1" s="3661"/>
      <c r="K1" s="3661"/>
      <c r="L1" s="3661"/>
      <c r="M1" s="3661"/>
    </row>
    <row r="2" spans="1:13" ht="27" customHeight="1">
      <c r="A2" s="3660"/>
      <c r="B2" s="3660"/>
      <c r="C2" s="3660"/>
      <c r="D2" s="3661"/>
      <c r="E2" s="3661" t="s">
        <v>24</v>
      </c>
      <c r="F2" s="3661" t="s">
        <v>25</v>
      </c>
      <c r="G2" s="3661"/>
      <c r="H2" s="3661"/>
      <c r="I2" s="3661"/>
      <c r="J2" s="3661" t="s">
        <v>26</v>
      </c>
      <c r="K2" s="3661"/>
      <c r="L2" s="3661"/>
      <c r="M2" s="3661"/>
    </row>
    <row r="3" spans="1:13" ht="28.5">
      <c r="A3" s="3660"/>
      <c r="B3" s="3660"/>
      <c r="C3" s="3660"/>
      <c r="D3" s="3661"/>
      <c r="E3" s="36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1" t="s">
        <v>42</v>
      </c>
      <c r="B9" s="3661"/>
      <c r="C9" s="36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21" sqref="A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0"/>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19" t="s">
        <v>2328</v>
      </c>
      <c r="BA2" s="2320"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84">
        <f>面积表!E7</f>
        <v>29475.73</v>
      </c>
      <c r="B3" s="21">
        <f>IF(C3="否",G5-AT5,G5)</f>
        <v>49030.880000000012</v>
      </c>
      <c r="C3" s="22" t="s">
        <v>3512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585"/>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3"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4" t="s">
        <v>168</v>
      </c>
      <c r="B5" s="987"/>
      <c r="C5" s="987"/>
      <c r="D5" s="994"/>
      <c r="E5" s="25" t="s">
        <v>1</v>
      </c>
      <c r="F5" s="25">
        <f>SUM(F13:F572)</f>
        <v>0</v>
      </c>
      <c r="G5" s="25">
        <f>SUM(G13:G572)</f>
        <v>50549.98000000001</v>
      </c>
      <c r="H5" s="25">
        <f t="shared" ref="H5:AT5" si="0">SUM(H13:H641)</f>
        <v>46307.519999999997</v>
      </c>
      <c r="I5" s="25">
        <f t="shared" si="0"/>
        <v>34901.61</v>
      </c>
      <c r="J5" s="25">
        <f t="shared" si="0"/>
        <v>0</v>
      </c>
      <c r="K5" s="25">
        <f t="shared" si="0"/>
        <v>0</v>
      </c>
      <c r="L5" s="25">
        <f t="shared" si="0"/>
        <v>0</v>
      </c>
      <c r="M5" s="25">
        <f t="shared" si="0"/>
        <v>48.03</v>
      </c>
      <c r="N5" s="25">
        <f t="shared" si="0"/>
        <v>0</v>
      </c>
      <c r="O5" s="25">
        <f t="shared" si="0"/>
        <v>11357.88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2723.36</v>
      </c>
      <c r="AD5" s="25">
        <f t="shared" si="0"/>
        <v>1133.2</v>
      </c>
      <c r="AE5" s="25">
        <f t="shared" si="0"/>
        <v>0</v>
      </c>
      <c r="AF5" s="25">
        <f t="shared" si="0"/>
        <v>0</v>
      </c>
      <c r="AG5" s="25">
        <f t="shared" si="0"/>
        <v>0</v>
      </c>
      <c r="AH5" s="25">
        <f t="shared" si="0"/>
        <v>102.48</v>
      </c>
      <c r="AI5" s="25">
        <f t="shared" si="0"/>
        <v>0</v>
      </c>
      <c r="AJ5" s="25">
        <f t="shared" si="0"/>
        <v>0</v>
      </c>
      <c r="AK5" s="25">
        <f t="shared" si="0"/>
        <v>0</v>
      </c>
      <c r="AL5" s="25">
        <f t="shared" si="0"/>
        <v>1487.6799999999998</v>
      </c>
      <c r="AM5" s="25">
        <f t="shared" si="0"/>
        <v>0</v>
      </c>
      <c r="AN5" s="25">
        <f t="shared" si="0"/>
        <v>0</v>
      </c>
      <c r="AO5" s="25">
        <f t="shared" si="0"/>
        <v>0</v>
      </c>
      <c r="AP5" s="25">
        <f t="shared" si="0"/>
        <v>0</v>
      </c>
      <c r="AQ5" s="25">
        <f t="shared" si="0"/>
        <v>0</v>
      </c>
      <c r="AR5" s="25">
        <f t="shared" si="0"/>
        <v>0</v>
      </c>
      <c r="AS5" s="25">
        <f t="shared" si="0"/>
        <v>0</v>
      </c>
      <c r="AT5" s="25">
        <f t="shared" si="0"/>
        <v>1519.1</v>
      </c>
      <c r="AU5" s="986"/>
      <c r="AV5" s="24" t="s">
        <v>168</v>
      </c>
      <c r="AW5" s="987"/>
      <c r="AX5" s="987"/>
      <c r="AY5" s="26" t="s">
        <v>3</v>
      </c>
      <c r="AZ5" s="27">
        <f t="shared" ref="AZ5:BT5" si="1">SUM(AZ13:AZ641)</f>
        <v>49030.880000000005</v>
      </c>
      <c r="BA5" s="27">
        <f t="shared" si="1"/>
        <v>46307.519999999997</v>
      </c>
      <c r="BB5" s="27">
        <f t="shared" si="1"/>
        <v>34901.61</v>
      </c>
      <c r="BC5" s="27">
        <f t="shared" si="1"/>
        <v>0</v>
      </c>
      <c r="BD5" s="27">
        <f t="shared" si="1"/>
        <v>48.03</v>
      </c>
      <c r="BE5" s="27">
        <f t="shared" si="1"/>
        <v>11357.88</v>
      </c>
      <c r="BF5" s="27">
        <f t="shared" si="1"/>
        <v>0</v>
      </c>
      <c r="BG5" s="27">
        <f t="shared" si="1"/>
        <v>0</v>
      </c>
      <c r="BH5" s="27">
        <f t="shared" si="1"/>
        <v>0</v>
      </c>
      <c r="BI5" s="27">
        <f t="shared" si="1"/>
        <v>0</v>
      </c>
      <c r="BJ5" s="27">
        <f t="shared" si="1"/>
        <v>0</v>
      </c>
      <c r="BK5" s="27">
        <f t="shared" si="1"/>
        <v>0</v>
      </c>
      <c r="BL5" s="27">
        <f t="shared" si="1"/>
        <v>2723.36</v>
      </c>
      <c r="BM5" s="27">
        <f t="shared" si="1"/>
        <v>1133.2</v>
      </c>
      <c r="BN5" s="27">
        <f t="shared" si="1"/>
        <v>0</v>
      </c>
      <c r="BO5" s="27">
        <f t="shared" si="1"/>
        <v>102.48</v>
      </c>
      <c r="BP5" s="27">
        <f t="shared" si="1"/>
        <v>0</v>
      </c>
      <c r="BQ5" s="27">
        <f t="shared" si="1"/>
        <v>1487.6799999999998</v>
      </c>
      <c r="BR5" s="27">
        <f t="shared" si="1"/>
        <v>0</v>
      </c>
      <c r="BS5" s="27">
        <f t="shared" si="1"/>
        <v>0</v>
      </c>
      <c r="BT5" s="28">
        <f t="shared" si="1"/>
        <v>0</v>
      </c>
    </row>
    <row r="6" spans="1:72" s="35" customFormat="1" ht="12.75">
      <c r="A6" s="24" t="s">
        <v>169</v>
      </c>
      <c r="B6" s="29"/>
      <c r="C6" s="29"/>
      <c r="D6" s="30"/>
      <c r="E6" s="25">
        <f>H6+AC6+AT6</f>
        <v>29475.719999999998</v>
      </c>
      <c r="F6" s="25" t="s">
        <v>1</v>
      </c>
      <c r="G6" s="25" t="s">
        <v>2</v>
      </c>
      <c r="H6" s="31">
        <f>SUMIF(I$12:AB$12,"总值",I6:AB6)</f>
        <v>27838.53</v>
      </c>
      <c r="I6" s="25">
        <f t="shared" ref="I6:AB6" si="2">ROUND($A$3*I5/$B$3,2)</f>
        <v>20981.68</v>
      </c>
      <c r="J6" s="25">
        <f t="shared" si="2"/>
        <v>0</v>
      </c>
      <c r="K6" s="25">
        <f t="shared" si="2"/>
        <v>0</v>
      </c>
      <c r="L6" s="25">
        <f t="shared" si="2"/>
        <v>0</v>
      </c>
      <c r="M6" s="25">
        <f t="shared" si="2"/>
        <v>28.87</v>
      </c>
      <c r="N6" s="25">
        <f t="shared" si="2"/>
        <v>0</v>
      </c>
      <c r="O6" s="25">
        <f t="shared" si="2"/>
        <v>6827.98</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1637.19</v>
      </c>
      <c r="AD6" s="25">
        <f t="shared" ref="AD6:AS6" si="3">ROUND($A$3*AD5/$B$3,2)</f>
        <v>681.24</v>
      </c>
      <c r="AE6" s="25">
        <f t="shared" si="3"/>
        <v>0</v>
      </c>
      <c r="AF6" s="25">
        <f t="shared" si="3"/>
        <v>0</v>
      </c>
      <c r="AG6" s="25">
        <f t="shared" si="3"/>
        <v>0</v>
      </c>
      <c r="AH6" s="25">
        <f t="shared" si="3"/>
        <v>61.61</v>
      </c>
      <c r="AI6" s="25">
        <f t="shared" si="3"/>
        <v>0</v>
      </c>
      <c r="AJ6" s="25">
        <f t="shared" si="3"/>
        <v>0</v>
      </c>
      <c r="AK6" s="25">
        <f t="shared" si="3"/>
        <v>0</v>
      </c>
      <c r="AL6" s="25">
        <f t="shared" si="3"/>
        <v>894.34</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29475.73</v>
      </c>
      <c r="AZ6" s="25" t="s">
        <v>3</v>
      </c>
      <c r="BA6" s="25">
        <f>ROUND($AY$6*BA5/$AZ$5,2)</f>
        <v>27838.54</v>
      </c>
      <c r="BB6" s="25">
        <f>ROUND($AY$6*BB5/$AZ$5,2)</f>
        <v>20981.68</v>
      </c>
      <c r="BC6" s="25">
        <f t="shared" ref="BC6:BH6" si="4">ROUND($AY$6*BC5/$AZ$5,2)</f>
        <v>0</v>
      </c>
      <c r="BD6" s="25">
        <f t="shared" si="4"/>
        <v>28.87</v>
      </c>
      <c r="BE6" s="25">
        <f t="shared" si="4"/>
        <v>6827.98</v>
      </c>
      <c r="BF6" s="25">
        <f t="shared" si="4"/>
        <v>0</v>
      </c>
      <c r="BG6" s="25">
        <f t="shared" si="4"/>
        <v>0</v>
      </c>
      <c r="BH6" s="25">
        <f t="shared" si="4"/>
        <v>0</v>
      </c>
      <c r="BI6" s="25">
        <f t="shared" ref="BI6:BT6" si="5">ROUND($AY$6*BI5/$AZ$5,2)</f>
        <v>0</v>
      </c>
      <c r="BJ6" s="25">
        <f t="shared" si="5"/>
        <v>0</v>
      </c>
      <c r="BK6" s="25">
        <f t="shared" si="5"/>
        <v>0</v>
      </c>
      <c r="BL6" s="25">
        <f t="shared" si="5"/>
        <v>1637.19</v>
      </c>
      <c r="BM6" s="25">
        <f t="shared" si="5"/>
        <v>681.24</v>
      </c>
      <c r="BN6" s="25">
        <f t="shared" si="5"/>
        <v>0</v>
      </c>
      <c r="BO6" s="25">
        <f t="shared" si="5"/>
        <v>61.61</v>
      </c>
      <c r="BP6" s="25">
        <f t="shared" si="5"/>
        <v>0</v>
      </c>
      <c r="BQ6" s="25">
        <f t="shared" si="5"/>
        <v>894.34</v>
      </c>
      <c r="BR6" s="25">
        <f t="shared" si="5"/>
        <v>0</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77"/>
      <c r="AT8" s="2308" t="s">
        <v>852</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2965" t="s">
        <v>3017</v>
      </c>
      <c r="J9" s="49"/>
      <c r="K9" s="2965"/>
      <c r="L9" s="49"/>
      <c r="M9" s="2965" t="s">
        <v>3017</v>
      </c>
      <c r="N9" s="49"/>
      <c r="O9" s="57" t="s">
        <v>3018</v>
      </c>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1" t="s">
        <v>191</v>
      </c>
      <c r="AQ9" s="1183"/>
      <c r="AR9" s="1181" t="s">
        <v>192</v>
      </c>
      <c r="AS9" s="2309"/>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2965" t="s">
        <v>920</v>
      </c>
      <c r="J10" s="49"/>
      <c r="K10" s="2967"/>
      <c r="L10" s="49"/>
      <c r="M10" s="2967" t="s">
        <v>3016</v>
      </c>
      <c r="N10" s="49"/>
      <c r="O10" s="64" t="s">
        <v>3019</v>
      </c>
      <c r="P10" s="49"/>
      <c r="Q10" s="64"/>
      <c r="R10" s="49"/>
      <c r="S10" s="64"/>
      <c r="T10" s="49"/>
      <c r="U10" s="64"/>
      <c r="V10" s="49"/>
      <c r="W10" s="64"/>
      <c r="X10" s="49"/>
      <c r="Y10" s="64"/>
      <c r="Z10" s="49"/>
      <c r="AA10" s="64"/>
      <c r="AB10" s="49"/>
      <c r="AC10" s="53"/>
      <c r="AD10" s="2294" t="s">
        <v>2312</v>
      </c>
      <c r="AE10" s="2316"/>
      <c r="AF10" s="2294" t="s">
        <v>2312</v>
      </c>
      <c r="AG10" s="2316"/>
      <c r="AH10" s="2294" t="s">
        <v>2313</v>
      </c>
      <c r="AI10" s="2316"/>
      <c r="AJ10" s="24" t="s">
        <v>2326</v>
      </c>
      <c r="AK10" s="2313"/>
      <c r="AL10" s="2294" t="s">
        <v>2314</v>
      </c>
      <c r="AM10" s="2295"/>
      <c r="AN10" s="24" t="s">
        <v>198</v>
      </c>
      <c r="AO10" s="59"/>
      <c r="AP10" s="1181" t="s">
        <v>199</v>
      </c>
      <c r="AQ10" s="1183"/>
      <c r="AR10" s="1181" t="s">
        <v>199</v>
      </c>
      <c r="AS10" s="1183"/>
      <c r="AT10" s="43"/>
      <c r="AU10" s="43"/>
      <c r="AV10" s="53"/>
      <c r="AW10" s="1001"/>
      <c r="AX10" s="53"/>
      <c r="AY10" s="60"/>
      <c r="AZ10" s="60"/>
      <c r="BA10" s="65" t="s">
        <v>193</v>
      </c>
      <c r="BB10" s="66" t="str">
        <f>I9</f>
        <v>地上</v>
      </c>
      <c r="BC10" s="67">
        <f>K9</f>
        <v>0</v>
      </c>
      <c r="BD10" s="67" t="str">
        <f>M9</f>
        <v>地上</v>
      </c>
      <c r="BE10" s="67" t="str">
        <f>O9</f>
        <v>地下</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2966"/>
      <c r="J11" s="69"/>
      <c r="K11" s="2966"/>
      <c r="L11" s="69"/>
      <c r="M11" s="68"/>
      <c r="N11" s="69"/>
      <c r="O11" s="68"/>
      <c r="P11" s="69"/>
      <c r="Q11" s="68"/>
      <c r="R11" s="69"/>
      <c r="S11" s="68"/>
      <c r="T11" s="69"/>
      <c r="U11" s="68"/>
      <c r="V11" s="69"/>
      <c r="W11" s="68"/>
      <c r="X11" s="69"/>
      <c r="Y11" s="68"/>
      <c r="Z11" s="69"/>
      <c r="AA11" s="68"/>
      <c r="AB11" s="69"/>
      <c r="AC11" s="53"/>
      <c r="AD11" s="2314" t="s">
        <v>2325</v>
      </c>
      <c r="AE11" s="1000"/>
      <c r="AF11" s="2314" t="s">
        <v>2325</v>
      </c>
      <c r="AG11" s="1000"/>
      <c r="AH11" s="2314" t="s">
        <v>2324</v>
      </c>
      <c r="AI11" s="2315"/>
      <c r="AJ11" s="2314" t="s">
        <v>2324</v>
      </c>
      <c r="AK11" s="2313"/>
      <c r="AL11" s="998"/>
      <c r="AM11" s="1000"/>
      <c r="AN11" s="998"/>
      <c r="AO11" s="1000"/>
      <c r="AP11" s="1182"/>
      <c r="AQ11" s="1184"/>
      <c r="AR11" s="1182"/>
      <c r="AS11" s="1184"/>
      <c r="AT11" s="1001"/>
      <c r="AU11" s="43"/>
      <c r="AV11" s="53"/>
      <c r="AW11" s="1001"/>
      <c r="AX11" s="53"/>
      <c r="AY11" s="60"/>
      <c r="AZ11" s="60"/>
      <c r="BA11" s="60"/>
      <c r="BB11" s="48" t="str">
        <f>I10</f>
        <v>住宅</v>
      </c>
      <c r="BC11" s="48">
        <f>K10</f>
        <v>0</v>
      </c>
      <c r="BD11" s="48" t="str">
        <f>M10</f>
        <v>商业</v>
      </c>
      <c r="BE11" s="48" t="str">
        <f>O10</f>
        <v>车库</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8" customFormat="1" ht="12.75">
      <c r="A12" s="70"/>
      <c r="B12" s="70"/>
      <c r="C12" s="70"/>
      <c r="D12" s="70"/>
      <c r="E12" s="70"/>
      <c r="F12" s="70"/>
      <c r="G12" s="71"/>
      <c r="H12" s="72"/>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3"/>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8" customFormat="1" ht="12.75">
      <c r="A13" s="2961"/>
      <c r="B13" s="2961"/>
      <c r="C13" s="2961" t="s">
        <v>3522</v>
      </c>
      <c r="D13" s="2962" t="s">
        <v>1675</v>
      </c>
      <c r="E13" s="25">
        <f t="shared" ref="E13:E20" si="6">IF($C$3="是",ROUND($A$3*G13/$B$3,2),ROUND($A$3*(G13-AT13)/$B$3,2))</f>
        <v>2160.84</v>
      </c>
      <c r="F13" s="79"/>
      <c r="G13" s="80">
        <f t="shared" ref="G13:G20" si="7">H13+AC13+AT13</f>
        <v>3594.41</v>
      </c>
      <c r="H13" s="31">
        <f t="shared" ref="H13:H20" si="8">SUMIF(I$12:AB$12,"总值",I13:AB13)</f>
        <v>3594.41</v>
      </c>
      <c r="I13" s="2964">
        <f>面积表!F9</f>
        <v>3594.41</v>
      </c>
      <c r="J13" s="2964"/>
      <c r="K13" s="2964"/>
      <c r="L13" s="2964"/>
      <c r="M13" s="2964"/>
      <c r="N13" s="81"/>
      <c r="O13" s="81"/>
      <c r="P13" s="81"/>
      <c r="Q13" s="81"/>
      <c r="R13" s="81"/>
      <c r="S13" s="81"/>
      <c r="T13" s="81"/>
      <c r="U13" s="81"/>
      <c r="V13" s="81"/>
      <c r="W13" s="81"/>
      <c r="X13" s="81"/>
      <c r="Y13" s="81"/>
      <c r="Z13" s="81"/>
      <c r="AA13" s="81"/>
      <c r="AB13" s="81"/>
      <c r="AC13" s="25">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一期洋房</v>
      </c>
      <c r="AY13" s="994">
        <f t="shared" ref="AY13:AY20" si="11">ROUND($AY$6*AZ13/$AZ$5,2)</f>
        <v>2160.84</v>
      </c>
      <c r="AZ13" s="25">
        <f t="shared" ref="AZ13:AZ20" si="12">BA13+BL13</f>
        <v>3594.41</v>
      </c>
      <c r="BA13" s="25">
        <f t="shared" ref="BA13:BA20" si="13">SUM(BB13:BK13)</f>
        <v>3594.41</v>
      </c>
      <c r="BB13" s="25">
        <f t="shared" ref="BB13:BB20" si="14">IF($D13="是",I13-J13,0)</f>
        <v>3594.41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8" customFormat="1" ht="12.75">
      <c r="A14" s="2961"/>
      <c r="B14" s="2961"/>
      <c r="C14" s="2963" t="s">
        <v>3523</v>
      </c>
      <c r="D14" s="2962" t="s">
        <v>1675</v>
      </c>
      <c r="E14" s="25">
        <f t="shared" si="6"/>
        <v>4209.04</v>
      </c>
      <c r="F14" s="79"/>
      <c r="G14" s="80">
        <f t="shared" si="7"/>
        <v>7001.46</v>
      </c>
      <c r="H14" s="31">
        <f t="shared" si="8"/>
        <v>7001.46</v>
      </c>
      <c r="I14" s="2964">
        <f>面积表!E10</f>
        <v>7001.46</v>
      </c>
      <c r="J14" s="2964"/>
      <c r="K14" s="2964"/>
      <c r="L14" s="2964"/>
      <c r="M14" s="2964"/>
      <c r="N14" s="81"/>
      <c r="O14" s="81"/>
      <c r="P14" s="81"/>
      <c r="Q14" s="81"/>
      <c r="R14" s="81"/>
      <c r="S14" s="81"/>
      <c r="T14" s="81"/>
      <c r="U14" s="81"/>
      <c r="V14" s="81"/>
      <c r="W14" s="81"/>
      <c r="X14" s="81"/>
      <c r="Y14" s="81"/>
      <c r="Z14" s="81"/>
      <c r="AA14" s="81"/>
      <c r="AB14" s="81"/>
      <c r="AC14" s="25">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一期叠拼</v>
      </c>
      <c r="AY14" s="994">
        <f t="shared" si="11"/>
        <v>4209.04</v>
      </c>
      <c r="AZ14" s="25">
        <f t="shared" si="12"/>
        <v>7001.46</v>
      </c>
      <c r="BA14" s="25">
        <f t="shared" si="13"/>
        <v>7001.46</v>
      </c>
      <c r="BB14" s="25">
        <f t="shared" si="14"/>
        <v>7001.46</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61"/>
      <c r="B15" s="2961"/>
      <c r="C15" s="2963" t="s">
        <v>3524</v>
      </c>
      <c r="D15" s="2962" t="s">
        <v>1675</v>
      </c>
      <c r="E15" s="25">
        <f t="shared" si="6"/>
        <v>681.24</v>
      </c>
      <c r="F15" s="79"/>
      <c r="G15" s="80">
        <f t="shared" si="7"/>
        <v>1133.2</v>
      </c>
      <c r="H15" s="31">
        <f t="shared" si="8"/>
        <v>0</v>
      </c>
      <c r="I15" s="2964"/>
      <c r="J15" s="2964"/>
      <c r="K15" s="2964"/>
      <c r="L15" s="2964"/>
      <c r="M15" s="2964"/>
      <c r="N15" s="81"/>
      <c r="O15" s="81"/>
      <c r="P15" s="81"/>
      <c r="Q15" s="81"/>
      <c r="R15" s="81"/>
      <c r="S15" s="81"/>
      <c r="T15" s="81"/>
      <c r="U15" s="81"/>
      <c r="V15" s="81"/>
      <c r="W15" s="81"/>
      <c r="X15" s="81"/>
      <c r="Y15" s="81"/>
      <c r="Z15" s="81"/>
      <c r="AA15" s="81"/>
      <c r="AB15" s="81"/>
      <c r="AC15" s="25">
        <f t="shared" si="9"/>
        <v>1133.2</v>
      </c>
      <c r="AD15" s="2968">
        <f>面积表!F14</f>
        <v>1133.2</v>
      </c>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一期幼儿园</v>
      </c>
      <c r="AY15" s="994">
        <f t="shared" si="11"/>
        <v>681.24</v>
      </c>
      <c r="AZ15" s="25">
        <f t="shared" si="12"/>
        <v>1133.2</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1133.2</v>
      </c>
      <c r="BM15" s="25">
        <f t="shared" si="25"/>
        <v>1133.2</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61"/>
      <c r="B16" s="2961"/>
      <c r="C16" s="2963" t="s">
        <v>3525</v>
      </c>
      <c r="D16" s="2962" t="s">
        <v>1675</v>
      </c>
      <c r="E16" s="25">
        <f t="shared" si="6"/>
        <v>6.61</v>
      </c>
      <c r="F16" s="79"/>
      <c r="G16" s="80">
        <f t="shared" si="7"/>
        <v>11</v>
      </c>
      <c r="H16" s="31">
        <f t="shared" si="8"/>
        <v>0</v>
      </c>
      <c r="I16" s="2964"/>
      <c r="J16" s="2964"/>
      <c r="K16" s="2964"/>
      <c r="L16" s="2964"/>
      <c r="M16" s="2964"/>
      <c r="N16" s="81"/>
      <c r="O16" s="81"/>
      <c r="P16" s="81"/>
      <c r="Q16" s="81"/>
      <c r="R16" s="81"/>
      <c r="S16" s="81"/>
      <c r="T16" s="81"/>
      <c r="U16" s="81"/>
      <c r="V16" s="81"/>
      <c r="W16" s="81"/>
      <c r="X16" s="81"/>
      <c r="Y16" s="81"/>
      <c r="Z16" s="81"/>
      <c r="AA16" s="81"/>
      <c r="AB16" s="81"/>
      <c r="AC16" s="25">
        <f t="shared" si="9"/>
        <v>11</v>
      </c>
      <c r="AD16" s="2968"/>
      <c r="AE16" s="2968"/>
      <c r="AF16" s="2968"/>
      <c r="AG16" s="2968"/>
      <c r="AH16" s="2968"/>
      <c r="AI16" s="2968"/>
      <c r="AJ16" s="2968"/>
      <c r="AK16" s="2968"/>
      <c r="AL16" s="2968">
        <f>面积表!F15</f>
        <v>11</v>
      </c>
      <c r="AM16" s="2968"/>
      <c r="AN16" s="2968"/>
      <c r="AO16" s="2968"/>
      <c r="AP16" s="2968"/>
      <c r="AQ16" s="2968"/>
      <c r="AR16" s="2968"/>
      <c r="AS16" s="2968"/>
      <c r="AT16" s="2969"/>
      <c r="AU16" s="2970"/>
      <c r="AV16" s="17">
        <f t="shared" si="10"/>
        <v>0</v>
      </c>
      <c r="AW16" s="17">
        <f t="shared" si="10"/>
        <v>0</v>
      </c>
      <c r="AX16" s="17" t="str">
        <f t="shared" si="10"/>
        <v>一期门房</v>
      </c>
      <c r="AY16" s="994">
        <f t="shared" si="11"/>
        <v>6.61</v>
      </c>
      <c r="AZ16" s="25">
        <f t="shared" si="12"/>
        <v>11</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11</v>
      </c>
      <c r="BM16" s="25">
        <f t="shared" si="25"/>
        <v>0</v>
      </c>
      <c r="BN16" s="25">
        <f t="shared" si="26"/>
        <v>0</v>
      </c>
      <c r="BO16" s="25">
        <f t="shared" si="27"/>
        <v>0</v>
      </c>
      <c r="BP16" s="25">
        <f t="shared" si="28"/>
        <v>0</v>
      </c>
      <c r="BQ16" s="25">
        <f t="shared" si="29"/>
        <v>11</v>
      </c>
      <c r="BR16" s="25">
        <f t="shared" si="30"/>
        <v>0</v>
      </c>
      <c r="BS16" s="25">
        <f t="shared" si="31"/>
        <v>0</v>
      </c>
      <c r="BT16" s="34">
        <f t="shared" si="32"/>
        <v>0</v>
      </c>
    </row>
    <row r="17" spans="1:72" s="18" customFormat="1" ht="12.75">
      <c r="A17" s="2961"/>
      <c r="B17" s="2961"/>
      <c r="C17" s="2963" t="s">
        <v>3526</v>
      </c>
      <c r="D17" s="2962" t="s">
        <v>1675</v>
      </c>
      <c r="E17" s="25">
        <f t="shared" si="6"/>
        <v>24.61</v>
      </c>
      <c r="F17" s="79"/>
      <c r="G17" s="80">
        <f t="shared" si="7"/>
        <v>40.93</v>
      </c>
      <c r="H17" s="31">
        <f t="shared" si="8"/>
        <v>0</v>
      </c>
      <c r="I17" s="2964"/>
      <c r="J17" s="2964"/>
      <c r="K17" s="2964"/>
      <c r="L17" s="2964"/>
      <c r="M17" s="2964"/>
      <c r="N17" s="81"/>
      <c r="O17" s="81"/>
      <c r="P17" s="81"/>
      <c r="Q17" s="81"/>
      <c r="R17" s="81"/>
      <c r="S17" s="81"/>
      <c r="T17" s="81"/>
      <c r="U17" s="81"/>
      <c r="V17" s="81"/>
      <c r="W17" s="81"/>
      <c r="X17" s="81"/>
      <c r="Y17" s="81"/>
      <c r="Z17" s="81"/>
      <c r="AA17" s="81"/>
      <c r="AB17" s="81"/>
      <c r="AC17" s="25">
        <f t="shared" si="9"/>
        <v>40.93</v>
      </c>
      <c r="AD17" s="2968"/>
      <c r="AE17" s="2968"/>
      <c r="AF17" s="2968"/>
      <c r="AG17" s="2968"/>
      <c r="AH17" s="2968"/>
      <c r="AI17" s="2968"/>
      <c r="AJ17" s="2968"/>
      <c r="AK17" s="2968"/>
      <c r="AL17" s="2968">
        <f>面积表!F18</f>
        <v>40.93</v>
      </c>
      <c r="AM17" s="2968"/>
      <c r="AN17" s="2968"/>
      <c r="AO17" s="2968"/>
      <c r="AP17" s="2968"/>
      <c r="AQ17" s="2968"/>
      <c r="AR17" s="2968"/>
      <c r="AS17" s="2968"/>
      <c r="AT17" s="2969"/>
      <c r="AU17" s="2970"/>
      <c r="AV17" s="17">
        <f t="shared" si="10"/>
        <v>0</v>
      </c>
      <c r="AW17" s="17">
        <f t="shared" si="10"/>
        <v>0</v>
      </c>
      <c r="AX17" s="17" t="str">
        <f t="shared" si="10"/>
        <v>一期设备</v>
      </c>
      <c r="AY17" s="994">
        <f t="shared" si="11"/>
        <v>24.61</v>
      </c>
      <c r="AZ17" s="25">
        <f t="shared" si="12"/>
        <v>40.93</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40.93</v>
      </c>
      <c r="BM17" s="25">
        <f t="shared" si="25"/>
        <v>0</v>
      </c>
      <c r="BN17" s="25">
        <f t="shared" si="26"/>
        <v>0</v>
      </c>
      <c r="BO17" s="25">
        <f t="shared" si="27"/>
        <v>0</v>
      </c>
      <c r="BP17" s="25">
        <f t="shared" si="28"/>
        <v>0</v>
      </c>
      <c r="BQ17" s="25">
        <f t="shared" si="29"/>
        <v>40.93</v>
      </c>
      <c r="BR17" s="25">
        <f t="shared" si="30"/>
        <v>0</v>
      </c>
      <c r="BS17" s="25">
        <f t="shared" si="31"/>
        <v>0</v>
      </c>
      <c r="BT17" s="34">
        <f t="shared" si="32"/>
        <v>0</v>
      </c>
    </row>
    <row r="18" spans="1:72">
      <c r="A18" s="82"/>
      <c r="B18" s="83"/>
      <c r="C18" s="3186" t="s">
        <v>3527</v>
      </c>
      <c r="D18" s="2962" t="s">
        <v>1675</v>
      </c>
      <c r="E18" s="85">
        <f t="shared" si="6"/>
        <v>14611.8</v>
      </c>
      <c r="F18" s="86"/>
      <c r="G18" s="87">
        <f t="shared" si="7"/>
        <v>24305.74</v>
      </c>
      <c r="H18" s="88">
        <f t="shared" si="8"/>
        <v>24305.74</v>
      </c>
      <c r="I18" s="1387">
        <f>面积表!G9</f>
        <v>24305.74</v>
      </c>
      <c r="J18" s="89"/>
      <c r="K18" s="1387"/>
      <c r="L18" s="89"/>
      <c r="M18" s="89"/>
      <c r="N18" s="89"/>
      <c r="O18" s="89"/>
      <c r="P18" s="89"/>
      <c r="Q18" s="89"/>
      <c r="R18" s="89"/>
      <c r="S18" s="89"/>
      <c r="T18" s="89"/>
      <c r="U18" s="89"/>
      <c r="V18" s="89"/>
      <c r="W18" s="89"/>
      <c r="X18" s="89"/>
      <c r="Y18" s="89"/>
      <c r="Z18" s="89"/>
      <c r="AA18" s="89"/>
      <c r="AB18" s="89"/>
      <c r="AC18" s="85">
        <f t="shared" si="9"/>
        <v>0</v>
      </c>
      <c r="AD18" s="90"/>
      <c r="AE18" s="90"/>
      <c r="AF18" s="1387"/>
      <c r="AG18" s="90"/>
      <c r="AH18" s="90"/>
      <c r="AI18" s="90"/>
      <c r="AJ18" s="90"/>
      <c r="AK18" s="90"/>
      <c r="AL18" s="1358"/>
      <c r="AM18" s="90"/>
      <c r="AN18" s="1387"/>
      <c r="AO18" s="90"/>
      <c r="AP18" s="90"/>
      <c r="AQ18" s="90"/>
      <c r="AR18" s="90"/>
      <c r="AS18" s="90"/>
      <c r="AT18" s="91"/>
      <c r="AU18" s="92"/>
      <c r="AV18" s="990">
        <f t="shared" si="10"/>
        <v>0</v>
      </c>
      <c r="AW18" s="990">
        <f t="shared" si="10"/>
        <v>0</v>
      </c>
      <c r="AX18" s="990" t="str">
        <f t="shared" si="10"/>
        <v>剩余洋房</v>
      </c>
      <c r="AY18" s="93">
        <f t="shared" si="11"/>
        <v>14611.8</v>
      </c>
      <c r="AZ18" s="85">
        <f t="shared" si="12"/>
        <v>24305.74</v>
      </c>
      <c r="BA18" s="85">
        <f t="shared" si="13"/>
        <v>24305.74</v>
      </c>
      <c r="BB18" s="85">
        <f t="shared" si="14"/>
        <v>24305.74</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1"/>
      <c r="C19" s="1387" t="s">
        <v>3528</v>
      </c>
      <c r="D19" s="2962" t="s">
        <v>1675</v>
      </c>
      <c r="E19" s="85">
        <f t="shared" si="6"/>
        <v>28.87</v>
      </c>
      <c r="F19" s="86"/>
      <c r="G19" s="87">
        <f t="shared" si="7"/>
        <v>48.03</v>
      </c>
      <c r="H19" s="88">
        <f t="shared" si="8"/>
        <v>48.03</v>
      </c>
      <c r="I19" s="1387"/>
      <c r="J19" s="89"/>
      <c r="K19" s="1387"/>
      <c r="L19" s="89"/>
      <c r="M19" s="89">
        <f>面积表!G11</f>
        <v>48.03</v>
      </c>
      <c r="N19" s="89"/>
      <c r="O19" s="89"/>
      <c r="P19" s="89"/>
      <c r="Q19" s="89"/>
      <c r="R19" s="89"/>
      <c r="S19" s="89"/>
      <c r="T19" s="89"/>
      <c r="U19" s="89"/>
      <c r="V19" s="89"/>
      <c r="W19" s="89"/>
      <c r="X19" s="89"/>
      <c r="Y19" s="89"/>
      <c r="Z19" s="89"/>
      <c r="AA19" s="89"/>
      <c r="AB19" s="89"/>
      <c r="AC19" s="85">
        <f t="shared" si="9"/>
        <v>0</v>
      </c>
      <c r="AD19" s="90"/>
      <c r="AE19" s="90"/>
      <c r="AF19" s="1387"/>
      <c r="AG19" s="90"/>
      <c r="AH19" s="90"/>
      <c r="AI19" s="90"/>
      <c r="AJ19" s="90"/>
      <c r="AK19" s="90"/>
      <c r="AL19" s="90"/>
      <c r="AM19" s="90"/>
      <c r="AN19" s="1387"/>
      <c r="AO19" s="90"/>
      <c r="AP19" s="90"/>
      <c r="AQ19" s="90"/>
      <c r="AR19" s="90"/>
      <c r="AS19" s="90"/>
      <c r="AT19" s="91"/>
      <c r="AU19" s="92"/>
      <c r="AV19" s="990">
        <f t="shared" si="10"/>
        <v>0</v>
      </c>
      <c r="AW19" s="990">
        <f t="shared" si="10"/>
        <v>0</v>
      </c>
      <c r="AX19" s="990" t="str">
        <f t="shared" si="10"/>
        <v>剩余商业</v>
      </c>
      <c r="AY19" s="93">
        <f t="shared" si="11"/>
        <v>28.87</v>
      </c>
      <c r="AZ19" s="85">
        <f t="shared" si="12"/>
        <v>48.03</v>
      </c>
      <c r="BA19" s="85">
        <f t="shared" si="13"/>
        <v>48.03</v>
      </c>
      <c r="BB19" s="85">
        <f t="shared" si="14"/>
        <v>0</v>
      </c>
      <c r="BC19" s="85">
        <f t="shared" si="15"/>
        <v>0</v>
      </c>
      <c r="BD19" s="85">
        <f t="shared" si="16"/>
        <v>48.03</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ht="28.5">
      <c r="A20" s="82"/>
      <c r="B20" s="1391"/>
      <c r="C20" s="1387" t="s">
        <v>3529</v>
      </c>
      <c r="D20" s="2962" t="s">
        <v>1675</v>
      </c>
      <c r="E20" s="85">
        <f t="shared" si="6"/>
        <v>26.45</v>
      </c>
      <c r="F20" s="86"/>
      <c r="G20" s="87">
        <f t="shared" si="7"/>
        <v>43.99</v>
      </c>
      <c r="H20" s="88">
        <f t="shared" si="8"/>
        <v>0</v>
      </c>
      <c r="I20" s="1387"/>
      <c r="J20" s="89"/>
      <c r="K20" s="1387"/>
      <c r="L20" s="89"/>
      <c r="M20" s="89"/>
      <c r="N20" s="89"/>
      <c r="O20" s="89"/>
      <c r="P20" s="89"/>
      <c r="Q20" s="89"/>
      <c r="R20" s="89"/>
      <c r="S20" s="89"/>
      <c r="T20" s="89"/>
      <c r="U20" s="89"/>
      <c r="V20" s="89"/>
      <c r="W20" s="89"/>
      <c r="X20" s="89"/>
      <c r="Y20" s="89"/>
      <c r="Z20" s="89"/>
      <c r="AA20" s="89"/>
      <c r="AB20" s="89"/>
      <c r="AC20" s="85">
        <f t="shared" si="9"/>
        <v>43.99</v>
      </c>
      <c r="AD20" s="95"/>
      <c r="AE20" s="90"/>
      <c r="AF20" s="1387"/>
      <c r="AG20" s="90"/>
      <c r="AH20" s="90"/>
      <c r="AI20" s="90"/>
      <c r="AJ20" s="90"/>
      <c r="AK20" s="90"/>
      <c r="AL20" s="90">
        <f>面积表!G12</f>
        <v>43.99</v>
      </c>
      <c r="AM20" s="90"/>
      <c r="AN20" s="1387"/>
      <c r="AO20" s="90"/>
      <c r="AP20" s="90"/>
      <c r="AQ20" s="90"/>
      <c r="AR20" s="90"/>
      <c r="AS20" s="90"/>
      <c r="AT20" s="91"/>
      <c r="AU20" s="92"/>
      <c r="AV20" s="990">
        <f t="shared" si="10"/>
        <v>0</v>
      </c>
      <c r="AW20" s="990">
        <f t="shared" si="10"/>
        <v>0</v>
      </c>
      <c r="AX20" s="990" t="str">
        <f t="shared" si="10"/>
        <v>消防监控室</v>
      </c>
      <c r="AY20" s="93">
        <f t="shared" si="11"/>
        <v>26.45</v>
      </c>
      <c r="AZ20" s="85">
        <f t="shared" si="12"/>
        <v>43.99</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43.99</v>
      </c>
      <c r="BM20" s="85">
        <f t="shared" si="25"/>
        <v>0</v>
      </c>
      <c r="BN20" s="85">
        <f t="shared" si="26"/>
        <v>0</v>
      </c>
      <c r="BO20" s="85">
        <f t="shared" si="27"/>
        <v>0</v>
      </c>
      <c r="BP20" s="85">
        <f t="shared" si="28"/>
        <v>0</v>
      </c>
      <c r="BQ20" s="85">
        <f t="shared" si="29"/>
        <v>43.99</v>
      </c>
      <c r="BR20" s="85">
        <f t="shared" si="30"/>
        <v>0</v>
      </c>
      <c r="BS20" s="85">
        <f t="shared" si="31"/>
        <v>0</v>
      </c>
      <c r="BT20" s="94">
        <f t="shared" si="32"/>
        <v>0</v>
      </c>
    </row>
    <row r="21" spans="1:72">
      <c r="A21" s="82"/>
      <c r="B21" s="1386"/>
      <c r="C21" s="1387" t="s">
        <v>3530</v>
      </c>
      <c r="D21" s="2962" t="s">
        <v>1675</v>
      </c>
      <c r="E21" s="85">
        <f t="shared" ref="E21:E112" si="33">IF($C$3="是",ROUND($A$3*G21/$B$3,2),ROUND($A$3*(G21-AT21)/$B$3,2))</f>
        <v>61.61</v>
      </c>
      <c r="F21" s="86"/>
      <c r="G21" s="87">
        <f t="shared" ref="G21:G109" si="34">H21+AC21+AT21</f>
        <v>102.48</v>
      </c>
      <c r="H21" s="88">
        <f t="shared" ref="H21:H109" si="35">SUMIF(I$12:AB$12,"总值",I21:AB21)</f>
        <v>0</v>
      </c>
      <c r="I21" s="1389"/>
      <c r="J21" s="89"/>
      <c r="K21" s="1389"/>
      <c r="L21" s="89"/>
      <c r="M21" s="89"/>
      <c r="N21" s="89"/>
      <c r="O21" s="89"/>
      <c r="P21" s="89"/>
      <c r="Q21" s="89"/>
      <c r="R21" s="89"/>
      <c r="S21" s="89"/>
      <c r="T21" s="89"/>
      <c r="U21" s="89"/>
      <c r="V21" s="89"/>
      <c r="W21" s="89"/>
      <c r="X21" s="89"/>
      <c r="Y21" s="89"/>
      <c r="Z21" s="89"/>
      <c r="AA21" s="89"/>
      <c r="AB21" s="89"/>
      <c r="AC21" s="85">
        <f t="shared" ref="AC21:AC109" si="36">SUMIF(AD$12:AS$12,"总值",AD21:AS21)</f>
        <v>102.48</v>
      </c>
      <c r="AD21" s="90"/>
      <c r="AE21" s="90"/>
      <c r="AF21" s="1390"/>
      <c r="AG21" s="90"/>
      <c r="AH21" s="90">
        <f>面积表!G13</f>
        <v>102.48</v>
      </c>
      <c r="AI21" s="90"/>
      <c r="AJ21" s="90"/>
      <c r="AK21" s="90"/>
      <c r="AL21" s="90"/>
      <c r="AM21" s="90"/>
      <c r="AN21" s="1358"/>
      <c r="AO21" s="90"/>
      <c r="AP21" s="90"/>
      <c r="AQ21" s="90"/>
      <c r="AR21" s="90"/>
      <c r="AS21" s="90"/>
      <c r="AT21" s="91"/>
      <c r="AU21" s="92"/>
      <c r="AV21" s="1959">
        <f t="shared" ref="AV21:AV112" si="37">A21</f>
        <v>0</v>
      </c>
      <c r="AW21" s="1959">
        <f t="shared" ref="AW21:AW112" si="38">B21</f>
        <v>0</v>
      </c>
      <c r="AX21" s="1959" t="str">
        <f t="shared" ref="AX21:AX112" si="39">C21</f>
        <v>物业管理</v>
      </c>
      <c r="AY21" s="93">
        <f t="shared" ref="AY21:AY109" si="40">ROUND($AY$6*AZ21/$AZ$5,2)</f>
        <v>61.61</v>
      </c>
      <c r="AZ21" s="85">
        <f t="shared" ref="AZ21:AZ109" si="41">BA21+BL21</f>
        <v>102.48</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102.48</v>
      </c>
      <c r="BM21" s="85">
        <f t="shared" ref="BM21:BM109" si="54">IF($D21="是",AD21-AE21,0)</f>
        <v>0</v>
      </c>
      <c r="BN21" s="85">
        <f t="shared" ref="BN21:BN109" si="55">IF($D21="是",AF21-AG21,0)</f>
        <v>0</v>
      </c>
      <c r="BO21" s="85">
        <f t="shared" ref="BO21:BO109" si="56">IF($D21="是",AH21-AI21,0)</f>
        <v>102.48</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6"/>
      <c r="C22" s="1387" t="s">
        <v>3531</v>
      </c>
      <c r="D22" s="2962" t="s">
        <v>1675</v>
      </c>
      <c r="E22" s="85">
        <f t="shared" si="33"/>
        <v>652.17999999999995</v>
      </c>
      <c r="F22" s="86"/>
      <c r="G22" s="87">
        <f t="shared" si="34"/>
        <v>1084.8599999999999</v>
      </c>
      <c r="H22" s="88">
        <f t="shared" si="35"/>
        <v>0</v>
      </c>
      <c r="I22" s="1389"/>
      <c r="J22" s="89"/>
      <c r="K22" s="1389"/>
      <c r="L22" s="89"/>
      <c r="M22" s="1358"/>
      <c r="N22" s="89"/>
      <c r="O22" s="89"/>
      <c r="P22" s="89"/>
      <c r="Q22" s="89"/>
      <c r="R22" s="89"/>
      <c r="S22" s="89"/>
      <c r="T22" s="89"/>
      <c r="U22" s="89"/>
      <c r="V22" s="89"/>
      <c r="W22" s="89"/>
      <c r="X22" s="89"/>
      <c r="Y22" s="89"/>
      <c r="Z22" s="89"/>
      <c r="AA22" s="89"/>
      <c r="AB22" s="89"/>
      <c r="AC22" s="85">
        <f t="shared" si="36"/>
        <v>1084.8599999999999</v>
      </c>
      <c r="AD22" s="1358"/>
      <c r="AE22" s="90"/>
      <c r="AF22" s="1390"/>
      <c r="AG22" s="90"/>
      <c r="AH22" s="90"/>
      <c r="AI22" s="90"/>
      <c r="AJ22" s="90"/>
      <c r="AK22" s="90"/>
      <c r="AL22" s="1358">
        <f>面积表!G17</f>
        <v>1084.8599999999999</v>
      </c>
      <c r="AM22" s="90"/>
      <c r="AN22" s="1358"/>
      <c r="AO22" s="90"/>
      <c r="AP22" s="90"/>
      <c r="AQ22" s="90"/>
      <c r="AR22" s="90"/>
      <c r="AS22" s="90"/>
      <c r="AT22" s="91"/>
      <c r="AU22" s="92"/>
      <c r="AV22" s="1959">
        <f t="shared" si="37"/>
        <v>0</v>
      </c>
      <c r="AW22" s="1959">
        <f t="shared" si="38"/>
        <v>0</v>
      </c>
      <c r="AX22" s="1959" t="str">
        <f t="shared" si="39"/>
        <v>架空层</v>
      </c>
      <c r="AY22" s="93">
        <f t="shared" si="40"/>
        <v>652.17999999999995</v>
      </c>
      <c r="AZ22" s="85">
        <f t="shared" si="41"/>
        <v>1084.8599999999999</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1084.8599999999999</v>
      </c>
      <c r="BM22" s="85">
        <f t="shared" si="54"/>
        <v>0</v>
      </c>
      <c r="BN22" s="85">
        <f t="shared" si="55"/>
        <v>0</v>
      </c>
      <c r="BO22" s="85">
        <f t="shared" si="56"/>
        <v>0</v>
      </c>
      <c r="BP22" s="85">
        <f t="shared" si="57"/>
        <v>0</v>
      </c>
      <c r="BQ22" s="85">
        <f t="shared" si="58"/>
        <v>1084.8599999999999</v>
      </c>
      <c r="BR22" s="85">
        <f t="shared" si="59"/>
        <v>0</v>
      </c>
      <c r="BS22" s="85">
        <f t="shared" si="60"/>
        <v>0</v>
      </c>
      <c r="BT22" s="94">
        <f t="shared" si="61"/>
        <v>0</v>
      </c>
    </row>
    <row r="23" spans="1:72">
      <c r="A23" s="82"/>
      <c r="B23" s="1386"/>
      <c r="C23" s="1387" t="s">
        <v>3532</v>
      </c>
      <c r="D23" s="2962" t="s">
        <v>1675</v>
      </c>
      <c r="E23" s="85">
        <f t="shared" si="33"/>
        <v>184.5</v>
      </c>
      <c r="F23" s="86"/>
      <c r="G23" s="87">
        <f t="shared" si="34"/>
        <v>306.89999999999998</v>
      </c>
      <c r="H23" s="88">
        <f t="shared" si="35"/>
        <v>0</v>
      </c>
      <c r="I23" s="1389"/>
      <c r="J23" s="89"/>
      <c r="K23" s="1389"/>
      <c r="L23" s="89"/>
      <c r="M23" s="1358"/>
      <c r="N23" s="89"/>
      <c r="O23" s="89"/>
      <c r="P23" s="89"/>
      <c r="Q23" s="89"/>
      <c r="R23" s="89"/>
      <c r="S23" s="89"/>
      <c r="T23" s="89"/>
      <c r="U23" s="89"/>
      <c r="V23" s="89"/>
      <c r="W23" s="89"/>
      <c r="X23" s="89"/>
      <c r="Y23" s="89"/>
      <c r="Z23" s="89"/>
      <c r="AA23" s="89"/>
      <c r="AB23" s="89"/>
      <c r="AC23" s="85">
        <f t="shared" si="36"/>
        <v>306.89999999999998</v>
      </c>
      <c r="AD23" s="90"/>
      <c r="AE23" s="90"/>
      <c r="AF23" s="1390"/>
      <c r="AG23" s="90"/>
      <c r="AH23" s="90"/>
      <c r="AI23" s="90"/>
      <c r="AJ23" s="90"/>
      <c r="AK23" s="90"/>
      <c r="AL23" s="1358">
        <f>面积表!G18</f>
        <v>306.89999999999998</v>
      </c>
      <c r="AM23" s="90"/>
      <c r="AN23" s="1358"/>
      <c r="AO23" s="90"/>
      <c r="AP23" s="90"/>
      <c r="AQ23" s="90"/>
      <c r="AR23" s="90"/>
      <c r="AS23" s="90"/>
      <c r="AT23" s="91"/>
      <c r="AU23" s="92"/>
      <c r="AV23" s="1959">
        <f t="shared" si="37"/>
        <v>0</v>
      </c>
      <c r="AW23" s="1959">
        <f t="shared" si="38"/>
        <v>0</v>
      </c>
      <c r="AX23" s="1959" t="str">
        <f t="shared" si="39"/>
        <v>剩余设备</v>
      </c>
      <c r="AY23" s="93">
        <f t="shared" si="40"/>
        <v>184.5</v>
      </c>
      <c r="AZ23" s="85">
        <f t="shared" si="41"/>
        <v>306.89999999999998</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306.89999999999998</v>
      </c>
      <c r="BM23" s="85">
        <f t="shared" si="54"/>
        <v>0</v>
      </c>
      <c r="BN23" s="85">
        <f t="shared" si="55"/>
        <v>0</v>
      </c>
      <c r="BO23" s="85">
        <f t="shared" si="56"/>
        <v>0</v>
      </c>
      <c r="BP23" s="85">
        <f t="shared" si="57"/>
        <v>0</v>
      </c>
      <c r="BQ23" s="85">
        <f t="shared" si="58"/>
        <v>306.89999999999998</v>
      </c>
      <c r="BR23" s="85">
        <f t="shared" si="59"/>
        <v>0</v>
      </c>
      <c r="BS23" s="85">
        <f t="shared" si="60"/>
        <v>0</v>
      </c>
      <c r="BT23" s="94">
        <f t="shared" si="61"/>
        <v>0</v>
      </c>
    </row>
    <row r="24" spans="1:72">
      <c r="A24" s="82"/>
      <c r="B24" s="1386"/>
      <c r="C24" s="1387" t="s">
        <v>3533</v>
      </c>
      <c r="D24" s="2962" t="s">
        <v>1675</v>
      </c>
      <c r="E24" s="85">
        <f t="shared" si="33"/>
        <v>6827.98</v>
      </c>
      <c r="F24" s="86"/>
      <c r="G24" s="87">
        <f t="shared" si="34"/>
        <v>12876.98</v>
      </c>
      <c r="H24" s="88">
        <f t="shared" si="35"/>
        <v>11357.88</v>
      </c>
      <c r="I24" s="1389"/>
      <c r="J24" s="89"/>
      <c r="K24" s="1389"/>
      <c r="L24" s="89"/>
      <c r="M24" s="89"/>
      <c r="N24" s="89"/>
      <c r="O24" s="1358">
        <f>面积表!G19</f>
        <v>11357.88</v>
      </c>
      <c r="P24" s="89"/>
      <c r="Q24" s="89"/>
      <c r="R24" s="89"/>
      <c r="S24" s="89"/>
      <c r="T24" s="89"/>
      <c r="U24" s="89"/>
      <c r="V24" s="89"/>
      <c r="W24" s="89"/>
      <c r="X24" s="89"/>
      <c r="Y24" s="89"/>
      <c r="Z24" s="89"/>
      <c r="AA24" s="89"/>
      <c r="AB24" s="89"/>
      <c r="AC24" s="85">
        <f t="shared" si="36"/>
        <v>0</v>
      </c>
      <c r="AD24" s="90"/>
      <c r="AE24" s="90"/>
      <c r="AF24" s="1390"/>
      <c r="AG24" s="90"/>
      <c r="AH24" s="90"/>
      <c r="AI24" s="90"/>
      <c r="AJ24" s="90"/>
      <c r="AK24" s="90"/>
      <c r="AL24" s="90"/>
      <c r="AM24" s="90"/>
      <c r="AN24" s="1358"/>
      <c r="AO24" s="90"/>
      <c r="AP24" s="90"/>
      <c r="AQ24" s="90"/>
      <c r="AR24" s="90"/>
      <c r="AS24" s="90"/>
      <c r="AT24" s="91">
        <f>面积表!G20</f>
        <v>1519.1</v>
      </c>
      <c r="AU24" s="92"/>
      <c r="AV24" s="1959">
        <f t="shared" si="37"/>
        <v>0</v>
      </c>
      <c r="AW24" s="1959">
        <f t="shared" si="38"/>
        <v>0</v>
      </c>
      <c r="AX24" s="1959" t="str">
        <f t="shared" si="39"/>
        <v>地下车库</v>
      </c>
      <c r="AY24" s="93">
        <f t="shared" si="40"/>
        <v>6827.98</v>
      </c>
      <c r="AZ24" s="85">
        <f t="shared" si="41"/>
        <v>11357.88</v>
      </c>
      <c r="BA24" s="85">
        <f t="shared" si="42"/>
        <v>11357.88</v>
      </c>
      <c r="BB24" s="85">
        <f t="shared" si="43"/>
        <v>0</v>
      </c>
      <c r="BC24" s="85">
        <f t="shared" si="44"/>
        <v>0</v>
      </c>
      <c r="BD24" s="85">
        <f t="shared" si="45"/>
        <v>0</v>
      </c>
      <c r="BE24" s="85">
        <f t="shared" si="46"/>
        <v>11357.88</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6"/>
      <c r="C25" s="1387"/>
      <c r="D25" s="78"/>
      <c r="E25" s="85">
        <f t="shared" si="33"/>
        <v>0</v>
      </c>
      <c r="F25" s="86"/>
      <c r="G25" s="87">
        <f t="shared" si="34"/>
        <v>0</v>
      </c>
      <c r="H25" s="88">
        <f t="shared" si="35"/>
        <v>0</v>
      </c>
      <c r="I25" s="1389"/>
      <c r="J25" s="89"/>
      <c r="K25" s="1389"/>
      <c r="L25" s="89"/>
      <c r="M25" s="89"/>
      <c r="N25" s="89"/>
      <c r="O25" s="89"/>
      <c r="P25" s="89"/>
      <c r="Q25" s="89"/>
      <c r="R25" s="89"/>
      <c r="S25" s="89"/>
      <c r="T25" s="89"/>
      <c r="U25" s="89"/>
      <c r="V25" s="89"/>
      <c r="W25" s="89"/>
      <c r="X25" s="89"/>
      <c r="Y25" s="89"/>
      <c r="Z25" s="89"/>
      <c r="AA25" s="89"/>
      <c r="AB25" s="89"/>
      <c r="AC25" s="85">
        <f t="shared" si="36"/>
        <v>0</v>
      </c>
      <c r="AD25" s="90"/>
      <c r="AE25" s="90"/>
      <c r="AF25" s="1390"/>
      <c r="AG25" s="90"/>
      <c r="AH25" s="90"/>
      <c r="AI25" s="90"/>
      <c r="AJ25" s="90"/>
      <c r="AK25" s="90"/>
      <c r="AL25" s="90"/>
      <c r="AM25" s="90"/>
      <c r="AN25" s="90"/>
      <c r="AO25" s="90"/>
      <c r="AP25" s="90"/>
      <c r="AQ25" s="90"/>
      <c r="AR25" s="90"/>
      <c r="AS25" s="90"/>
      <c r="AT25" s="91"/>
      <c r="AU25" s="92"/>
      <c r="AV25" s="1959">
        <f t="shared" si="37"/>
        <v>0</v>
      </c>
      <c r="AW25" s="1959">
        <f t="shared" si="38"/>
        <v>0</v>
      </c>
      <c r="AX25" s="1959">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6"/>
      <c r="C26" s="1387"/>
      <c r="D26" s="78"/>
      <c r="E26" s="85">
        <f t="shared" si="33"/>
        <v>0</v>
      </c>
      <c r="F26" s="86"/>
      <c r="G26" s="87">
        <f t="shared" si="34"/>
        <v>0</v>
      </c>
      <c r="H26" s="88">
        <f t="shared" si="35"/>
        <v>0</v>
      </c>
      <c r="I26" s="1389"/>
      <c r="J26" s="89"/>
      <c r="K26" s="1389"/>
      <c r="L26" s="89"/>
      <c r="M26" s="89"/>
      <c r="N26" s="89"/>
      <c r="O26" s="89"/>
      <c r="P26" s="89"/>
      <c r="Q26" s="89"/>
      <c r="R26" s="89"/>
      <c r="S26" s="89"/>
      <c r="T26" s="89"/>
      <c r="U26" s="89"/>
      <c r="V26" s="89"/>
      <c r="W26" s="89"/>
      <c r="X26" s="89"/>
      <c r="Y26" s="89"/>
      <c r="Z26" s="89"/>
      <c r="AA26" s="89"/>
      <c r="AB26" s="89"/>
      <c r="AC26" s="85">
        <f t="shared" si="36"/>
        <v>0</v>
      </c>
      <c r="AD26" s="90"/>
      <c r="AE26" s="90"/>
      <c r="AF26" s="1390"/>
      <c r="AG26" s="90"/>
      <c r="AH26" s="90"/>
      <c r="AI26" s="90"/>
      <c r="AJ26" s="90"/>
      <c r="AK26" s="90"/>
      <c r="AL26" s="90"/>
      <c r="AM26" s="90"/>
      <c r="AN26" s="90"/>
      <c r="AO26" s="90"/>
      <c r="AP26" s="90"/>
      <c r="AQ26" s="90"/>
      <c r="AR26" s="90"/>
      <c r="AS26" s="90"/>
      <c r="AT26" s="91"/>
      <c r="AU26" s="92"/>
      <c r="AV26" s="1959">
        <f t="shared" si="37"/>
        <v>0</v>
      </c>
      <c r="AW26" s="1959">
        <f t="shared" si="38"/>
        <v>0</v>
      </c>
      <c r="AX26" s="1959">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6"/>
      <c r="C27" s="1387"/>
      <c r="D27" s="78"/>
      <c r="E27" s="85">
        <f t="shared" si="33"/>
        <v>0</v>
      </c>
      <c r="F27" s="86"/>
      <c r="G27" s="87">
        <f t="shared" si="34"/>
        <v>0</v>
      </c>
      <c r="H27" s="88">
        <f t="shared" si="35"/>
        <v>0</v>
      </c>
      <c r="I27" s="1389"/>
      <c r="J27" s="89"/>
      <c r="K27" s="1389"/>
      <c r="L27" s="89"/>
      <c r="M27" s="89"/>
      <c r="N27" s="89"/>
      <c r="O27" s="89"/>
      <c r="P27" s="89"/>
      <c r="Q27" s="89"/>
      <c r="R27" s="89"/>
      <c r="S27" s="89"/>
      <c r="T27" s="89"/>
      <c r="U27" s="89"/>
      <c r="V27" s="89"/>
      <c r="W27" s="89"/>
      <c r="X27" s="89"/>
      <c r="Y27" s="89"/>
      <c r="Z27" s="89"/>
      <c r="AA27" s="89"/>
      <c r="AB27" s="89"/>
      <c r="AC27" s="85">
        <f t="shared" si="36"/>
        <v>0</v>
      </c>
      <c r="AD27" s="90"/>
      <c r="AE27" s="90"/>
      <c r="AF27" s="1390"/>
      <c r="AG27" s="90"/>
      <c r="AH27" s="90"/>
      <c r="AI27" s="90"/>
      <c r="AJ27" s="90"/>
      <c r="AK27" s="90"/>
      <c r="AL27" s="90"/>
      <c r="AM27" s="90"/>
      <c r="AN27" s="90"/>
      <c r="AO27" s="90"/>
      <c r="AP27" s="90"/>
      <c r="AQ27" s="90"/>
      <c r="AR27" s="90"/>
      <c r="AS27" s="90"/>
      <c r="AT27" s="91"/>
      <c r="AU27" s="92"/>
      <c r="AV27" s="1959">
        <f t="shared" si="37"/>
        <v>0</v>
      </c>
      <c r="AW27" s="1959">
        <f t="shared" si="38"/>
        <v>0</v>
      </c>
      <c r="AX27" s="1959">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6"/>
      <c r="C28" s="1387"/>
      <c r="D28" s="78"/>
      <c r="E28" s="85">
        <f t="shared" si="33"/>
        <v>0</v>
      </c>
      <c r="F28" s="86"/>
      <c r="G28" s="87">
        <f t="shared" si="34"/>
        <v>0</v>
      </c>
      <c r="H28" s="88">
        <f t="shared" si="35"/>
        <v>0</v>
      </c>
      <c r="I28" s="1389"/>
      <c r="J28" s="89"/>
      <c r="K28" s="1389"/>
      <c r="L28" s="89"/>
      <c r="M28" s="89"/>
      <c r="N28" s="89"/>
      <c r="O28" s="89"/>
      <c r="P28" s="89"/>
      <c r="Q28" s="89"/>
      <c r="R28" s="89"/>
      <c r="S28" s="89"/>
      <c r="T28" s="89"/>
      <c r="U28" s="89"/>
      <c r="V28" s="89"/>
      <c r="W28" s="89"/>
      <c r="X28" s="89"/>
      <c r="Y28" s="89"/>
      <c r="Z28" s="89"/>
      <c r="AA28" s="89"/>
      <c r="AB28" s="89"/>
      <c r="AC28" s="85">
        <f t="shared" si="36"/>
        <v>0</v>
      </c>
      <c r="AD28" s="90"/>
      <c r="AE28" s="90"/>
      <c r="AF28" s="1389"/>
      <c r="AG28" s="90"/>
      <c r="AH28" s="90"/>
      <c r="AI28" s="90"/>
      <c r="AJ28" s="90"/>
      <c r="AK28" s="90"/>
      <c r="AL28" s="90"/>
      <c r="AM28" s="90"/>
      <c r="AN28" s="90"/>
      <c r="AO28" s="90"/>
      <c r="AP28" s="90"/>
      <c r="AQ28" s="90"/>
      <c r="AR28" s="90"/>
      <c r="AS28" s="90"/>
      <c r="AT28" s="91"/>
      <c r="AU28" s="92"/>
      <c r="AV28" s="1959">
        <f t="shared" si="37"/>
        <v>0</v>
      </c>
      <c r="AW28" s="1959">
        <f t="shared" si="38"/>
        <v>0</v>
      </c>
      <c r="AX28" s="1959">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88"/>
      <c r="C29" s="1389"/>
      <c r="D29" s="78"/>
      <c r="E29" s="85">
        <f t="shared" si="33"/>
        <v>0</v>
      </c>
      <c r="F29" s="86"/>
      <c r="G29" s="87">
        <f t="shared" si="34"/>
        <v>0</v>
      </c>
      <c r="H29" s="88">
        <f t="shared" si="35"/>
        <v>0</v>
      </c>
      <c r="I29" s="1389"/>
      <c r="J29" s="89"/>
      <c r="K29" s="1389"/>
      <c r="L29" s="89"/>
      <c r="M29" s="89"/>
      <c r="N29" s="89"/>
      <c r="O29" s="89"/>
      <c r="P29" s="89"/>
      <c r="Q29" s="89"/>
      <c r="R29" s="89"/>
      <c r="S29" s="89"/>
      <c r="T29" s="89"/>
      <c r="U29" s="89"/>
      <c r="V29" s="89"/>
      <c r="W29" s="89"/>
      <c r="X29" s="89"/>
      <c r="Y29" s="89"/>
      <c r="Z29" s="89"/>
      <c r="AA29" s="89"/>
      <c r="AB29" s="89"/>
      <c r="AC29" s="85">
        <f t="shared" si="36"/>
        <v>0</v>
      </c>
      <c r="AD29" s="90"/>
      <c r="AE29" s="90"/>
      <c r="AF29" s="1389"/>
      <c r="AG29" s="90"/>
      <c r="AH29" s="90"/>
      <c r="AI29" s="90"/>
      <c r="AJ29" s="90"/>
      <c r="AK29" s="90"/>
      <c r="AL29" s="90"/>
      <c r="AM29" s="90"/>
      <c r="AN29" s="90"/>
      <c r="AO29" s="90"/>
      <c r="AP29" s="90"/>
      <c r="AQ29" s="90"/>
      <c r="AR29" s="90"/>
      <c r="AS29" s="90"/>
      <c r="AT29" s="91"/>
      <c r="AU29" s="92"/>
      <c r="AV29" s="1959">
        <f t="shared" si="37"/>
        <v>0</v>
      </c>
      <c r="AW29" s="1959">
        <f t="shared" si="38"/>
        <v>0</v>
      </c>
      <c r="AX29" s="1959">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6"/>
      <c r="C30" s="1387"/>
      <c r="D30" s="78"/>
      <c r="E30" s="85">
        <f t="shared" si="33"/>
        <v>0</v>
      </c>
      <c r="F30" s="86"/>
      <c r="G30" s="87">
        <f t="shared" si="34"/>
        <v>0</v>
      </c>
      <c r="H30" s="88">
        <f t="shared" si="35"/>
        <v>0</v>
      </c>
      <c r="I30" s="1389"/>
      <c r="J30" s="89"/>
      <c r="K30" s="1389"/>
      <c r="L30" s="89"/>
      <c r="M30" s="89"/>
      <c r="N30" s="89"/>
      <c r="O30" s="89"/>
      <c r="P30" s="89"/>
      <c r="Q30" s="89"/>
      <c r="R30" s="89"/>
      <c r="S30" s="89"/>
      <c r="T30" s="89"/>
      <c r="U30" s="89"/>
      <c r="V30" s="89"/>
      <c r="W30" s="89"/>
      <c r="X30" s="89"/>
      <c r="Y30" s="89"/>
      <c r="Z30" s="89"/>
      <c r="AA30" s="89"/>
      <c r="AB30" s="89"/>
      <c r="AC30" s="85">
        <f t="shared" si="36"/>
        <v>0</v>
      </c>
      <c r="AD30" s="90"/>
      <c r="AE30" s="90"/>
      <c r="AF30" s="1389"/>
      <c r="AG30" s="90"/>
      <c r="AH30" s="90"/>
      <c r="AI30" s="90"/>
      <c r="AJ30" s="90"/>
      <c r="AK30" s="90"/>
      <c r="AL30" s="90"/>
      <c r="AM30" s="90"/>
      <c r="AN30" s="90"/>
      <c r="AO30" s="90"/>
      <c r="AP30" s="90"/>
      <c r="AQ30" s="90"/>
      <c r="AR30" s="90"/>
      <c r="AS30" s="90"/>
      <c r="AT30" s="91"/>
      <c r="AU30" s="92"/>
      <c r="AV30" s="1959">
        <f t="shared" si="37"/>
        <v>0</v>
      </c>
      <c r="AW30" s="1959">
        <f t="shared" si="38"/>
        <v>0</v>
      </c>
      <c r="AX30" s="1959">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6"/>
      <c r="C31" s="1387"/>
      <c r="D31" s="78"/>
      <c r="E31" s="85">
        <f t="shared" si="33"/>
        <v>0</v>
      </c>
      <c r="F31" s="86"/>
      <c r="G31" s="87">
        <f t="shared" si="34"/>
        <v>0</v>
      </c>
      <c r="H31" s="88">
        <f t="shared" si="35"/>
        <v>0</v>
      </c>
      <c r="I31" s="1389"/>
      <c r="J31" s="89"/>
      <c r="K31" s="1389"/>
      <c r="L31" s="89"/>
      <c r="M31" s="89"/>
      <c r="N31" s="89"/>
      <c r="O31" s="89"/>
      <c r="P31" s="89"/>
      <c r="Q31" s="89"/>
      <c r="R31" s="89"/>
      <c r="S31" s="89"/>
      <c r="T31" s="89"/>
      <c r="U31" s="89"/>
      <c r="V31" s="89"/>
      <c r="W31" s="89"/>
      <c r="X31" s="89"/>
      <c r="Y31" s="89"/>
      <c r="Z31" s="89"/>
      <c r="AA31" s="89"/>
      <c r="AB31" s="89"/>
      <c r="AC31" s="85">
        <f t="shared" si="36"/>
        <v>0</v>
      </c>
      <c r="AD31" s="90"/>
      <c r="AE31" s="90"/>
      <c r="AF31" s="1389"/>
      <c r="AG31" s="90"/>
      <c r="AH31" s="90"/>
      <c r="AI31" s="90"/>
      <c r="AJ31" s="90"/>
      <c r="AK31" s="90"/>
      <c r="AL31" s="90"/>
      <c r="AM31" s="90"/>
      <c r="AN31" s="90"/>
      <c r="AO31" s="90"/>
      <c r="AP31" s="90"/>
      <c r="AQ31" s="90"/>
      <c r="AR31" s="90"/>
      <c r="AS31" s="90"/>
      <c r="AT31" s="91"/>
      <c r="AU31" s="92"/>
      <c r="AV31" s="1959">
        <f t="shared" si="37"/>
        <v>0</v>
      </c>
      <c r="AW31" s="1959">
        <f t="shared" si="38"/>
        <v>0</v>
      </c>
      <c r="AX31" s="1959">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6"/>
      <c r="C32" s="1387"/>
      <c r="D32" s="78"/>
      <c r="E32" s="85">
        <f t="shared" si="33"/>
        <v>0</v>
      </c>
      <c r="F32" s="86"/>
      <c r="G32" s="87">
        <f t="shared" si="34"/>
        <v>0</v>
      </c>
      <c r="H32" s="88">
        <f t="shared" si="35"/>
        <v>0</v>
      </c>
      <c r="I32" s="1389"/>
      <c r="J32" s="89"/>
      <c r="K32" s="1389"/>
      <c r="L32" s="89"/>
      <c r="M32" s="89"/>
      <c r="N32" s="89"/>
      <c r="O32" s="89"/>
      <c r="P32" s="89"/>
      <c r="Q32" s="89"/>
      <c r="R32" s="89"/>
      <c r="S32" s="89"/>
      <c r="T32" s="89"/>
      <c r="U32" s="89"/>
      <c r="V32" s="89"/>
      <c r="W32" s="89"/>
      <c r="X32" s="89"/>
      <c r="Y32" s="89"/>
      <c r="Z32" s="89"/>
      <c r="AA32" s="89"/>
      <c r="AB32" s="89"/>
      <c r="AC32" s="85">
        <f t="shared" si="36"/>
        <v>0</v>
      </c>
      <c r="AD32" s="90"/>
      <c r="AE32" s="90"/>
      <c r="AF32" s="1389"/>
      <c r="AG32" s="90"/>
      <c r="AH32" s="90"/>
      <c r="AI32" s="90"/>
      <c r="AJ32" s="90"/>
      <c r="AK32" s="90"/>
      <c r="AL32" s="90"/>
      <c r="AM32" s="90"/>
      <c r="AN32" s="90"/>
      <c r="AO32" s="90"/>
      <c r="AP32" s="90"/>
      <c r="AQ32" s="90"/>
      <c r="AR32" s="90"/>
      <c r="AS32" s="90"/>
      <c r="AT32" s="91"/>
      <c r="AU32" s="92"/>
      <c r="AV32" s="1959">
        <f t="shared" si="37"/>
        <v>0</v>
      </c>
      <c r="AW32" s="1959">
        <f t="shared" si="38"/>
        <v>0</v>
      </c>
      <c r="AX32" s="1959">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6"/>
      <c r="C33" s="1387"/>
      <c r="D33" s="78"/>
      <c r="E33" s="85">
        <f t="shared" si="33"/>
        <v>0</v>
      </c>
      <c r="F33" s="86"/>
      <c r="G33" s="87">
        <f t="shared" si="34"/>
        <v>0</v>
      </c>
      <c r="H33" s="88">
        <f t="shared" si="35"/>
        <v>0</v>
      </c>
      <c r="I33" s="1389"/>
      <c r="J33" s="89"/>
      <c r="K33" s="1389"/>
      <c r="L33" s="89"/>
      <c r="M33" s="89"/>
      <c r="N33" s="89"/>
      <c r="O33" s="89"/>
      <c r="P33" s="89"/>
      <c r="Q33" s="89"/>
      <c r="R33" s="89"/>
      <c r="S33" s="89"/>
      <c r="T33" s="89"/>
      <c r="U33" s="89"/>
      <c r="V33" s="89"/>
      <c r="W33" s="89"/>
      <c r="X33" s="89"/>
      <c r="Y33" s="89"/>
      <c r="Z33" s="89"/>
      <c r="AA33" s="89"/>
      <c r="AB33" s="89"/>
      <c r="AC33" s="85">
        <f t="shared" si="36"/>
        <v>0</v>
      </c>
      <c r="AD33" s="90"/>
      <c r="AE33" s="90"/>
      <c r="AF33" s="1389"/>
      <c r="AG33" s="90"/>
      <c r="AH33" s="90"/>
      <c r="AI33" s="90"/>
      <c r="AJ33" s="90"/>
      <c r="AK33" s="90"/>
      <c r="AL33" s="90"/>
      <c r="AM33" s="90"/>
      <c r="AN33" s="90"/>
      <c r="AO33" s="90"/>
      <c r="AP33" s="90"/>
      <c r="AQ33" s="90"/>
      <c r="AR33" s="90"/>
      <c r="AS33" s="90"/>
      <c r="AT33" s="91"/>
      <c r="AU33" s="92"/>
      <c r="AV33" s="1959">
        <f t="shared" si="37"/>
        <v>0</v>
      </c>
      <c r="AW33" s="1959">
        <f t="shared" si="38"/>
        <v>0</v>
      </c>
      <c r="AX33" s="1959">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6"/>
      <c r="C34" s="1387"/>
      <c r="D34" s="78"/>
      <c r="E34" s="85">
        <f t="shared" si="33"/>
        <v>0</v>
      </c>
      <c r="F34" s="86"/>
      <c r="G34" s="87">
        <f t="shared" si="34"/>
        <v>0</v>
      </c>
      <c r="H34" s="88">
        <f t="shared" si="35"/>
        <v>0</v>
      </c>
      <c r="I34" s="1389"/>
      <c r="J34" s="89"/>
      <c r="K34" s="1389"/>
      <c r="L34" s="89"/>
      <c r="M34" s="89"/>
      <c r="N34" s="89"/>
      <c r="O34" s="89"/>
      <c r="P34" s="89"/>
      <c r="Q34" s="89"/>
      <c r="R34" s="89"/>
      <c r="S34" s="89"/>
      <c r="T34" s="89"/>
      <c r="U34" s="89"/>
      <c r="V34" s="89"/>
      <c r="W34" s="89"/>
      <c r="X34" s="89"/>
      <c r="Y34" s="89"/>
      <c r="Z34" s="89"/>
      <c r="AA34" s="89"/>
      <c r="AB34" s="89"/>
      <c r="AC34" s="85">
        <f t="shared" si="36"/>
        <v>0</v>
      </c>
      <c r="AD34" s="90"/>
      <c r="AE34" s="90"/>
      <c r="AF34" s="1389"/>
      <c r="AG34" s="90"/>
      <c r="AH34" s="90"/>
      <c r="AI34" s="90"/>
      <c r="AJ34" s="90"/>
      <c r="AK34" s="90"/>
      <c r="AL34" s="90"/>
      <c r="AM34" s="90"/>
      <c r="AN34" s="90"/>
      <c r="AO34" s="90"/>
      <c r="AP34" s="90"/>
      <c r="AQ34" s="90"/>
      <c r="AR34" s="90"/>
      <c r="AS34" s="90"/>
      <c r="AT34" s="91"/>
      <c r="AU34" s="92"/>
      <c r="AV34" s="1959">
        <f t="shared" si="37"/>
        <v>0</v>
      </c>
      <c r="AW34" s="1959">
        <f t="shared" si="38"/>
        <v>0</v>
      </c>
      <c r="AX34" s="1959">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6"/>
      <c r="C35" s="1387"/>
      <c r="D35" s="78"/>
      <c r="E35" s="85">
        <f t="shared" si="33"/>
        <v>0</v>
      </c>
      <c r="F35" s="86"/>
      <c r="G35" s="87">
        <f t="shared" si="34"/>
        <v>0</v>
      </c>
      <c r="H35" s="88">
        <f t="shared" si="35"/>
        <v>0</v>
      </c>
      <c r="I35" s="1389"/>
      <c r="J35" s="89"/>
      <c r="K35" s="1389"/>
      <c r="L35" s="89"/>
      <c r="M35" s="89"/>
      <c r="N35" s="89"/>
      <c r="O35" s="89"/>
      <c r="P35" s="89"/>
      <c r="Q35" s="89"/>
      <c r="R35" s="89"/>
      <c r="S35" s="89"/>
      <c r="T35" s="89"/>
      <c r="U35" s="89"/>
      <c r="V35" s="89"/>
      <c r="W35" s="89"/>
      <c r="X35" s="89"/>
      <c r="Y35" s="89"/>
      <c r="Z35" s="89"/>
      <c r="AA35" s="89"/>
      <c r="AB35" s="89"/>
      <c r="AC35" s="85">
        <f t="shared" si="36"/>
        <v>0</v>
      </c>
      <c r="AD35" s="90"/>
      <c r="AE35" s="90"/>
      <c r="AF35" s="1389"/>
      <c r="AG35" s="90"/>
      <c r="AH35" s="90"/>
      <c r="AI35" s="90"/>
      <c r="AJ35" s="90"/>
      <c r="AK35" s="90"/>
      <c r="AL35" s="90"/>
      <c r="AM35" s="90"/>
      <c r="AN35" s="90"/>
      <c r="AO35" s="90"/>
      <c r="AP35" s="90"/>
      <c r="AQ35" s="90"/>
      <c r="AR35" s="90"/>
      <c r="AS35" s="90"/>
      <c r="AT35" s="91"/>
      <c r="AU35" s="92"/>
      <c r="AV35" s="1959">
        <f t="shared" si="37"/>
        <v>0</v>
      </c>
      <c r="AW35" s="1959">
        <f t="shared" si="38"/>
        <v>0</v>
      </c>
      <c r="AX35" s="1959">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6"/>
      <c r="C36" s="1387"/>
      <c r="D36" s="78"/>
      <c r="E36" s="85">
        <f t="shared" si="33"/>
        <v>0</v>
      </c>
      <c r="F36" s="86"/>
      <c r="G36" s="87">
        <f t="shared" si="34"/>
        <v>0</v>
      </c>
      <c r="H36" s="88">
        <f t="shared" si="35"/>
        <v>0</v>
      </c>
      <c r="I36" s="1389"/>
      <c r="J36" s="89"/>
      <c r="K36" s="1389"/>
      <c r="L36" s="89"/>
      <c r="M36" s="89"/>
      <c r="N36" s="89"/>
      <c r="O36" s="89"/>
      <c r="P36" s="89"/>
      <c r="Q36" s="89"/>
      <c r="R36" s="89"/>
      <c r="S36" s="89"/>
      <c r="T36" s="89"/>
      <c r="U36" s="89"/>
      <c r="V36" s="89"/>
      <c r="W36" s="89"/>
      <c r="X36" s="89"/>
      <c r="Y36" s="89"/>
      <c r="Z36" s="89"/>
      <c r="AA36" s="89"/>
      <c r="AB36" s="89"/>
      <c r="AC36" s="85">
        <f t="shared" si="36"/>
        <v>0</v>
      </c>
      <c r="AD36" s="90"/>
      <c r="AE36" s="90"/>
      <c r="AF36" s="1389"/>
      <c r="AG36" s="90"/>
      <c r="AH36" s="90"/>
      <c r="AI36" s="90"/>
      <c r="AJ36" s="90"/>
      <c r="AK36" s="90"/>
      <c r="AL36" s="90"/>
      <c r="AM36" s="90"/>
      <c r="AN36" s="90"/>
      <c r="AO36" s="90"/>
      <c r="AP36" s="90"/>
      <c r="AQ36" s="90"/>
      <c r="AR36" s="90"/>
      <c r="AS36" s="90"/>
      <c r="AT36" s="91"/>
      <c r="AU36" s="92"/>
      <c r="AV36" s="1959">
        <f t="shared" si="37"/>
        <v>0</v>
      </c>
      <c r="AW36" s="1959">
        <f t="shared" si="38"/>
        <v>0</v>
      </c>
      <c r="AX36" s="1959">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6"/>
      <c r="C37" s="1387"/>
      <c r="D37" s="78"/>
      <c r="E37" s="85">
        <f t="shared" si="33"/>
        <v>0</v>
      </c>
      <c r="F37" s="86"/>
      <c r="G37" s="87">
        <f t="shared" si="34"/>
        <v>0</v>
      </c>
      <c r="H37" s="88">
        <f t="shared" si="35"/>
        <v>0</v>
      </c>
      <c r="I37" s="1389"/>
      <c r="J37" s="89"/>
      <c r="K37" s="1389"/>
      <c r="L37" s="89"/>
      <c r="M37" s="89"/>
      <c r="N37" s="89"/>
      <c r="O37" s="89"/>
      <c r="P37" s="89"/>
      <c r="Q37" s="89"/>
      <c r="R37" s="89"/>
      <c r="S37" s="89"/>
      <c r="T37" s="89"/>
      <c r="U37" s="89"/>
      <c r="V37" s="89"/>
      <c r="W37" s="89"/>
      <c r="X37" s="89"/>
      <c r="Y37" s="89"/>
      <c r="Z37" s="89"/>
      <c r="AA37" s="89"/>
      <c r="AB37" s="89"/>
      <c r="AC37" s="85">
        <f t="shared" si="36"/>
        <v>0</v>
      </c>
      <c r="AD37" s="90"/>
      <c r="AE37" s="90"/>
      <c r="AF37" s="1389"/>
      <c r="AG37" s="90"/>
      <c r="AH37" s="90"/>
      <c r="AI37" s="90"/>
      <c r="AJ37" s="90"/>
      <c r="AK37" s="90"/>
      <c r="AL37" s="90"/>
      <c r="AM37" s="90"/>
      <c r="AN37" s="90"/>
      <c r="AO37" s="90"/>
      <c r="AP37" s="90"/>
      <c r="AQ37" s="90"/>
      <c r="AR37" s="90"/>
      <c r="AS37" s="90"/>
      <c r="AT37" s="91"/>
      <c r="AU37" s="92"/>
      <c r="AV37" s="1959">
        <f t="shared" si="37"/>
        <v>0</v>
      </c>
      <c r="AW37" s="1959">
        <f t="shared" si="38"/>
        <v>0</v>
      </c>
      <c r="AX37" s="1959">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6"/>
      <c r="C38" s="1387"/>
      <c r="D38" s="78"/>
      <c r="E38" s="85">
        <f t="shared" si="33"/>
        <v>0</v>
      </c>
      <c r="F38" s="86"/>
      <c r="G38" s="87">
        <f t="shared" si="34"/>
        <v>0</v>
      </c>
      <c r="H38" s="88">
        <f t="shared" si="35"/>
        <v>0</v>
      </c>
      <c r="I38" s="1389"/>
      <c r="J38" s="89"/>
      <c r="K38" s="1389"/>
      <c r="L38" s="89"/>
      <c r="M38" s="89"/>
      <c r="N38" s="89"/>
      <c r="O38" s="89"/>
      <c r="P38" s="89"/>
      <c r="Q38" s="89"/>
      <c r="R38" s="89"/>
      <c r="S38" s="89"/>
      <c r="T38" s="89"/>
      <c r="U38" s="89"/>
      <c r="V38" s="89"/>
      <c r="W38" s="89"/>
      <c r="X38" s="89"/>
      <c r="Y38" s="89"/>
      <c r="Z38" s="89"/>
      <c r="AA38" s="89"/>
      <c r="AB38" s="89"/>
      <c r="AC38" s="85">
        <f t="shared" si="36"/>
        <v>0</v>
      </c>
      <c r="AD38" s="90"/>
      <c r="AE38" s="90"/>
      <c r="AF38" s="1389"/>
      <c r="AG38" s="90"/>
      <c r="AH38" s="90"/>
      <c r="AI38" s="90"/>
      <c r="AJ38" s="90"/>
      <c r="AK38" s="90"/>
      <c r="AL38" s="90"/>
      <c r="AM38" s="90"/>
      <c r="AN38" s="90"/>
      <c r="AO38" s="90"/>
      <c r="AP38" s="90"/>
      <c r="AQ38" s="90"/>
      <c r="AR38" s="90"/>
      <c r="AS38" s="90"/>
      <c r="AT38" s="91"/>
      <c r="AU38" s="92"/>
      <c r="AV38" s="1959">
        <f t="shared" si="37"/>
        <v>0</v>
      </c>
      <c r="AW38" s="1959">
        <f t="shared" si="38"/>
        <v>0</v>
      </c>
      <c r="AX38" s="1959">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6"/>
      <c r="C39" s="1387"/>
      <c r="D39" s="78"/>
      <c r="E39" s="85">
        <f t="shared" si="33"/>
        <v>0</v>
      </c>
      <c r="F39" s="86"/>
      <c r="G39" s="87">
        <f t="shared" si="34"/>
        <v>0</v>
      </c>
      <c r="H39" s="88">
        <f t="shared" si="35"/>
        <v>0</v>
      </c>
      <c r="I39" s="1389"/>
      <c r="J39" s="89"/>
      <c r="K39" s="1389"/>
      <c r="L39" s="89"/>
      <c r="M39" s="89"/>
      <c r="N39" s="89"/>
      <c r="O39" s="89"/>
      <c r="P39" s="89"/>
      <c r="Q39" s="89"/>
      <c r="R39" s="89"/>
      <c r="S39" s="89"/>
      <c r="T39" s="89"/>
      <c r="U39" s="89"/>
      <c r="V39" s="89"/>
      <c r="W39" s="89"/>
      <c r="X39" s="89"/>
      <c r="Y39" s="89"/>
      <c r="Z39" s="89"/>
      <c r="AA39" s="89"/>
      <c r="AB39" s="89"/>
      <c r="AC39" s="85">
        <f t="shared" si="36"/>
        <v>0</v>
      </c>
      <c r="AD39" s="90"/>
      <c r="AE39" s="90"/>
      <c r="AF39" s="1389"/>
      <c r="AG39" s="90"/>
      <c r="AH39" s="90"/>
      <c r="AI39" s="90"/>
      <c r="AJ39" s="90"/>
      <c r="AK39" s="90"/>
      <c r="AL39" s="90"/>
      <c r="AM39" s="90"/>
      <c r="AN39" s="90"/>
      <c r="AO39" s="90"/>
      <c r="AP39" s="90"/>
      <c r="AQ39" s="90"/>
      <c r="AR39" s="90"/>
      <c r="AS39" s="90"/>
      <c r="AT39" s="91"/>
      <c r="AU39" s="92"/>
      <c r="AV39" s="1959">
        <f t="shared" si="37"/>
        <v>0</v>
      </c>
      <c r="AW39" s="1959">
        <f t="shared" si="38"/>
        <v>0</v>
      </c>
      <c r="AX39" s="1959">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6"/>
      <c r="C40" s="1387"/>
      <c r="D40" s="78"/>
      <c r="E40" s="85">
        <f t="shared" si="33"/>
        <v>0</v>
      </c>
      <c r="F40" s="86"/>
      <c r="G40" s="87">
        <f t="shared" si="34"/>
        <v>0</v>
      </c>
      <c r="H40" s="88">
        <f t="shared" si="35"/>
        <v>0</v>
      </c>
      <c r="I40" s="1389"/>
      <c r="J40" s="89"/>
      <c r="K40" s="1389"/>
      <c r="L40" s="89"/>
      <c r="M40" s="89"/>
      <c r="N40" s="89"/>
      <c r="O40" s="89"/>
      <c r="P40" s="89"/>
      <c r="Q40" s="89"/>
      <c r="R40" s="89"/>
      <c r="S40" s="89"/>
      <c r="T40" s="89"/>
      <c r="U40" s="89"/>
      <c r="V40" s="89"/>
      <c r="W40" s="89"/>
      <c r="X40" s="89"/>
      <c r="Y40" s="89"/>
      <c r="Z40" s="89"/>
      <c r="AA40" s="89"/>
      <c r="AB40" s="89"/>
      <c r="AC40" s="85">
        <f t="shared" si="36"/>
        <v>0</v>
      </c>
      <c r="AD40" s="90"/>
      <c r="AE40" s="90"/>
      <c r="AF40" s="1389"/>
      <c r="AG40" s="90"/>
      <c r="AH40" s="90"/>
      <c r="AI40" s="90"/>
      <c r="AJ40" s="90"/>
      <c r="AK40" s="90"/>
      <c r="AL40" s="90"/>
      <c r="AM40" s="90"/>
      <c r="AN40" s="90"/>
      <c r="AO40" s="90"/>
      <c r="AP40" s="90"/>
      <c r="AQ40" s="90"/>
      <c r="AR40" s="90"/>
      <c r="AS40" s="90"/>
      <c r="AT40" s="91"/>
      <c r="AU40" s="92"/>
      <c r="AV40" s="1959">
        <f t="shared" si="37"/>
        <v>0</v>
      </c>
      <c r="AW40" s="1959">
        <f t="shared" si="38"/>
        <v>0</v>
      </c>
      <c r="AX40" s="1959">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6"/>
      <c r="C41" s="1387"/>
      <c r="D41" s="78"/>
      <c r="E41" s="85">
        <f t="shared" si="33"/>
        <v>0</v>
      </c>
      <c r="F41" s="86"/>
      <c r="G41" s="87">
        <f t="shared" si="34"/>
        <v>0</v>
      </c>
      <c r="H41" s="88">
        <f t="shared" si="35"/>
        <v>0</v>
      </c>
      <c r="I41" s="1389"/>
      <c r="J41" s="89"/>
      <c r="K41" s="1389"/>
      <c r="L41" s="89"/>
      <c r="M41" s="89"/>
      <c r="N41" s="89"/>
      <c r="O41" s="89"/>
      <c r="P41" s="89"/>
      <c r="Q41" s="89"/>
      <c r="R41" s="89"/>
      <c r="S41" s="89"/>
      <c r="T41" s="89"/>
      <c r="U41" s="89"/>
      <c r="V41" s="89"/>
      <c r="W41" s="89"/>
      <c r="X41" s="89"/>
      <c r="Y41" s="89"/>
      <c r="Z41" s="89"/>
      <c r="AA41" s="89"/>
      <c r="AB41" s="89"/>
      <c r="AC41" s="85">
        <f t="shared" si="36"/>
        <v>0</v>
      </c>
      <c r="AD41" s="90"/>
      <c r="AE41" s="90"/>
      <c r="AF41" s="1389"/>
      <c r="AG41" s="90"/>
      <c r="AH41" s="90"/>
      <c r="AI41" s="90"/>
      <c r="AJ41" s="90"/>
      <c r="AK41" s="90"/>
      <c r="AL41" s="90"/>
      <c r="AM41" s="90"/>
      <c r="AN41" s="90"/>
      <c r="AO41" s="90"/>
      <c r="AP41" s="90"/>
      <c r="AQ41" s="90"/>
      <c r="AR41" s="90"/>
      <c r="AS41" s="90"/>
      <c r="AT41" s="91"/>
      <c r="AU41" s="92"/>
      <c r="AV41" s="1959">
        <f t="shared" si="37"/>
        <v>0</v>
      </c>
      <c r="AW41" s="1959">
        <f t="shared" si="38"/>
        <v>0</v>
      </c>
      <c r="AX41" s="1959">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6"/>
      <c r="C42" s="1387"/>
      <c r="D42" s="78"/>
      <c r="E42" s="85">
        <f t="shared" si="33"/>
        <v>0</v>
      </c>
      <c r="F42" s="86"/>
      <c r="G42" s="87">
        <f t="shared" si="34"/>
        <v>0</v>
      </c>
      <c r="H42" s="88">
        <f t="shared" si="35"/>
        <v>0</v>
      </c>
      <c r="I42" s="1389"/>
      <c r="J42" s="89"/>
      <c r="K42" s="1389"/>
      <c r="L42" s="89"/>
      <c r="M42" s="89"/>
      <c r="N42" s="89"/>
      <c r="O42" s="89"/>
      <c r="P42" s="89"/>
      <c r="Q42" s="89"/>
      <c r="R42" s="89"/>
      <c r="S42" s="89"/>
      <c r="T42" s="89"/>
      <c r="U42" s="89"/>
      <c r="V42" s="89"/>
      <c r="W42" s="89"/>
      <c r="X42" s="89"/>
      <c r="Y42" s="89"/>
      <c r="Z42" s="89"/>
      <c r="AA42" s="89"/>
      <c r="AB42" s="89"/>
      <c r="AC42" s="85">
        <f t="shared" si="36"/>
        <v>0</v>
      </c>
      <c r="AD42" s="90"/>
      <c r="AE42" s="90"/>
      <c r="AF42" s="1389"/>
      <c r="AG42" s="90"/>
      <c r="AH42" s="90"/>
      <c r="AI42" s="90"/>
      <c r="AJ42" s="90"/>
      <c r="AK42" s="90"/>
      <c r="AL42" s="90"/>
      <c r="AM42" s="90"/>
      <c r="AN42" s="90"/>
      <c r="AO42" s="90"/>
      <c r="AP42" s="90"/>
      <c r="AQ42" s="90"/>
      <c r="AR42" s="90"/>
      <c r="AS42" s="90"/>
      <c r="AT42" s="91"/>
      <c r="AU42" s="92"/>
      <c r="AV42" s="1959">
        <f t="shared" si="37"/>
        <v>0</v>
      </c>
      <c r="AW42" s="1959">
        <f t="shared" si="38"/>
        <v>0</v>
      </c>
      <c r="AX42" s="1959">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6"/>
      <c r="C43" s="1387"/>
      <c r="D43" s="78"/>
      <c r="E43" s="85">
        <f t="shared" si="33"/>
        <v>0</v>
      </c>
      <c r="F43" s="86"/>
      <c r="G43" s="87">
        <f t="shared" si="34"/>
        <v>0</v>
      </c>
      <c r="H43" s="88">
        <f t="shared" si="35"/>
        <v>0</v>
      </c>
      <c r="I43" s="1389"/>
      <c r="J43" s="89"/>
      <c r="K43" s="1389"/>
      <c r="L43" s="89"/>
      <c r="M43" s="89"/>
      <c r="N43" s="89"/>
      <c r="O43" s="89"/>
      <c r="P43" s="89"/>
      <c r="Q43" s="89"/>
      <c r="R43" s="89"/>
      <c r="S43" s="89"/>
      <c r="T43" s="89"/>
      <c r="U43" s="89"/>
      <c r="V43" s="89"/>
      <c r="W43" s="89"/>
      <c r="X43" s="89"/>
      <c r="Y43" s="89"/>
      <c r="Z43" s="89"/>
      <c r="AA43" s="89"/>
      <c r="AB43" s="89"/>
      <c r="AC43" s="85">
        <f t="shared" si="36"/>
        <v>0</v>
      </c>
      <c r="AD43" s="90"/>
      <c r="AE43" s="90"/>
      <c r="AF43" s="1389"/>
      <c r="AG43" s="90"/>
      <c r="AH43" s="90"/>
      <c r="AI43" s="90"/>
      <c r="AJ43" s="90"/>
      <c r="AK43" s="90"/>
      <c r="AL43" s="90"/>
      <c r="AM43" s="90"/>
      <c r="AN43" s="90"/>
      <c r="AO43" s="90"/>
      <c r="AP43" s="90"/>
      <c r="AQ43" s="90"/>
      <c r="AR43" s="90"/>
      <c r="AS43" s="90"/>
      <c r="AT43" s="91"/>
      <c r="AU43" s="92"/>
      <c r="AV43" s="1959">
        <f t="shared" si="37"/>
        <v>0</v>
      </c>
      <c r="AW43" s="1959">
        <f t="shared" si="38"/>
        <v>0</v>
      </c>
      <c r="AX43" s="1959">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6"/>
      <c r="C44" s="1387"/>
      <c r="D44" s="78"/>
      <c r="E44" s="85">
        <f t="shared" si="33"/>
        <v>0</v>
      </c>
      <c r="F44" s="86"/>
      <c r="G44" s="87">
        <f t="shared" si="34"/>
        <v>0</v>
      </c>
      <c r="H44" s="88">
        <f t="shared" si="35"/>
        <v>0</v>
      </c>
      <c r="I44" s="1389"/>
      <c r="J44" s="89"/>
      <c r="K44" s="1389"/>
      <c r="L44" s="89"/>
      <c r="M44" s="89"/>
      <c r="N44" s="89"/>
      <c r="O44" s="89"/>
      <c r="P44" s="89"/>
      <c r="Q44" s="89"/>
      <c r="R44" s="89"/>
      <c r="S44" s="89"/>
      <c r="T44" s="89"/>
      <c r="U44" s="89"/>
      <c r="V44" s="89"/>
      <c r="W44" s="89"/>
      <c r="X44" s="89"/>
      <c r="Y44" s="89"/>
      <c r="Z44" s="89"/>
      <c r="AA44" s="89"/>
      <c r="AB44" s="89"/>
      <c r="AC44" s="85">
        <f t="shared" si="36"/>
        <v>0</v>
      </c>
      <c r="AD44" s="90"/>
      <c r="AE44" s="90"/>
      <c r="AF44" s="1389"/>
      <c r="AG44" s="90"/>
      <c r="AH44" s="90"/>
      <c r="AI44" s="90"/>
      <c r="AJ44" s="90"/>
      <c r="AK44" s="90"/>
      <c r="AL44" s="90"/>
      <c r="AM44" s="90"/>
      <c r="AN44" s="90"/>
      <c r="AO44" s="90"/>
      <c r="AP44" s="90"/>
      <c r="AQ44" s="90"/>
      <c r="AR44" s="90"/>
      <c r="AS44" s="90"/>
      <c r="AT44" s="91"/>
      <c r="AU44" s="92"/>
      <c r="AV44" s="1959">
        <f t="shared" si="37"/>
        <v>0</v>
      </c>
      <c r="AW44" s="1959">
        <f t="shared" si="38"/>
        <v>0</v>
      </c>
      <c r="AX44" s="1959">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6"/>
      <c r="C45" s="1387"/>
      <c r="D45" s="78"/>
      <c r="E45" s="85">
        <f t="shared" si="33"/>
        <v>0</v>
      </c>
      <c r="F45" s="86"/>
      <c r="G45" s="87">
        <f t="shared" si="34"/>
        <v>0</v>
      </c>
      <c r="H45" s="88">
        <f t="shared" si="35"/>
        <v>0</v>
      </c>
      <c r="I45" s="1389"/>
      <c r="J45" s="89"/>
      <c r="K45" s="1389"/>
      <c r="L45" s="89"/>
      <c r="M45" s="89"/>
      <c r="N45" s="89"/>
      <c r="O45" s="89"/>
      <c r="P45" s="89"/>
      <c r="Q45" s="89"/>
      <c r="R45" s="89"/>
      <c r="S45" s="89"/>
      <c r="T45" s="89"/>
      <c r="U45" s="89"/>
      <c r="V45" s="89"/>
      <c r="W45" s="89"/>
      <c r="X45" s="89"/>
      <c r="Y45" s="89"/>
      <c r="Z45" s="89"/>
      <c r="AA45" s="89"/>
      <c r="AB45" s="89"/>
      <c r="AC45" s="85">
        <f t="shared" si="36"/>
        <v>0</v>
      </c>
      <c r="AD45" s="90"/>
      <c r="AE45" s="90"/>
      <c r="AF45" s="1389"/>
      <c r="AG45" s="90"/>
      <c r="AH45" s="90"/>
      <c r="AI45" s="90"/>
      <c r="AJ45" s="90"/>
      <c r="AK45" s="90"/>
      <c r="AL45" s="90"/>
      <c r="AM45" s="90"/>
      <c r="AN45" s="90"/>
      <c r="AO45" s="90"/>
      <c r="AP45" s="90"/>
      <c r="AQ45" s="90"/>
      <c r="AR45" s="90"/>
      <c r="AS45" s="90"/>
      <c r="AT45" s="91"/>
      <c r="AU45" s="92"/>
      <c r="AV45" s="1959">
        <f t="shared" si="37"/>
        <v>0</v>
      </c>
      <c r="AW45" s="1959">
        <f t="shared" si="38"/>
        <v>0</v>
      </c>
      <c r="AX45" s="1959">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6"/>
      <c r="C46" s="1387"/>
      <c r="D46" s="78"/>
      <c r="E46" s="85">
        <f t="shared" si="33"/>
        <v>0</v>
      </c>
      <c r="F46" s="86"/>
      <c r="G46" s="87">
        <f t="shared" si="34"/>
        <v>0</v>
      </c>
      <c r="H46" s="88">
        <f t="shared" si="35"/>
        <v>0</v>
      </c>
      <c r="I46" s="1389"/>
      <c r="J46" s="89"/>
      <c r="K46" s="1389"/>
      <c r="L46" s="89"/>
      <c r="M46" s="89"/>
      <c r="N46" s="89"/>
      <c r="O46" s="89"/>
      <c r="P46" s="89"/>
      <c r="Q46" s="89"/>
      <c r="R46" s="89"/>
      <c r="S46" s="89"/>
      <c r="T46" s="89"/>
      <c r="U46" s="89"/>
      <c r="V46" s="89"/>
      <c r="W46" s="89"/>
      <c r="X46" s="89"/>
      <c r="Y46" s="89"/>
      <c r="Z46" s="89"/>
      <c r="AA46" s="89"/>
      <c r="AB46" s="89"/>
      <c r="AC46" s="85">
        <f t="shared" si="36"/>
        <v>0</v>
      </c>
      <c r="AD46" s="90"/>
      <c r="AE46" s="90"/>
      <c r="AF46" s="1389"/>
      <c r="AG46" s="90"/>
      <c r="AH46" s="90"/>
      <c r="AI46" s="90"/>
      <c r="AJ46" s="90"/>
      <c r="AK46" s="90"/>
      <c r="AL46" s="90"/>
      <c r="AM46" s="90"/>
      <c r="AN46" s="90"/>
      <c r="AO46" s="90"/>
      <c r="AP46" s="90"/>
      <c r="AQ46" s="90"/>
      <c r="AR46" s="90"/>
      <c r="AS46" s="90"/>
      <c r="AT46" s="91"/>
      <c r="AU46" s="92"/>
      <c r="AV46" s="1959">
        <f t="shared" si="37"/>
        <v>0</v>
      </c>
      <c r="AW46" s="1959">
        <f t="shared" si="38"/>
        <v>0</v>
      </c>
      <c r="AX46" s="1959">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6"/>
      <c r="C47" s="1387"/>
      <c r="D47" s="78"/>
      <c r="E47" s="85">
        <f t="shared" si="33"/>
        <v>0</v>
      </c>
      <c r="F47" s="86"/>
      <c r="G47" s="87">
        <f t="shared" si="34"/>
        <v>0</v>
      </c>
      <c r="H47" s="88">
        <f t="shared" si="35"/>
        <v>0</v>
      </c>
      <c r="I47" s="1389"/>
      <c r="J47" s="89"/>
      <c r="K47" s="1389"/>
      <c r="L47" s="89"/>
      <c r="M47" s="89"/>
      <c r="N47" s="89"/>
      <c r="O47" s="89"/>
      <c r="P47" s="89"/>
      <c r="Q47" s="89"/>
      <c r="R47" s="89"/>
      <c r="S47" s="89"/>
      <c r="T47" s="89"/>
      <c r="U47" s="89"/>
      <c r="V47" s="89"/>
      <c r="W47" s="89"/>
      <c r="X47" s="89"/>
      <c r="Y47" s="89"/>
      <c r="Z47" s="89"/>
      <c r="AA47" s="89"/>
      <c r="AB47" s="89"/>
      <c r="AC47" s="85">
        <f t="shared" si="36"/>
        <v>0</v>
      </c>
      <c r="AD47" s="90"/>
      <c r="AE47" s="90"/>
      <c r="AF47" s="1387"/>
      <c r="AG47" s="90"/>
      <c r="AH47" s="90"/>
      <c r="AI47" s="90"/>
      <c r="AJ47" s="90"/>
      <c r="AK47" s="90"/>
      <c r="AL47" s="90"/>
      <c r="AM47" s="90"/>
      <c r="AN47" s="90"/>
      <c r="AO47" s="90"/>
      <c r="AP47" s="90"/>
      <c r="AQ47" s="90"/>
      <c r="AR47" s="90"/>
      <c r="AS47" s="90"/>
      <c r="AT47" s="91"/>
      <c r="AU47" s="92"/>
      <c r="AV47" s="1959">
        <f t="shared" si="37"/>
        <v>0</v>
      </c>
      <c r="AW47" s="1959">
        <f t="shared" si="38"/>
        <v>0</v>
      </c>
      <c r="AX47" s="1959">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6"/>
      <c r="C48" s="1387"/>
      <c r="D48" s="78"/>
      <c r="E48" s="85">
        <f t="shared" si="33"/>
        <v>0</v>
      </c>
      <c r="F48" s="86"/>
      <c r="G48" s="87">
        <f t="shared" si="34"/>
        <v>0</v>
      </c>
      <c r="H48" s="88">
        <f t="shared" si="35"/>
        <v>0</v>
      </c>
      <c r="I48" s="1387"/>
      <c r="J48" s="89"/>
      <c r="K48" s="1387"/>
      <c r="L48" s="89"/>
      <c r="M48" s="89"/>
      <c r="N48" s="89"/>
      <c r="O48" s="89"/>
      <c r="P48" s="89"/>
      <c r="Q48" s="89"/>
      <c r="R48" s="89"/>
      <c r="S48" s="89"/>
      <c r="T48" s="89"/>
      <c r="U48" s="89"/>
      <c r="V48" s="89"/>
      <c r="W48" s="89"/>
      <c r="X48" s="89"/>
      <c r="Y48" s="89"/>
      <c r="Z48" s="89"/>
      <c r="AA48" s="89"/>
      <c r="AB48" s="89"/>
      <c r="AC48" s="85">
        <f t="shared" si="36"/>
        <v>0</v>
      </c>
      <c r="AD48" s="90"/>
      <c r="AE48" s="90"/>
      <c r="AF48" s="1387"/>
      <c r="AG48" s="90"/>
      <c r="AH48" s="90"/>
      <c r="AI48" s="90"/>
      <c r="AJ48" s="90"/>
      <c r="AK48" s="90"/>
      <c r="AL48" s="90"/>
      <c r="AM48" s="90"/>
      <c r="AN48" s="90"/>
      <c r="AO48" s="90"/>
      <c r="AP48" s="90"/>
      <c r="AQ48" s="90"/>
      <c r="AR48" s="90"/>
      <c r="AS48" s="90"/>
      <c r="AT48" s="91"/>
      <c r="AU48" s="92"/>
      <c r="AV48" s="1959">
        <f t="shared" si="37"/>
        <v>0</v>
      </c>
      <c r="AW48" s="1959">
        <f t="shared" si="38"/>
        <v>0</v>
      </c>
      <c r="AX48" s="1959">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6"/>
      <c r="C49" s="1387"/>
      <c r="D49" s="78"/>
      <c r="E49" s="85">
        <f t="shared" si="33"/>
        <v>0</v>
      </c>
      <c r="F49" s="86"/>
      <c r="G49" s="87">
        <f t="shared" si="34"/>
        <v>0</v>
      </c>
      <c r="H49" s="88">
        <f t="shared" si="35"/>
        <v>0</v>
      </c>
      <c r="I49" s="1387"/>
      <c r="J49" s="89"/>
      <c r="K49" s="1387"/>
      <c r="L49" s="89"/>
      <c r="M49" s="89"/>
      <c r="N49" s="89"/>
      <c r="O49" s="89"/>
      <c r="P49" s="89"/>
      <c r="Q49" s="89"/>
      <c r="R49" s="89"/>
      <c r="S49" s="89"/>
      <c r="T49" s="89"/>
      <c r="U49" s="89"/>
      <c r="V49" s="89"/>
      <c r="W49" s="89"/>
      <c r="X49" s="89"/>
      <c r="Y49" s="89"/>
      <c r="Z49" s="89"/>
      <c r="AA49" s="89"/>
      <c r="AB49" s="89"/>
      <c r="AC49" s="85">
        <f t="shared" si="36"/>
        <v>0</v>
      </c>
      <c r="AD49" s="90"/>
      <c r="AE49" s="90"/>
      <c r="AF49" s="1387"/>
      <c r="AG49" s="90"/>
      <c r="AH49" s="90"/>
      <c r="AI49" s="90"/>
      <c r="AJ49" s="90"/>
      <c r="AK49" s="90"/>
      <c r="AL49" s="90"/>
      <c r="AM49" s="90"/>
      <c r="AN49" s="90"/>
      <c r="AO49" s="90"/>
      <c r="AP49" s="90"/>
      <c r="AQ49" s="90"/>
      <c r="AR49" s="90"/>
      <c r="AS49" s="90"/>
      <c r="AT49" s="91"/>
      <c r="AU49" s="92"/>
      <c r="AV49" s="1959">
        <f t="shared" si="37"/>
        <v>0</v>
      </c>
      <c r="AW49" s="1959">
        <f t="shared" si="38"/>
        <v>0</v>
      </c>
      <c r="AX49" s="1959">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6"/>
      <c r="C50" s="1387"/>
      <c r="D50" s="78"/>
      <c r="E50" s="85">
        <f t="shared" si="33"/>
        <v>0</v>
      </c>
      <c r="F50" s="86"/>
      <c r="G50" s="87">
        <f t="shared" si="34"/>
        <v>0</v>
      </c>
      <c r="H50" s="88">
        <f t="shared" si="35"/>
        <v>0</v>
      </c>
      <c r="I50" s="1387"/>
      <c r="J50" s="89"/>
      <c r="K50" s="1387"/>
      <c r="L50" s="89"/>
      <c r="M50" s="89"/>
      <c r="N50" s="89"/>
      <c r="O50" s="89"/>
      <c r="P50" s="89"/>
      <c r="Q50" s="89"/>
      <c r="R50" s="89"/>
      <c r="S50" s="89"/>
      <c r="T50" s="89"/>
      <c r="U50" s="89"/>
      <c r="V50" s="89"/>
      <c r="W50" s="89"/>
      <c r="X50" s="89"/>
      <c r="Y50" s="89"/>
      <c r="Z50" s="89"/>
      <c r="AA50" s="89"/>
      <c r="AB50" s="89"/>
      <c r="AC50" s="85">
        <f t="shared" si="36"/>
        <v>0</v>
      </c>
      <c r="AD50" s="90"/>
      <c r="AE50" s="90"/>
      <c r="AF50" s="1387"/>
      <c r="AG50" s="90"/>
      <c r="AH50" s="90"/>
      <c r="AI50" s="90"/>
      <c r="AJ50" s="90"/>
      <c r="AK50" s="90"/>
      <c r="AL50" s="90"/>
      <c r="AM50" s="90"/>
      <c r="AN50" s="90"/>
      <c r="AO50" s="90"/>
      <c r="AP50" s="90"/>
      <c r="AQ50" s="90"/>
      <c r="AR50" s="90"/>
      <c r="AS50" s="90"/>
      <c r="AT50" s="91"/>
      <c r="AU50" s="92"/>
      <c r="AV50" s="1959">
        <f t="shared" si="37"/>
        <v>0</v>
      </c>
      <c r="AW50" s="1959">
        <f t="shared" si="38"/>
        <v>0</v>
      </c>
      <c r="AX50" s="1959">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6"/>
      <c r="C51" s="1387"/>
      <c r="D51" s="78"/>
      <c r="E51" s="85">
        <f t="shared" si="33"/>
        <v>0</v>
      </c>
      <c r="F51" s="86"/>
      <c r="G51" s="87">
        <f t="shared" si="34"/>
        <v>0</v>
      </c>
      <c r="H51" s="88">
        <f t="shared" si="35"/>
        <v>0</v>
      </c>
      <c r="I51" s="1387"/>
      <c r="J51" s="89"/>
      <c r="K51" s="1387"/>
      <c r="L51" s="89"/>
      <c r="M51" s="89"/>
      <c r="N51" s="89"/>
      <c r="O51" s="89"/>
      <c r="P51" s="89"/>
      <c r="Q51" s="89"/>
      <c r="R51" s="89"/>
      <c r="S51" s="89"/>
      <c r="T51" s="89"/>
      <c r="U51" s="89"/>
      <c r="V51" s="89"/>
      <c r="W51" s="89"/>
      <c r="X51" s="89"/>
      <c r="Y51" s="89"/>
      <c r="Z51" s="89"/>
      <c r="AA51" s="89"/>
      <c r="AB51" s="89"/>
      <c r="AC51" s="85">
        <f t="shared" si="36"/>
        <v>0</v>
      </c>
      <c r="AD51" s="90"/>
      <c r="AE51" s="90"/>
      <c r="AF51" s="1387"/>
      <c r="AG51" s="90"/>
      <c r="AH51" s="90"/>
      <c r="AI51" s="90"/>
      <c r="AJ51" s="90"/>
      <c r="AK51" s="90"/>
      <c r="AL51" s="90"/>
      <c r="AM51" s="90"/>
      <c r="AN51" s="90"/>
      <c r="AO51" s="90"/>
      <c r="AP51" s="90"/>
      <c r="AQ51" s="90"/>
      <c r="AR51" s="90"/>
      <c r="AS51" s="90"/>
      <c r="AT51" s="91"/>
      <c r="AU51" s="92"/>
      <c r="AV51" s="1959">
        <f t="shared" si="37"/>
        <v>0</v>
      </c>
      <c r="AW51" s="1959">
        <f t="shared" si="38"/>
        <v>0</v>
      </c>
      <c r="AX51" s="1959">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6"/>
      <c r="C52" s="1387"/>
      <c r="D52" s="78"/>
      <c r="E52" s="85">
        <f t="shared" si="33"/>
        <v>0</v>
      </c>
      <c r="F52" s="86"/>
      <c r="G52" s="87">
        <f t="shared" si="34"/>
        <v>0</v>
      </c>
      <c r="H52" s="88">
        <f t="shared" si="35"/>
        <v>0</v>
      </c>
      <c r="I52" s="1387"/>
      <c r="J52" s="89"/>
      <c r="K52" s="1387"/>
      <c r="L52" s="89"/>
      <c r="M52" s="89"/>
      <c r="N52" s="89"/>
      <c r="O52" s="89"/>
      <c r="P52" s="89"/>
      <c r="Q52" s="89"/>
      <c r="R52" s="89"/>
      <c r="S52" s="89"/>
      <c r="T52" s="89"/>
      <c r="U52" s="89"/>
      <c r="V52" s="89"/>
      <c r="W52" s="89"/>
      <c r="X52" s="89"/>
      <c r="Y52" s="89"/>
      <c r="Z52" s="89"/>
      <c r="AA52" s="89"/>
      <c r="AB52" s="89"/>
      <c r="AC52" s="85">
        <f t="shared" si="36"/>
        <v>0</v>
      </c>
      <c r="AD52" s="90"/>
      <c r="AE52" s="90"/>
      <c r="AF52" s="1387"/>
      <c r="AG52" s="90"/>
      <c r="AH52" s="90"/>
      <c r="AI52" s="90"/>
      <c r="AJ52" s="90"/>
      <c r="AK52" s="90"/>
      <c r="AL52" s="90"/>
      <c r="AM52" s="90"/>
      <c r="AN52" s="90"/>
      <c r="AO52" s="90"/>
      <c r="AP52" s="90"/>
      <c r="AQ52" s="90"/>
      <c r="AR52" s="90"/>
      <c r="AS52" s="90"/>
      <c r="AT52" s="91"/>
      <c r="AU52" s="92"/>
      <c r="AV52" s="1959">
        <f t="shared" si="37"/>
        <v>0</v>
      </c>
      <c r="AW52" s="1959">
        <f t="shared" si="38"/>
        <v>0</v>
      </c>
      <c r="AX52" s="1959">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6"/>
      <c r="C53" s="1387"/>
      <c r="D53" s="78"/>
      <c r="E53" s="85">
        <f t="shared" si="33"/>
        <v>0</v>
      </c>
      <c r="F53" s="86"/>
      <c r="G53" s="87">
        <f t="shared" si="34"/>
        <v>0</v>
      </c>
      <c r="H53" s="88">
        <f t="shared" si="35"/>
        <v>0</v>
      </c>
      <c r="I53" s="1387"/>
      <c r="J53" s="89"/>
      <c r="K53" s="1387"/>
      <c r="L53" s="89"/>
      <c r="M53" s="89"/>
      <c r="N53" s="89"/>
      <c r="O53" s="89"/>
      <c r="P53" s="89"/>
      <c r="Q53" s="89"/>
      <c r="R53" s="89"/>
      <c r="S53" s="89"/>
      <c r="T53" s="89"/>
      <c r="U53" s="89"/>
      <c r="V53" s="89"/>
      <c r="W53" s="89"/>
      <c r="X53" s="89"/>
      <c r="Y53" s="89"/>
      <c r="Z53" s="89"/>
      <c r="AA53" s="89"/>
      <c r="AB53" s="89"/>
      <c r="AC53" s="85">
        <f t="shared" si="36"/>
        <v>0</v>
      </c>
      <c r="AD53" s="90"/>
      <c r="AE53" s="90"/>
      <c r="AF53" s="1387"/>
      <c r="AG53" s="90"/>
      <c r="AH53" s="90"/>
      <c r="AI53" s="90"/>
      <c r="AJ53" s="90"/>
      <c r="AK53" s="90"/>
      <c r="AL53" s="90"/>
      <c r="AM53" s="90"/>
      <c r="AN53" s="90"/>
      <c r="AO53" s="90"/>
      <c r="AP53" s="90"/>
      <c r="AQ53" s="90"/>
      <c r="AR53" s="90"/>
      <c r="AS53" s="90"/>
      <c r="AT53" s="91"/>
      <c r="AU53" s="92"/>
      <c r="AV53" s="1959">
        <f t="shared" si="37"/>
        <v>0</v>
      </c>
      <c r="AW53" s="1959">
        <f t="shared" si="38"/>
        <v>0</v>
      </c>
      <c r="AX53" s="1959">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6"/>
      <c r="C54" s="1387"/>
      <c r="D54" s="78"/>
      <c r="E54" s="85">
        <f t="shared" si="33"/>
        <v>0</v>
      </c>
      <c r="F54" s="86"/>
      <c r="G54" s="87">
        <f t="shared" si="34"/>
        <v>0</v>
      </c>
      <c r="H54" s="88">
        <f t="shared" si="35"/>
        <v>0</v>
      </c>
      <c r="I54" s="1387"/>
      <c r="J54" s="89"/>
      <c r="K54" s="1387"/>
      <c r="L54" s="89"/>
      <c r="M54" s="89"/>
      <c r="N54" s="89"/>
      <c r="O54" s="89"/>
      <c r="P54" s="89"/>
      <c r="Q54" s="89"/>
      <c r="R54" s="89"/>
      <c r="S54" s="89"/>
      <c r="T54" s="89"/>
      <c r="U54" s="89"/>
      <c r="V54" s="89"/>
      <c r="W54" s="89"/>
      <c r="X54" s="89"/>
      <c r="Y54" s="89"/>
      <c r="Z54" s="89"/>
      <c r="AA54" s="89"/>
      <c r="AB54" s="89"/>
      <c r="AC54" s="85">
        <f t="shared" si="36"/>
        <v>0</v>
      </c>
      <c r="AD54" s="90"/>
      <c r="AE54" s="90"/>
      <c r="AF54" s="1387"/>
      <c r="AG54" s="90"/>
      <c r="AH54" s="90"/>
      <c r="AI54" s="90"/>
      <c r="AJ54" s="90"/>
      <c r="AK54" s="90"/>
      <c r="AL54" s="90"/>
      <c r="AM54" s="90"/>
      <c r="AN54" s="90"/>
      <c r="AO54" s="90"/>
      <c r="AP54" s="90"/>
      <c r="AQ54" s="90"/>
      <c r="AR54" s="90"/>
      <c r="AS54" s="90"/>
      <c r="AT54" s="91"/>
      <c r="AU54" s="92"/>
      <c r="AV54" s="1959">
        <f t="shared" si="37"/>
        <v>0</v>
      </c>
      <c r="AW54" s="1959">
        <f t="shared" si="38"/>
        <v>0</v>
      </c>
      <c r="AX54" s="1959">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88"/>
      <c r="C55" s="1389"/>
      <c r="D55" s="78"/>
      <c r="E55" s="85">
        <f t="shared" si="33"/>
        <v>0</v>
      </c>
      <c r="F55" s="86"/>
      <c r="G55" s="87">
        <f t="shared" si="34"/>
        <v>0</v>
      </c>
      <c r="H55" s="88">
        <f t="shared" si="35"/>
        <v>0</v>
      </c>
      <c r="I55" s="1387"/>
      <c r="J55" s="89"/>
      <c r="K55" s="1387"/>
      <c r="L55" s="89"/>
      <c r="M55" s="1387"/>
      <c r="N55" s="89"/>
      <c r="O55" s="89"/>
      <c r="P55" s="89"/>
      <c r="Q55" s="89"/>
      <c r="R55" s="89"/>
      <c r="S55" s="89"/>
      <c r="T55" s="89"/>
      <c r="U55" s="89"/>
      <c r="V55" s="89"/>
      <c r="W55" s="89"/>
      <c r="X55" s="89"/>
      <c r="Y55" s="89"/>
      <c r="Z55" s="89"/>
      <c r="AA55" s="89"/>
      <c r="AB55" s="89"/>
      <c r="AC55" s="85">
        <f t="shared" si="36"/>
        <v>0</v>
      </c>
      <c r="AD55" s="90"/>
      <c r="AE55" s="90"/>
      <c r="AF55" s="1387"/>
      <c r="AG55" s="90"/>
      <c r="AH55" s="90"/>
      <c r="AI55" s="90"/>
      <c r="AJ55" s="90"/>
      <c r="AK55" s="90"/>
      <c r="AL55" s="90"/>
      <c r="AM55" s="90"/>
      <c r="AN55" s="90"/>
      <c r="AO55" s="90"/>
      <c r="AP55" s="90"/>
      <c r="AQ55" s="90"/>
      <c r="AR55" s="90"/>
      <c r="AS55" s="90"/>
      <c r="AT55" s="91"/>
      <c r="AU55" s="92"/>
      <c r="AV55" s="1959">
        <f t="shared" si="37"/>
        <v>0</v>
      </c>
      <c r="AW55" s="1959">
        <f t="shared" si="38"/>
        <v>0</v>
      </c>
      <c r="AX55" s="1959">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59">
        <f t="shared" si="37"/>
        <v>0</v>
      </c>
      <c r="AW56" s="1959">
        <f t="shared" si="38"/>
        <v>0</v>
      </c>
      <c r="AX56" s="1959">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59">
        <f t="shared" si="37"/>
        <v>0</v>
      </c>
      <c r="AW57" s="1959">
        <f t="shared" si="38"/>
        <v>0</v>
      </c>
      <c r="AX57" s="1959">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59">
        <f t="shared" si="37"/>
        <v>0</v>
      </c>
      <c r="AW58" s="1959">
        <f t="shared" si="38"/>
        <v>0</v>
      </c>
      <c r="AX58" s="1959">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59">
        <f t="shared" si="37"/>
        <v>0</v>
      </c>
      <c r="AW59" s="1959">
        <f t="shared" si="38"/>
        <v>0</v>
      </c>
      <c r="AX59" s="1959">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59">
        <f t="shared" si="37"/>
        <v>0</v>
      </c>
      <c r="AW60" s="1959">
        <f t="shared" si="38"/>
        <v>0</v>
      </c>
      <c r="AX60" s="1959">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59">
        <f t="shared" si="37"/>
        <v>0</v>
      </c>
      <c r="AW61" s="1959">
        <f t="shared" si="38"/>
        <v>0</v>
      </c>
      <c r="AX61" s="1959">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59">
        <f t="shared" si="37"/>
        <v>0</v>
      </c>
      <c r="AW62" s="1959">
        <f t="shared" si="38"/>
        <v>0</v>
      </c>
      <c r="AX62" s="1959">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59">
        <f t="shared" si="37"/>
        <v>0</v>
      </c>
      <c r="AW63" s="1959">
        <f t="shared" si="38"/>
        <v>0</v>
      </c>
      <c r="AX63" s="1959">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59">
        <f t="shared" si="37"/>
        <v>0</v>
      </c>
      <c r="AW64" s="1959">
        <f t="shared" si="38"/>
        <v>0</v>
      </c>
      <c r="AX64" s="1959">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59">
        <f t="shared" si="37"/>
        <v>0</v>
      </c>
      <c r="AW65" s="1959">
        <f t="shared" si="38"/>
        <v>0</v>
      </c>
      <c r="AX65" s="1959">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59">
        <f t="shared" si="37"/>
        <v>0</v>
      </c>
      <c r="AW66" s="1959">
        <f t="shared" si="38"/>
        <v>0</v>
      </c>
      <c r="AX66" s="1959">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59">
        <f t="shared" si="37"/>
        <v>0</v>
      </c>
      <c r="AW67" s="1959">
        <f t="shared" si="38"/>
        <v>0</v>
      </c>
      <c r="AX67" s="1959">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59">
        <f t="shared" si="37"/>
        <v>0</v>
      </c>
      <c r="AW68" s="1959">
        <f t="shared" si="38"/>
        <v>0</v>
      </c>
      <c r="AX68" s="1959">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59">
        <f t="shared" si="37"/>
        <v>0</v>
      </c>
      <c r="AW69" s="1959">
        <f t="shared" si="38"/>
        <v>0</v>
      </c>
      <c r="AX69" s="1959">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59">
        <f t="shared" si="37"/>
        <v>0</v>
      </c>
      <c r="AW70" s="1959">
        <f t="shared" si="38"/>
        <v>0</v>
      </c>
      <c r="AX70" s="1959">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59">
        <f t="shared" si="37"/>
        <v>0</v>
      </c>
      <c r="AW71" s="1959">
        <f t="shared" si="38"/>
        <v>0</v>
      </c>
      <c r="AX71" s="1959">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59">
        <f t="shared" si="37"/>
        <v>0</v>
      </c>
      <c r="AW72" s="1959">
        <f t="shared" si="38"/>
        <v>0</v>
      </c>
      <c r="AX72" s="1959">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59">
        <f t="shared" si="37"/>
        <v>0</v>
      </c>
      <c r="AW73" s="1959">
        <f t="shared" si="38"/>
        <v>0</v>
      </c>
      <c r="AX73" s="1959">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59">
        <f t="shared" si="37"/>
        <v>0</v>
      </c>
      <c r="AW74" s="1959">
        <f t="shared" si="38"/>
        <v>0</v>
      </c>
      <c r="AX74" s="1959">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59">
        <f t="shared" si="37"/>
        <v>0</v>
      </c>
      <c r="AW75" s="1959">
        <f t="shared" si="38"/>
        <v>0</v>
      </c>
      <c r="AX75" s="1959">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59">
        <f t="shared" si="37"/>
        <v>0</v>
      </c>
      <c r="AW76" s="1959">
        <f t="shared" si="38"/>
        <v>0</v>
      </c>
      <c r="AX76" s="1959">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59">
        <f t="shared" si="37"/>
        <v>0</v>
      </c>
      <c r="AW77" s="1959">
        <f t="shared" si="38"/>
        <v>0</v>
      </c>
      <c r="AX77" s="1959">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59">
        <f t="shared" si="37"/>
        <v>0</v>
      </c>
      <c r="AW78" s="1959">
        <f t="shared" si="38"/>
        <v>0</v>
      </c>
      <c r="AX78" s="1959">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59">
        <f t="shared" si="37"/>
        <v>0</v>
      </c>
      <c r="AW79" s="1959">
        <f t="shared" si="38"/>
        <v>0</v>
      </c>
      <c r="AX79" s="1959">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59">
        <f t="shared" si="37"/>
        <v>0</v>
      </c>
      <c r="AW80" s="1959">
        <f t="shared" si="38"/>
        <v>0</v>
      </c>
      <c r="AX80" s="1959">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59">
        <f t="shared" si="37"/>
        <v>0</v>
      </c>
      <c r="AW81" s="1959">
        <f t="shared" si="38"/>
        <v>0</v>
      </c>
      <c r="AX81" s="1959">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59">
        <f t="shared" si="37"/>
        <v>0</v>
      </c>
      <c r="AW82" s="1959">
        <f t="shared" si="38"/>
        <v>0</v>
      </c>
      <c r="AX82" s="1959">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59">
        <f t="shared" si="37"/>
        <v>0</v>
      </c>
      <c r="AW83" s="1959">
        <f t="shared" si="38"/>
        <v>0</v>
      </c>
      <c r="AX83" s="1959">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59">
        <f t="shared" si="37"/>
        <v>0</v>
      </c>
      <c r="AW84" s="1959">
        <f t="shared" si="38"/>
        <v>0</v>
      </c>
      <c r="AX84" s="1959">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59">
        <f t="shared" si="37"/>
        <v>0</v>
      </c>
      <c r="AW85" s="1959">
        <f t="shared" si="38"/>
        <v>0</v>
      </c>
      <c r="AX85" s="1959">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59">
        <f t="shared" si="37"/>
        <v>0</v>
      </c>
      <c r="AW86" s="1959">
        <f t="shared" si="38"/>
        <v>0</v>
      </c>
      <c r="AX86" s="1959">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59">
        <f t="shared" si="37"/>
        <v>0</v>
      </c>
      <c r="AW87" s="1959">
        <f t="shared" si="38"/>
        <v>0</v>
      </c>
      <c r="AX87" s="1959">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59">
        <f t="shared" si="37"/>
        <v>0</v>
      </c>
      <c r="AW88" s="1959">
        <f t="shared" si="38"/>
        <v>0</v>
      </c>
      <c r="AX88" s="1959">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59">
        <f t="shared" si="37"/>
        <v>0</v>
      </c>
      <c r="AW89" s="1959">
        <f t="shared" si="38"/>
        <v>0</v>
      </c>
      <c r="AX89" s="1959">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59">
        <f t="shared" si="37"/>
        <v>0</v>
      </c>
      <c r="AW90" s="1959">
        <f t="shared" si="38"/>
        <v>0</v>
      </c>
      <c r="AX90" s="1959">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59">
        <f t="shared" si="37"/>
        <v>0</v>
      </c>
      <c r="AW91" s="1959">
        <f t="shared" si="38"/>
        <v>0</v>
      </c>
      <c r="AX91" s="1959">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59">
        <f t="shared" si="37"/>
        <v>0</v>
      </c>
      <c r="AW92" s="1959">
        <f t="shared" si="38"/>
        <v>0</v>
      </c>
      <c r="AX92" s="1959">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59">
        <f t="shared" si="37"/>
        <v>0</v>
      </c>
      <c r="AW93" s="1959">
        <f t="shared" si="38"/>
        <v>0</v>
      </c>
      <c r="AX93" s="1959">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59">
        <f t="shared" si="37"/>
        <v>0</v>
      </c>
      <c r="AW94" s="1959">
        <f t="shared" si="38"/>
        <v>0</v>
      </c>
      <c r="AX94" s="1959">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59">
        <f t="shared" si="37"/>
        <v>0</v>
      </c>
      <c r="AW95" s="1959">
        <f t="shared" si="38"/>
        <v>0</v>
      </c>
      <c r="AX95" s="1959">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59">
        <f t="shared" si="37"/>
        <v>0</v>
      </c>
      <c r="AW96" s="1959">
        <f t="shared" si="38"/>
        <v>0</v>
      </c>
      <c r="AX96" s="1959">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59">
        <f t="shared" si="37"/>
        <v>0</v>
      </c>
      <c r="AW97" s="1959">
        <f t="shared" si="38"/>
        <v>0</v>
      </c>
      <c r="AX97" s="1959">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59">
        <f t="shared" si="37"/>
        <v>0</v>
      </c>
      <c r="AW98" s="1959">
        <f t="shared" si="38"/>
        <v>0</v>
      </c>
      <c r="AX98" s="1959">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59">
        <f t="shared" si="37"/>
        <v>0</v>
      </c>
      <c r="AW99" s="1959">
        <f t="shared" si="38"/>
        <v>0</v>
      </c>
      <c r="AX99" s="1959">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59">
        <f t="shared" si="37"/>
        <v>0</v>
      </c>
      <c r="AW100" s="1959">
        <f t="shared" si="38"/>
        <v>0</v>
      </c>
      <c r="AX100" s="1959">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59">
        <f t="shared" si="37"/>
        <v>0</v>
      </c>
      <c r="AW101" s="1959">
        <f t="shared" si="38"/>
        <v>0</v>
      </c>
      <c r="AX101" s="1959">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59">
        <f t="shared" si="37"/>
        <v>0</v>
      </c>
      <c r="AW102" s="1959">
        <f t="shared" si="38"/>
        <v>0</v>
      </c>
      <c r="AX102" s="1959">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59">
        <f t="shared" si="37"/>
        <v>0</v>
      </c>
      <c r="AW103" s="1959">
        <f t="shared" si="38"/>
        <v>0</v>
      </c>
      <c r="AX103" s="1959">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59">
        <f t="shared" si="37"/>
        <v>0</v>
      </c>
      <c r="AW104" s="1959">
        <f t="shared" si="38"/>
        <v>0</v>
      </c>
      <c r="AX104" s="1959">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59">
        <f t="shared" si="37"/>
        <v>0</v>
      </c>
      <c r="AW105" s="1959">
        <f t="shared" si="38"/>
        <v>0</v>
      </c>
      <c r="AX105" s="1959">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59">
        <f t="shared" si="37"/>
        <v>0</v>
      </c>
      <c r="AW106" s="1959">
        <f t="shared" si="38"/>
        <v>0</v>
      </c>
      <c r="AX106" s="1959">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59">
        <f t="shared" si="37"/>
        <v>0</v>
      </c>
      <c r="AW107" s="1959">
        <f t="shared" si="38"/>
        <v>0</v>
      </c>
      <c r="AX107" s="1959">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59">
        <f t="shared" si="37"/>
        <v>0</v>
      </c>
      <c r="AW108" s="1959">
        <f t="shared" si="38"/>
        <v>0</v>
      </c>
      <c r="AX108" s="1959">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59">
        <f t="shared" si="37"/>
        <v>0</v>
      </c>
      <c r="AW109" s="1959">
        <f t="shared" si="38"/>
        <v>0</v>
      </c>
      <c r="AX109" s="1959">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59">
        <f t="shared" si="37"/>
        <v>0</v>
      </c>
      <c r="AW110" s="1959">
        <f t="shared" si="38"/>
        <v>0</v>
      </c>
      <c r="AX110" s="1959">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59">
        <f t="shared" si="37"/>
        <v>0</v>
      </c>
      <c r="AW111" s="1959">
        <f t="shared" si="38"/>
        <v>0</v>
      </c>
      <c r="AX111" s="1959">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59">
        <f t="shared" si="37"/>
        <v>0</v>
      </c>
      <c r="AW112" s="1959">
        <f t="shared" si="38"/>
        <v>0</v>
      </c>
      <c r="AX112" s="1959">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6"/>
      <c r="C113" s="1387"/>
      <c r="D113" s="78"/>
      <c r="E113" s="85">
        <f t="shared" ref="E113:E144" si="87">IF($C$3="是",ROUND($A$3*G113/$B$3,2),ROUND($A$3*(G113-AT113)/$B$3,2))</f>
        <v>0</v>
      </c>
      <c r="F113" s="86"/>
      <c r="G113" s="87">
        <f t="shared" si="62"/>
        <v>0</v>
      </c>
      <c r="H113" s="88">
        <f t="shared" si="63"/>
        <v>0</v>
      </c>
      <c r="I113" s="1389"/>
      <c r="J113" s="89"/>
      <c r="K113" s="1389"/>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0"/>
      <c r="AG113" s="90"/>
      <c r="AH113" s="90"/>
      <c r="AI113" s="90"/>
      <c r="AJ113" s="90"/>
      <c r="AK113" s="90"/>
      <c r="AL113" s="90"/>
      <c r="AM113" s="90"/>
      <c r="AN113" s="1358"/>
      <c r="AO113" s="90"/>
      <c r="AP113" s="90"/>
      <c r="AQ113" s="90"/>
      <c r="AR113" s="90"/>
      <c r="AS113" s="90"/>
      <c r="AT113" s="91"/>
      <c r="AU113" s="92"/>
      <c r="AV113" s="1959">
        <f t="shared" ref="AV113:AV144" si="88">A113</f>
        <v>0</v>
      </c>
      <c r="AW113" s="1959">
        <f t="shared" ref="AW113:AW144" si="89">B113</f>
        <v>0</v>
      </c>
      <c r="AX113" s="1959">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6"/>
      <c r="C114" s="1387"/>
      <c r="D114" s="78"/>
      <c r="E114" s="85">
        <f t="shared" si="87"/>
        <v>0</v>
      </c>
      <c r="F114" s="86"/>
      <c r="G114" s="87">
        <f t="shared" si="62"/>
        <v>0</v>
      </c>
      <c r="H114" s="88">
        <f t="shared" si="63"/>
        <v>0</v>
      </c>
      <c r="I114" s="1389"/>
      <c r="J114" s="89"/>
      <c r="K114" s="1389"/>
      <c r="L114" s="89"/>
      <c r="M114" s="1358"/>
      <c r="N114" s="89"/>
      <c r="O114" s="89"/>
      <c r="P114" s="89"/>
      <c r="Q114" s="89"/>
      <c r="R114" s="89"/>
      <c r="S114" s="89"/>
      <c r="T114" s="89"/>
      <c r="U114" s="89"/>
      <c r="V114" s="89"/>
      <c r="W114" s="89"/>
      <c r="X114" s="89"/>
      <c r="Y114" s="89"/>
      <c r="Z114" s="89"/>
      <c r="AA114" s="89"/>
      <c r="AB114" s="89"/>
      <c r="AC114" s="85">
        <f t="shared" si="64"/>
        <v>0</v>
      </c>
      <c r="AD114" s="1358"/>
      <c r="AE114" s="90"/>
      <c r="AF114" s="1390"/>
      <c r="AG114" s="90"/>
      <c r="AH114" s="90"/>
      <c r="AI114" s="90"/>
      <c r="AJ114" s="90"/>
      <c r="AK114" s="90"/>
      <c r="AL114" s="1358"/>
      <c r="AM114" s="90"/>
      <c r="AN114" s="1358"/>
      <c r="AO114" s="90"/>
      <c r="AP114" s="90"/>
      <c r="AQ114" s="90"/>
      <c r="AR114" s="90"/>
      <c r="AS114" s="90"/>
      <c r="AT114" s="91"/>
      <c r="AU114" s="92"/>
      <c r="AV114" s="1959">
        <f t="shared" si="88"/>
        <v>0</v>
      </c>
      <c r="AW114" s="1959">
        <f t="shared" si="89"/>
        <v>0</v>
      </c>
      <c r="AX114" s="1959">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6"/>
      <c r="C115" s="1387"/>
      <c r="D115" s="78"/>
      <c r="E115" s="85">
        <f t="shared" si="87"/>
        <v>0</v>
      </c>
      <c r="F115" s="86"/>
      <c r="G115" s="87">
        <f t="shared" si="62"/>
        <v>0</v>
      </c>
      <c r="H115" s="88">
        <f t="shared" si="63"/>
        <v>0</v>
      </c>
      <c r="I115" s="1389"/>
      <c r="J115" s="89"/>
      <c r="K115" s="1389"/>
      <c r="L115" s="89"/>
      <c r="M115" s="1358"/>
      <c r="N115" s="89"/>
      <c r="O115" s="89"/>
      <c r="P115" s="89"/>
      <c r="Q115" s="89"/>
      <c r="R115" s="89"/>
      <c r="S115" s="89"/>
      <c r="T115" s="89"/>
      <c r="U115" s="89"/>
      <c r="V115" s="89"/>
      <c r="W115" s="89"/>
      <c r="X115" s="89"/>
      <c r="Y115" s="89"/>
      <c r="Z115" s="89"/>
      <c r="AA115" s="89"/>
      <c r="AB115" s="89"/>
      <c r="AC115" s="85">
        <f t="shared" si="64"/>
        <v>0</v>
      </c>
      <c r="AD115" s="90"/>
      <c r="AE115" s="90"/>
      <c r="AF115" s="1390"/>
      <c r="AG115" s="90"/>
      <c r="AH115" s="90"/>
      <c r="AI115" s="90"/>
      <c r="AJ115" s="90"/>
      <c r="AK115" s="90"/>
      <c r="AL115" s="1358"/>
      <c r="AM115" s="90"/>
      <c r="AN115" s="1358"/>
      <c r="AO115" s="90"/>
      <c r="AP115" s="90"/>
      <c r="AQ115" s="90"/>
      <c r="AR115" s="90"/>
      <c r="AS115" s="90"/>
      <c r="AT115" s="91"/>
      <c r="AU115" s="92"/>
      <c r="AV115" s="1959">
        <f t="shared" si="88"/>
        <v>0</v>
      </c>
      <c r="AW115" s="1959">
        <f t="shared" si="89"/>
        <v>0</v>
      </c>
      <c r="AX115" s="1959">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6"/>
      <c r="C116" s="1387"/>
      <c r="D116" s="78"/>
      <c r="E116" s="85">
        <f t="shared" si="87"/>
        <v>0</v>
      </c>
      <c r="F116" s="86"/>
      <c r="G116" s="87">
        <f t="shared" si="62"/>
        <v>0</v>
      </c>
      <c r="H116" s="88">
        <f t="shared" si="63"/>
        <v>0</v>
      </c>
      <c r="I116" s="1389"/>
      <c r="J116" s="89"/>
      <c r="K116" s="1389"/>
      <c r="L116" s="89"/>
      <c r="M116" s="89"/>
      <c r="N116" s="89"/>
      <c r="O116" s="1358"/>
      <c r="P116" s="89"/>
      <c r="Q116" s="89"/>
      <c r="R116" s="89"/>
      <c r="S116" s="89"/>
      <c r="T116" s="89"/>
      <c r="U116" s="89"/>
      <c r="V116" s="89"/>
      <c r="W116" s="89"/>
      <c r="X116" s="89"/>
      <c r="Y116" s="89"/>
      <c r="Z116" s="89"/>
      <c r="AA116" s="89"/>
      <c r="AB116" s="89"/>
      <c r="AC116" s="85">
        <f t="shared" si="64"/>
        <v>0</v>
      </c>
      <c r="AD116" s="90"/>
      <c r="AE116" s="90"/>
      <c r="AF116" s="1390"/>
      <c r="AG116" s="90"/>
      <c r="AH116" s="90"/>
      <c r="AI116" s="90"/>
      <c r="AJ116" s="90"/>
      <c r="AK116" s="90"/>
      <c r="AL116" s="90"/>
      <c r="AM116" s="90"/>
      <c r="AN116" s="1358"/>
      <c r="AO116" s="90"/>
      <c r="AP116" s="90"/>
      <c r="AQ116" s="90"/>
      <c r="AR116" s="90"/>
      <c r="AS116" s="90"/>
      <c r="AT116" s="91"/>
      <c r="AU116" s="92"/>
      <c r="AV116" s="1959">
        <f t="shared" si="88"/>
        <v>0</v>
      </c>
      <c r="AW116" s="1959">
        <f t="shared" si="89"/>
        <v>0</v>
      </c>
      <c r="AX116" s="1959">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6"/>
      <c r="C117" s="1387"/>
      <c r="D117" s="78"/>
      <c r="E117" s="85">
        <f t="shared" si="87"/>
        <v>0</v>
      </c>
      <c r="F117" s="86"/>
      <c r="G117" s="87">
        <f t="shared" si="62"/>
        <v>0</v>
      </c>
      <c r="H117" s="88">
        <f t="shared" si="63"/>
        <v>0</v>
      </c>
      <c r="I117" s="1389"/>
      <c r="J117" s="89"/>
      <c r="K117" s="1389"/>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0"/>
      <c r="AG117" s="90"/>
      <c r="AH117" s="90"/>
      <c r="AI117" s="90"/>
      <c r="AJ117" s="90"/>
      <c r="AK117" s="90"/>
      <c r="AL117" s="90"/>
      <c r="AM117" s="90"/>
      <c r="AN117" s="90"/>
      <c r="AO117" s="90"/>
      <c r="AP117" s="90"/>
      <c r="AQ117" s="90"/>
      <c r="AR117" s="90"/>
      <c r="AS117" s="90"/>
      <c r="AT117" s="91"/>
      <c r="AU117" s="92"/>
      <c r="AV117" s="1959">
        <f t="shared" si="88"/>
        <v>0</v>
      </c>
      <c r="AW117" s="1959">
        <f t="shared" si="89"/>
        <v>0</v>
      </c>
      <c r="AX117" s="1959">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6"/>
      <c r="C118" s="1387"/>
      <c r="D118" s="78"/>
      <c r="E118" s="85">
        <f t="shared" si="87"/>
        <v>0</v>
      </c>
      <c r="F118" s="86"/>
      <c r="G118" s="87">
        <f t="shared" si="62"/>
        <v>0</v>
      </c>
      <c r="H118" s="88">
        <f t="shared" si="63"/>
        <v>0</v>
      </c>
      <c r="I118" s="1389"/>
      <c r="J118" s="89"/>
      <c r="K118" s="1389"/>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0"/>
      <c r="AG118" s="90"/>
      <c r="AH118" s="90"/>
      <c r="AI118" s="90"/>
      <c r="AJ118" s="90"/>
      <c r="AK118" s="90"/>
      <c r="AL118" s="90"/>
      <c r="AM118" s="90"/>
      <c r="AN118" s="90"/>
      <c r="AO118" s="90"/>
      <c r="AP118" s="90"/>
      <c r="AQ118" s="90"/>
      <c r="AR118" s="90"/>
      <c r="AS118" s="90"/>
      <c r="AT118" s="91"/>
      <c r="AU118" s="92"/>
      <c r="AV118" s="1959">
        <f t="shared" si="88"/>
        <v>0</v>
      </c>
      <c r="AW118" s="1959">
        <f t="shared" si="89"/>
        <v>0</v>
      </c>
      <c r="AX118" s="1959">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6"/>
      <c r="C119" s="1387"/>
      <c r="D119" s="78"/>
      <c r="E119" s="85">
        <f t="shared" si="87"/>
        <v>0</v>
      </c>
      <c r="F119" s="86"/>
      <c r="G119" s="87">
        <f t="shared" si="62"/>
        <v>0</v>
      </c>
      <c r="H119" s="88">
        <f t="shared" si="63"/>
        <v>0</v>
      </c>
      <c r="I119" s="1389"/>
      <c r="J119" s="89"/>
      <c r="K119" s="1389"/>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0"/>
      <c r="AG119" s="90"/>
      <c r="AH119" s="90"/>
      <c r="AI119" s="90"/>
      <c r="AJ119" s="90"/>
      <c r="AK119" s="90"/>
      <c r="AL119" s="90"/>
      <c r="AM119" s="90"/>
      <c r="AN119" s="90"/>
      <c r="AO119" s="90"/>
      <c r="AP119" s="90"/>
      <c r="AQ119" s="90"/>
      <c r="AR119" s="90"/>
      <c r="AS119" s="90"/>
      <c r="AT119" s="91"/>
      <c r="AU119" s="92"/>
      <c r="AV119" s="1959">
        <f t="shared" si="88"/>
        <v>0</v>
      </c>
      <c r="AW119" s="1959">
        <f t="shared" si="89"/>
        <v>0</v>
      </c>
      <c r="AX119" s="1959">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6"/>
      <c r="C120" s="1387"/>
      <c r="D120" s="78"/>
      <c r="E120" s="85">
        <f t="shared" si="87"/>
        <v>0</v>
      </c>
      <c r="F120" s="86"/>
      <c r="G120" s="87">
        <f t="shared" si="62"/>
        <v>0</v>
      </c>
      <c r="H120" s="88">
        <f t="shared" si="63"/>
        <v>0</v>
      </c>
      <c r="I120" s="1389"/>
      <c r="J120" s="89"/>
      <c r="K120" s="138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89"/>
      <c r="AG120" s="90"/>
      <c r="AH120" s="90"/>
      <c r="AI120" s="90"/>
      <c r="AJ120" s="90"/>
      <c r="AK120" s="90"/>
      <c r="AL120" s="90"/>
      <c r="AM120" s="90"/>
      <c r="AN120" s="90"/>
      <c r="AO120" s="90"/>
      <c r="AP120" s="90"/>
      <c r="AQ120" s="90"/>
      <c r="AR120" s="90"/>
      <c r="AS120" s="90"/>
      <c r="AT120" s="91"/>
      <c r="AU120" s="92"/>
      <c r="AV120" s="1959">
        <f t="shared" si="88"/>
        <v>0</v>
      </c>
      <c r="AW120" s="1959">
        <f t="shared" si="89"/>
        <v>0</v>
      </c>
      <c r="AX120" s="1959">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88"/>
      <c r="C121" s="1389"/>
      <c r="D121" s="78"/>
      <c r="E121" s="85">
        <f t="shared" si="87"/>
        <v>0</v>
      </c>
      <c r="F121" s="86"/>
      <c r="G121" s="87">
        <f t="shared" si="62"/>
        <v>0</v>
      </c>
      <c r="H121" s="88">
        <f t="shared" si="63"/>
        <v>0</v>
      </c>
      <c r="I121" s="1389"/>
      <c r="J121" s="89"/>
      <c r="K121" s="138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89"/>
      <c r="AG121" s="90"/>
      <c r="AH121" s="90"/>
      <c r="AI121" s="90"/>
      <c r="AJ121" s="90"/>
      <c r="AK121" s="90"/>
      <c r="AL121" s="90"/>
      <c r="AM121" s="90"/>
      <c r="AN121" s="90"/>
      <c r="AO121" s="90"/>
      <c r="AP121" s="90"/>
      <c r="AQ121" s="90"/>
      <c r="AR121" s="90"/>
      <c r="AS121" s="90"/>
      <c r="AT121" s="91"/>
      <c r="AU121" s="92"/>
      <c r="AV121" s="1959">
        <f t="shared" si="88"/>
        <v>0</v>
      </c>
      <c r="AW121" s="1959">
        <f t="shared" si="89"/>
        <v>0</v>
      </c>
      <c r="AX121" s="1959">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6"/>
      <c r="C122" s="1387"/>
      <c r="D122" s="78"/>
      <c r="E122" s="85">
        <f t="shared" si="87"/>
        <v>0</v>
      </c>
      <c r="F122" s="86"/>
      <c r="G122" s="87">
        <f t="shared" si="62"/>
        <v>0</v>
      </c>
      <c r="H122" s="88">
        <f t="shared" si="63"/>
        <v>0</v>
      </c>
      <c r="I122" s="1389"/>
      <c r="J122" s="89"/>
      <c r="K122" s="138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89"/>
      <c r="AG122" s="90"/>
      <c r="AH122" s="90"/>
      <c r="AI122" s="90"/>
      <c r="AJ122" s="90"/>
      <c r="AK122" s="90"/>
      <c r="AL122" s="90"/>
      <c r="AM122" s="90"/>
      <c r="AN122" s="90"/>
      <c r="AO122" s="90"/>
      <c r="AP122" s="90"/>
      <c r="AQ122" s="90"/>
      <c r="AR122" s="90"/>
      <c r="AS122" s="90"/>
      <c r="AT122" s="91"/>
      <c r="AU122" s="92"/>
      <c r="AV122" s="1959">
        <f t="shared" si="88"/>
        <v>0</v>
      </c>
      <c r="AW122" s="1959">
        <f t="shared" si="89"/>
        <v>0</v>
      </c>
      <c r="AX122" s="1959">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6"/>
      <c r="C123" s="1387"/>
      <c r="D123" s="78"/>
      <c r="E123" s="85">
        <f t="shared" si="87"/>
        <v>0</v>
      </c>
      <c r="F123" s="86"/>
      <c r="G123" s="87">
        <f t="shared" si="62"/>
        <v>0</v>
      </c>
      <c r="H123" s="88">
        <f t="shared" si="63"/>
        <v>0</v>
      </c>
      <c r="I123" s="1389"/>
      <c r="J123" s="89"/>
      <c r="K123" s="138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89"/>
      <c r="AG123" s="90"/>
      <c r="AH123" s="90"/>
      <c r="AI123" s="90"/>
      <c r="AJ123" s="90"/>
      <c r="AK123" s="90"/>
      <c r="AL123" s="90"/>
      <c r="AM123" s="90"/>
      <c r="AN123" s="90"/>
      <c r="AO123" s="90"/>
      <c r="AP123" s="90"/>
      <c r="AQ123" s="90"/>
      <c r="AR123" s="90"/>
      <c r="AS123" s="90"/>
      <c r="AT123" s="91"/>
      <c r="AU123" s="92"/>
      <c r="AV123" s="1959">
        <f t="shared" si="88"/>
        <v>0</v>
      </c>
      <c r="AW123" s="1959">
        <f t="shared" si="89"/>
        <v>0</v>
      </c>
      <c r="AX123" s="1959">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6"/>
      <c r="C124" s="1387"/>
      <c r="D124" s="78"/>
      <c r="E124" s="85">
        <f t="shared" si="87"/>
        <v>0</v>
      </c>
      <c r="F124" s="86"/>
      <c r="G124" s="87">
        <f t="shared" si="62"/>
        <v>0</v>
      </c>
      <c r="H124" s="88">
        <f t="shared" si="63"/>
        <v>0</v>
      </c>
      <c r="I124" s="1389"/>
      <c r="J124" s="89"/>
      <c r="K124" s="138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89"/>
      <c r="AG124" s="90"/>
      <c r="AH124" s="90"/>
      <c r="AI124" s="90"/>
      <c r="AJ124" s="90"/>
      <c r="AK124" s="90"/>
      <c r="AL124" s="90"/>
      <c r="AM124" s="90"/>
      <c r="AN124" s="90"/>
      <c r="AO124" s="90"/>
      <c r="AP124" s="90"/>
      <c r="AQ124" s="90"/>
      <c r="AR124" s="90"/>
      <c r="AS124" s="90"/>
      <c r="AT124" s="91"/>
      <c r="AU124" s="92"/>
      <c r="AV124" s="1959">
        <f t="shared" si="88"/>
        <v>0</v>
      </c>
      <c r="AW124" s="1959">
        <f t="shared" si="89"/>
        <v>0</v>
      </c>
      <c r="AX124" s="1959">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6"/>
      <c r="C125" s="1387"/>
      <c r="D125" s="78"/>
      <c r="E125" s="85">
        <f t="shared" si="87"/>
        <v>0</v>
      </c>
      <c r="F125" s="86"/>
      <c r="G125" s="87">
        <f t="shared" si="62"/>
        <v>0</v>
      </c>
      <c r="H125" s="88">
        <f t="shared" si="63"/>
        <v>0</v>
      </c>
      <c r="I125" s="1389"/>
      <c r="J125" s="89"/>
      <c r="K125" s="138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89"/>
      <c r="AG125" s="90"/>
      <c r="AH125" s="90"/>
      <c r="AI125" s="90"/>
      <c r="AJ125" s="90"/>
      <c r="AK125" s="90"/>
      <c r="AL125" s="90"/>
      <c r="AM125" s="90"/>
      <c r="AN125" s="90"/>
      <c r="AO125" s="90"/>
      <c r="AP125" s="90"/>
      <c r="AQ125" s="90"/>
      <c r="AR125" s="90"/>
      <c r="AS125" s="90"/>
      <c r="AT125" s="91"/>
      <c r="AU125" s="92"/>
      <c r="AV125" s="1959">
        <f t="shared" si="88"/>
        <v>0</v>
      </c>
      <c r="AW125" s="1959">
        <f t="shared" si="89"/>
        <v>0</v>
      </c>
      <c r="AX125" s="1959">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6"/>
      <c r="C126" s="1387"/>
      <c r="D126" s="78"/>
      <c r="E126" s="85">
        <f t="shared" si="87"/>
        <v>0</v>
      </c>
      <c r="F126" s="86"/>
      <c r="G126" s="87">
        <f t="shared" si="62"/>
        <v>0</v>
      </c>
      <c r="H126" s="88">
        <f t="shared" si="63"/>
        <v>0</v>
      </c>
      <c r="I126" s="1389"/>
      <c r="J126" s="89"/>
      <c r="K126" s="138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89"/>
      <c r="AG126" s="90"/>
      <c r="AH126" s="90"/>
      <c r="AI126" s="90"/>
      <c r="AJ126" s="90"/>
      <c r="AK126" s="90"/>
      <c r="AL126" s="90"/>
      <c r="AM126" s="90"/>
      <c r="AN126" s="90"/>
      <c r="AO126" s="90"/>
      <c r="AP126" s="90"/>
      <c r="AQ126" s="90"/>
      <c r="AR126" s="90"/>
      <c r="AS126" s="90"/>
      <c r="AT126" s="91"/>
      <c r="AU126" s="92"/>
      <c r="AV126" s="1959">
        <f t="shared" si="88"/>
        <v>0</v>
      </c>
      <c r="AW126" s="1959">
        <f t="shared" si="89"/>
        <v>0</v>
      </c>
      <c r="AX126" s="1959">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6"/>
      <c r="C127" s="1387"/>
      <c r="D127" s="78"/>
      <c r="E127" s="85">
        <f t="shared" si="87"/>
        <v>0</v>
      </c>
      <c r="F127" s="86"/>
      <c r="G127" s="87">
        <f t="shared" si="62"/>
        <v>0</v>
      </c>
      <c r="H127" s="88">
        <f t="shared" si="63"/>
        <v>0</v>
      </c>
      <c r="I127" s="1389"/>
      <c r="J127" s="89"/>
      <c r="K127" s="138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89"/>
      <c r="AG127" s="90"/>
      <c r="AH127" s="90"/>
      <c r="AI127" s="90"/>
      <c r="AJ127" s="90"/>
      <c r="AK127" s="90"/>
      <c r="AL127" s="90"/>
      <c r="AM127" s="90"/>
      <c r="AN127" s="90"/>
      <c r="AO127" s="90"/>
      <c r="AP127" s="90"/>
      <c r="AQ127" s="90"/>
      <c r="AR127" s="90"/>
      <c r="AS127" s="90"/>
      <c r="AT127" s="91"/>
      <c r="AU127" s="92"/>
      <c r="AV127" s="1959">
        <f t="shared" si="88"/>
        <v>0</v>
      </c>
      <c r="AW127" s="1959">
        <f t="shared" si="89"/>
        <v>0</v>
      </c>
      <c r="AX127" s="1959">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6"/>
      <c r="C128" s="1387"/>
      <c r="D128" s="78"/>
      <c r="E128" s="85">
        <f t="shared" si="87"/>
        <v>0</v>
      </c>
      <c r="F128" s="86"/>
      <c r="G128" s="87">
        <f t="shared" si="62"/>
        <v>0</v>
      </c>
      <c r="H128" s="88">
        <f t="shared" si="63"/>
        <v>0</v>
      </c>
      <c r="I128" s="1389"/>
      <c r="J128" s="89"/>
      <c r="K128" s="138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89"/>
      <c r="AG128" s="90"/>
      <c r="AH128" s="90"/>
      <c r="AI128" s="90"/>
      <c r="AJ128" s="90"/>
      <c r="AK128" s="90"/>
      <c r="AL128" s="90"/>
      <c r="AM128" s="90"/>
      <c r="AN128" s="90"/>
      <c r="AO128" s="90"/>
      <c r="AP128" s="90"/>
      <c r="AQ128" s="90"/>
      <c r="AR128" s="90"/>
      <c r="AS128" s="90"/>
      <c r="AT128" s="91"/>
      <c r="AU128" s="92"/>
      <c r="AV128" s="1959">
        <f t="shared" si="88"/>
        <v>0</v>
      </c>
      <c r="AW128" s="1959">
        <f t="shared" si="89"/>
        <v>0</v>
      </c>
      <c r="AX128" s="1959">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6"/>
      <c r="C129" s="1387"/>
      <c r="D129" s="78"/>
      <c r="E129" s="85">
        <f t="shared" si="87"/>
        <v>0</v>
      </c>
      <c r="F129" s="86"/>
      <c r="G129" s="87">
        <f t="shared" si="62"/>
        <v>0</v>
      </c>
      <c r="H129" s="88">
        <f t="shared" si="63"/>
        <v>0</v>
      </c>
      <c r="I129" s="1389"/>
      <c r="J129" s="89"/>
      <c r="K129" s="138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89"/>
      <c r="AG129" s="90"/>
      <c r="AH129" s="90"/>
      <c r="AI129" s="90"/>
      <c r="AJ129" s="90"/>
      <c r="AK129" s="90"/>
      <c r="AL129" s="90"/>
      <c r="AM129" s="90"/>
      <c r="AN129" s="90"/>
      <c r="AO129" s="90"/>
      <c r="AP129" s="90"/>
      <c r="AQ129" s="90"/>
      <c r="AR129" s="90"/>
      <c r="AS129" s="90"/>
      <c r="AT129" s="91"/>
      <c r="AU129" s="92"/>
      <c r="AV129" s="1959">
        <f t="shared" si="88"/>
        <v>0</v>
      </c>
      <c r="AW129" s="1959">
        <f t="shared" si="89"/>
        <v>0</v>
      </c>
      <c r="AX129" s="1959">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6"/>
      <c r="C130" s="1387"/>
      <c r="D130" s="78"/>
      <c r="E130" s="85">
        <f t="shared" si="87"/>
        <v>0</v>
      </c>
      <c r="F130" s="86"/>
      <c r="G130" s="87">
        <f t="shared" si="62"/>
        <v>0</v>
      </c>
      <c r="H130" s="88">
        <f t="shared" si="63"/>
        <v>0</v>
      </c>
      <c r="I130" s="1389"/>
      <c r="J130" s="89"/>
      <c r="K130" s="138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89"/>
      <c r="AG130" s="90"/>
      <c r="AH130" s="90"/>
      <c r="AI130" s="90"/>
      <c r="AJ130" s="90"/>
      <c r="AK130" s="90"/>
      <c r="AL130" s="90"/>
      <c r="AM130" s="90"/>
      <c r="AN130" s="90"/>
      <c r="AO130" s="90"/>
      <c r="AP130" s="90"/>
      <c r="AQ130" s="90"/>
      <c r="AR130" s="90"/>
      <c r="AS130" s="90"/>
      <c r="AT130" s="91"/>
      <c r="AU130" s="92"/>
      <c r="AV130" s="1959">
        <f t="shared" si="88"/>
        <v>0</v>
      </c>
      <c r="AW130" s="1959">
        <f t="shared" si="89"/>
        <v>0</v>
      </c>
      <c r="AX130" s="1959">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6"/>
      <c r="C131" s="1387"/>
      <c r="D131" s="78"/>
      <c r="E131" s="85">
        <f t="shared" si="87"/>
        <v>0</v>
      </c>
      <c r="F131" s="86"/>
      <c r="G131" s="87">
        <f t="shared" si="62"/>
        <v>0</v>
      </c>
      <c r="H131" s="88">
        <f t="shared" si="63"/>
        <v>0</v>
      </c>
      <c r="I131" s="1389"/>
      <c r="J131" s="89"/>
      <c r="K131" s="138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89"/>
      <c r="AG131" s="90"/>
      <c r="AH131" s="90"/>
      <c r="AI131" s="90"/>
      <c r="AJ131" s="90"/>
      <c r="AK131" s="90"/>
      <c r="AL131" s="90"/>
      <c r="AM131" s="90"/>
      <c r="AN131" s="90"/>
      <c r="AO131" s="90"/>
      <c r="AP131" s="90"/>
      <c r="AQ131" s="90"/>
      <c r="AR131" s="90"/>
      <c r="AS131" s="90"/>
      <c r="AT131" s="91"/>
      <c r="AU131" s="92"/>
      <c r="AV131" s="1959">
        <f t="shared" si="88"/>
        <v>0</v>
      </c>
      <c r="AW131" s="1959">
        <f t="shared" si="89"/>
        <v>0</v>
      </c>
      <c r="AX131" s="1959">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6"/>
      <c r="C132" s="1387"/>
      <c r="D132" s="78"/>
      <c r="E132" s="85">
        <f t="shared" si="87"/>
        <v>0</v>
      </c>
      <c r="F132" s="86"/>
      <c r="G132" s="87">
        <f t="shared" si="62"/>
        <v>0</v>
      </c>
      <c r="H132" s="88">
        <f t="shared" si="63"/>
        <v>0</v>
      </c>
      <c r="I132" s="1389"/>
      <c r="J132" s="89"/>
      <c r="K132" s="138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89"/>
      <c r="AG132" s="90"/>
      <c r="AH132" s="90"/>
      <c r="AI132" s="90"/>
      <c r="AJ132" s="90"/>
      <c r="AK132" s="90"/>
      <c r="AL132" s="90"/>
      <c r="AM132" s="90"/>
      <c r="AN132" s="90"/>
      <c r="AO132" s="90"/>
      <c r="AP132" s="90"/>
      <c r="AQ132" s="90"/>
      <c r="AR132" s="90"/>
      <c r="AS132" s="90"/>
      <c r="AT132" s="91"/>
      <c r="AU132" s="92"/>
      <c r="AV132" s="1959">
        <f t="shared" si="88"/>
        <v>0</v>
      </c>
      <c r="AW132" s="1959">
        <f t="shared" si="89"/>
        <v>0</v>
      </c>
      <c r="AX132" s="1959">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6"/>
      <c r="C133" s="1387"/>
      <c r="D133" s="78"/>
      <c r="E133" s="85">
        <f t="shared" si="87"/>
        <v>0</v>
      </c>
      <c r="F133" s="86"/>
      <c r="G133" s="87">
        <f t="shared" si="62"/>
        <v>0</v>
      </c>
      <c r="H133" s="88">
        <f t="shared" si="63"/>
        <v>0</v>
      </c>
      <c r="I133" s="1389"/>
      <c r="J133" s="89"/>
      <c r="K133" s="138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89"/>
      <c r="AG133" s="90"/>
      <c r="AH133" s="90"/>
      <c r="AI133" s="90"/>
      <c r="AJ133" s="90"/>
      <c r="AK133" s="90"/>
      <c r="AL133" s="90"/>
      <c r="AM133" s="90"/>
      <c r="AN133" s="90"/>
      <c r="AO133" s="90"/>
      <c r="AP133" s="90"/>
      <c r="AQ133" s="90"/>
      <c r="AR133" s="90"/>
      <c r="AS133" s="90"/>
      <c r="AT133" s="91"/>
      <c r="AU133" s="92"/>
      <c r="AV133" s="1959">
        <f t="shared" si="88"/>
        <v>0</v>
      </c>
      <c r="AW133" s="1959">
        <f t="shared" si="89"/>
        <v>0</v>
      </c>
      <c r="AX133" s="1959">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6"/>
      <c r="C134" s="1387"/>
      <c r="D134" s="78"/>
      <c r="E134" s="85">
        <f t="shared" si="87"/>
        <v>0</v>
      </c>
      <c r="F134" s="86"/>
      <c r="G134" s="87">
        <f t="shared" si="62"/>
        <v>0</v>
      </c>
      <c r="H134" s="88">
        <f t="shared" si="63"/>
        <v>0</v>
      </c>
      <c r="I134" s="1389"/>
      <c r="J134" s="89"/>
      <c r="K134" s="138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89"/>
      <c r="AG134" s="90"/>
      <c r="AH134" s="90"/>
      <c r="AI134" s="90"/>
      <c r="AJ134" s="90"/>
      <c r="AK134" s="90"/>
      <c r="AL134" s="90"/>
      <c r="AM134" s="90"/>
      <c r="AN134" s="90"/>
      <c r="AO134" s="90"/>
      <c r="AP134" s="90"/>
      <c r="AQ134" s="90"/>
      <c r="AR134" s="90"/>
      <c r="AS134" s="90"/>
      <c r="AT134" s="91"/>
      <c r="AU134" s="92"/>
      <c r="AV134" s="1959">
        <f t="shared" si="88"/>
        <v>0</v>
      </c>
      <c r="AW134" s="1959">
        <f t="shared" si="89"/>
        <v>0</v>
      </c>
      <c r="AX134" s="1959">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6"/>
      <c r="C135" s="1387"/>
      <c r="D135" s="78"/>
      <c r="E135" s="85">
        <f t="shared" si="87"/>
        <v>0</v>
      </c>
      <c r="F135" s="86"/>
      <c r="G135" s="87">
        <f t="shared" si="62"/>
        <v>0</v>
      </c>
      <c r="H135" s="88">
        <f t="shared" si="63"/>
        <v>0</v>
      </c>
      <c r="I135" s="1389"/>
      <c r="J135" s="89"/>
      <c r="K135" s="138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89"/>
      <c r="AG135" s="90"/>
      <c r="AH135" s="90"/>
      <c r="AI135" s="90"/>
      <c r="AJ135" s="90"/>
      <c r="AK135" s="90"/>
      <c r="AL135" s="90"/>
      <c r="AM135" s="90"/>
      <c r="AN135" s="90"/>
      <c r="AO135" s="90"/>
      <c r="AP135" s="90"/>
      <c r="AQ135" s="90"/>
      <c r="AR135" s="90"/>
      <c r="AS135" s="90"/>
      <c r="AT135" s="91"/>
      <c r="AU135" s="92"/>
      <c r="AV135" s="1959">
        <f t="shared" si="88"/>
        <v>0</v>
      </c>
      <c r="AW135" s="1959">
        <f t="shared" si="89"/>
        <v>0</v>
      </c>
      <c r="AX135" s="1959">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6"/>
      <c r="C136" s="1387"/>
      <c r="D136" s="78"/>
      <c r="E136" s="85">
        <f t="shared" si="87"/>
        <v>0</v>
      </c>
      <c r="F136" s="86"/>
      <c r="G136" s="87">
        <f t="shared" si="62"/>
        <v>0</v>
      </c>
      <c r="H136" s="88">
        <f t="shared" si="63"/>
        <v>0</v>
      </c>
      <c r="I136" s="1389"/>
      <c r="J136" s="89"/>
      <c r="K136" s="138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89"/>
      <c r="AG136" s="90"/>
      <c r="AH136" s="90"/>
      <c r="AI136" s="90"/>
      <c r="AJ136" s="90"/>
      <c r="AK136" s="90"/>
      <c r="AL136" s="90"/>
      <c r="AM136" s="90"/>
      <c r="AN136" s="90"/>
      <c r="AO136" s="90"/>
      <c r="AP136" s="90"/>
      <c r="AQ136" s="90"/>
      <c r="AR136" s="90"/>
      <c r="AS136" s="90"/>
      <c r="AT136" s="91"/>
      <c r="AU136" s="92"/>
      <c r="AV136" s="1959">
        <f t="shared" si="88"/>
        <v>0</v>
      </c>
      <c r="AW136" s="1959">
        <f t="shared" si="89"/>
        <v>0</v>
      </c>
      <c r="AX136" s="1959">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6"/>
      <c r="C137" s="1387"/>
      <c r="D137" s="78"/>
      <c r="E137" s="85">
        <f t="shared" si="87"/>
        <v>0</v>
      </c>
      <c r="F137" s="86"/>
      <c r="G137" s="87">
        <f t="shared" si="62"/>
        <v>0</v>
      </c>
      <c r="H137" s="88">
        <f t="shared" si="63"/>
        <v>0</v>
      </c>
      <c r="I137" s="1389"/>
      <c r="J137" s="89"/>
      <c r="K137" s="138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89"/>
      <c r="AG137" s="90"/>
      <c r="AH137" s="90"/>
      <c r="AI137" s="90"/>
      <c r="AJ137" s="90"/>
      <c r="AK137" s="90"/>
      <c r="AL137" s="90"/>
      <c r="AM137" s="90"/>
      <c r="AN137" s="90"/>
      <c r="AO137" s="90"/>
      <c r="AP137" s="90"/>
      <c r="AQ137" s="90"/>
      <c r="AR137" s="90"/>
      <c r="AS137" s="90"/>
      <c r="AT137" s="91"/>
      <c r="AU137" s="92"/>
      <c r="AV137" s="1959">
        <f t="shared" si="88"/>
        <v>0</v>
      </c>
      <c r="AW137" s="1959">
        <f t="shared" si="89"/>
        <v>0</v>
      </c>
      <c r="AX137" s="1959">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6"/>
      <c r="C138" s="1387"/>
      <c r="D138" s="78"/>
      <c r="E138" s="85">
        <f t="shared" si="87"/>
        <v>0</v>
      </c>
      <c r="F138" s="86"/>
      <c r="G138" s="87">
        <f t="shared" si="62"/>
        <v>0</v>
      </c>
      <c r="H138" s="88">
        <f t="shared" si="63"/>
        <v>0</v>
      </c>
      <c r="I138" s="1389"/>
      <c r="J138" s="89"/>
      <c r="K138" s="138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89"/>
      <c r="AG138" s="90"/>
      <c r="AH138" s="90"/>
      <c r="AI138" s="90"/>
      <c r="AJ138" s="90"/>
      <c r="AK138" s="90"/>
      <c r="AL138" s="90"/>
      <c r="AM138" s="90"/>
      <c r="AN138" s="90"/>
      <c r="AO138" s="90"/>
      <c r="AP138" s="90"/>
      <c r="AQ138" s="90"/>
      <c r="AR138" s="90"/>
      <c r="AS138" s="90"/>
      <c r="AT138" s="91"/>
      <c r="AU138" s="92"/>
      <c r="AV138" s="1959">
        <f t="shared" si="88"/>
        <v>0</v>
      </c>
      <c r="AW138" s="1959">
        <f t="shared" si="89"/>
        <v>0</v>
      </c>
      <c r="AX138" s="1959">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6"/>
      <c r="C139" s="1387"/>
      <c r="D139" s="78"/>
      <c r="E139" s="85">
        <f t="shared" si="87"/>
        <v>0</v>
      </c>
      <c r="F139" s="86"/>
      <c r="G139" s="87">
        <f t="shared" si="62"/>
        <v>0</v>
      </c>
      <c r="H139" s="88">
        <f t="shared" si="63"/>
        <v>0</v>
      </c>
      <c r="I139" s="1389"/>
      <c r="J139" s="89"/>
      <c r="K139" s="138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87"/>
      <c r="AG139" s="90"/>
      <c r="AH139" s="90"/>
      <c r="AI139" s="90"/>
      <c r="AJ139" s="90"/>
      <c r="AK139" s="90"/>
      <c r="AL139" s="90"/>
      <c r="AM139" s="90"/>
      <c r="AN139" s="90"/>
      <c r="AO139" s="90"/>
      <c r="AP139" s="90"/>
      <c r="AQ139" s="90"/>
      <c r="AR139" s="90"/>
      <c r="AS139" s="90"/>
      <c r="AT139" s="91"/>
      <c r="AU139" s="92"/>
      <c r="AV139" s="1959">
        <f t="shared" si="88"/>
        <v>0</v>
      </c>
      <c r="AW139" s="1959">
        <f t="shared" si="89"/>
        <v>0</v>
      </c>
      <c r="AX139" s="1959">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6"/>
      <c r="C140" s="1387"/>
      <c r="D140" s="78"/>
      <c r="E140" s="85">
        <f t="shared" si="87"/>
        <v>0</v>
      </c>
      <c r="F140" s="86"/>
      <c r="G140" s="87">
        <f t="shared" si="62"/>
        <v>0</v>
      </c>
      <c r="H140" s="88">
        <f t="shared" si="63"/>
        <v>0</v>
      </c>
      <c r="I140" s="1387"/>
      <c r="J140" s="89"/>
      <c r="K140" s="138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87"/>
      <c r="AG140" s="90"/>
      <c r="AH140" s="90"/>
      <c r="AI140" s="90"/>
      <c r="AJ140" s="90"/>
      <c r="AK140" s="90"/>
      <c r="AL140" s="90"/>
      <c r="AM140" s="90"/>
      <c r="AN140" s="90"/>
      <c r="AO140" s="90"/>
      <c r="AP140" s="90"/>
      <c r="AQ140" s="90"/>
      <c r="AR140" s="90"/>
      <c r="AS140" s="90"/>
      <c r="AT140" s="91"/>
      <c r="AU140" s="92"/>
      <c r="AV140" s="1959">
        <f t="shared" si="88"/>
        <v>0</v>
      </c>
      <c r="AW140" s="1959">
        <f t="shared" si="89"/>
        <v>0</v>
      </c>
      <c r="AX140" s="1959">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6"/>
      <c r="C141" s="1387"/>
      <c r="D141" s="78"/>
      <c r="E141" s="85">
        <f t="shared" si="87"/>
        <v>0</v>
      </c>
      <c r="F141" s="86"/>
      <c r="G141" s="87">
        <f t="shared" si="62"/>
        <v>0</v>
      </c>
      <c r="H141" s="88">
        <f t="shared" si="63"/>
        <v>0</v>
      </c>
      <c r="I141" s="1387"/>
      <c r="J141" s="89"/>
      <c r="K141" s="138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87"/>
      <c r="AG141" s="90"/>
      <c r="AH141" s="90"/>
      <c r="AI141" s="90"/>
      <c r="AJ141" s="90"/>
      <c r="AK141" s="90"/>
      <c r="AL141" s="90"/>
      <c r="AM141" s="90"/>
      <c r="AN141" s="90"/>
      <c r="AO141" s="90"/>
      <c r="AP141" s="90"/>
      <c r="AQ141" s="90"/>
      <c r="AR141" s="90"/>
      <c r="AS141" s="90"/>
      <c r="AT141" s="91"/>
      <c r="AU141" s="92"/>
      <c r="AV141" s="1959">
        <f t="shared" si="88"/>
        <v>0</v>
      </c>
      <c r="AW141" s="1959">
        <f t="shared" si="89"/>
        <v>0</v>
      </c>
      <c r="AX141" s="1959">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6"/>
      <c r="C142" s="1387"/>
      <c r="D142" s="78"/>
      <c r="E142" s="85">
        <f t="shared" si="87"/>
        <v>0</v>
      </c>
      <c r="F142" s="86"/>
      <c r="G142" s="87">
        <f t="shared" ref="G142:G173" si="91">H142+AC142+AT142</f>
        <v>0</v>
      </c>
      <c r="H142" s="88">
        <f t="shared" ref="H142:H173" si="92">SUMIF(I$12:AB$12,"总值",I142:AB142)</f>
        <v>0</v>
      </c>
      <c r="I142" s="1387"/>
      <c r="J142" s="89"/>
      <c r="K142" s="138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87"/>
      <c r="AG142" s="90"/>
      <c r="AH142" s="90"/>
      <c r="AI142" s="90"/>
      <c r="AJ142" s="90"/>
      <c r="AK142" s="90"/>
      <c r="AL142" s="90"/>
      <c r="AM142" s="90"/>
      <c r="AN142" s="90"/>
      <c r="AO142" s="90"/>
      <c r="AP142" s="90"/>
      <c r="AQ142" s="90"/>
      <c r="AR142" s="90"/>
      <c r="AS142" s="90"/>
      <c r="AT142" s="91"/>
      <c r="AU142" s="92"/>
      <c r="AV142" s="1959">
        <f t="shared" si="88"/>
        <v>0</v>
      </c>
      <c r="AW142" s="1959">
        <f t="shared" si="89"/>
        <v>0</v>
      </c>
      <c r="AX142" s="1959">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6"/>
      <c r="C143" s="1387"/>
      <c r="D143" s="78"/>
      <c r="E143" s="85">
        <f t="shared" si="87"/>
        <v>0</v>
      </c>
      <c r="F143" s="86"/>
      <c r="G143" s="87">
        <f t="shared" si="91"/>
        <v>0</v>
      </c>
      <c r="H143" s="88">
        <f t="shared" si="92"/>
        <v>0</v>
      </c>
      <c r="I143" s="1387"/>
      <c r="J143" s="89"/>
      <c r="K143" s="138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87"/>
      <c r="AG143" s="90"/>
      <c r="AH143" s="90"/>
      <c r="AI143" s="90"/>
      <c r="AJ143" s="90"/>
      <c r="AK143" s="90"/>
      <c r="AL143" s="90"/>
      <c r="AM143" s="90"/>
      <c r="AN143" s="90"/>
      <c r="AO143" s="90"/>
      <c r="AP143" s="90"/>
      <c r="AQ143" s="90"/>
      <c r="AR143" s="90"/>
      <c r="AS143" s="90"/>
      <c r="AT143" s="91"/>
      <c r="AU143" s="92"/>
      <c r="AV143" s="1959">
        <f t="shared" si="88"/>
        <v>0</v>
      </c>
      <c r="AW143" s="1959">
        <f t="shared" si="89"/>
        <v>0</v>
      </c>
      <c r="AX143" s="1959">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6"/>
      <c r="C144" s="1387"/>
      <c r="D144" s="78"/>
      <c r="E144" s="85">
        <f t="shared" si="87"/>
        <v>0</v>
      </c>
      <c r="F144" s="86"/>
      <c r="G144" s="87">
        <f t="shared" si="91"/>
        <v>0</v>
      </c>
      <c r="H144" s="88">
        <f t="shared" si="92"/>
        <v>0</v>
      </c>
      <c r="I144" s="1387"/>
      <c r="J144" s="89"/>
      <c r="K144" s="138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87"/>
      <c r="AG144" s="90"/>
      <c r="AH144" s="90"/>
      <c r="AI144" s="90"/>
      <c r="AJ144" s="90"/>
      <c r="AK144" s="90"/>
      <c r="AL144" s="90"/>
      <c r="AM144" s="90"/>
      <c r="AN144" s="90"/>
      <c r="AO144" s="90"/>
      <c r="AP144" s="90"/>
      <c r="AQ144" s="90"/>
      <c r="AR144" s="90"/>
      <c r="AS144" s="90"/>
      <c r="AT144" s="91"/>
      <c r="AU144" s="92"/>
      <c r="AV144" s="1959">
        <f t="shared" si="88"/>
        <v>0</v>
      </c>
      <c r="AW144" s="1959">
        <f t="shared" si="89"/>
        <v>0</v>
      </c>
      <c r="AX144" s="1959">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6"/>
      <c r="C145" s="1387"/>
      <c r="D145" s="78"/>
      <c r="E145" s="85">
        <f t="shared" ref="E145:E176" si="116">IF($C$3="是",ROUND($A$3*G145/$B$3,2),ROUND($A$3*(G145-AT145)/$B$3,2))</f>
        <v>0</v>
      </c>
      <c r="F145" s="86"/>
      <c r="G145" s="87">
        <f t="shared" si="91"/>
        <v>0</v>
      </c>
      <c r="H145" s="88">
        <f t="shared" si="92"/>
        <v>0</v>
      </c>
      <c r="I145" s="1387"/>
      <c r="J145" s="89"/>
      <c r="K145" s="138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87"/>
      <c r="AG145" s="90"/>
      <c r="AH145" s="90"/>
      <c r="AI145" s="90"/>
      <c r="AJ145" s="90"/>
      <c r="AK145" s="90"/>
      <c r="AL145" s="90"/>
      <c r="AM145" s="90"/>
      <c r="AN145" s="90"/>
      <c r="AO145" s="90"/>
      <c r="AP145" s="90"/>
      <c r="AQ145" s="90"/>
      <c r="AR145" s="90"/>
      <c r="AS145" s="90"/>
      <c r="AT145" s="91"/>
      <c r="AU145" s="92"/>
      <c r="AV145" s="1959">
        <f t="shared" ref="AV145:AV176" si="117">A145</f>
        <v>0</v>
      </c>
      <c r="AW145" s="1959">
        <f t="shared" ref="AW145:AW176" si="118">B145</f>
        <v>0</v>
      </c>
      <c r="AX145" s="1959">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6"/>
      <c r="C146" s="1387"/>
      <c r="D146" s="78"/>
      <c r="E146" s="85">
        <f t="shared" si="116"/>
        <v>0</v>
      </c>
      <c r="F146" s="86"/>
      <c r="G146" s="87">
        <f t="shared" si="91"/>
        <v>0</v>
      </c>
      <c r="H146" s="88">
        <f t="shared" si="92"/>
        <v>0</v>
      </c>
      <c r="I146" s="1387"/>
      <c r="J146" s="89"/>
      <c r="K146" s="138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87"/>
      <c r="AG146" s="90"/>
      <c r="AH146" s="90"/>
      <c r="AI146" s="90"/>
      <c r="AJ146" s="90"/>
      <c r="AK146" s="90"/>
      <c r="AL146" s="90"/>
      <c r="AM146" s="90"/>
      <c r="AN146" s="90"/>
      <c r="AO146" s="90"/>
      <c r="AP146" s="90"/>
      <c r="AQ146" s="90"/>
      <c r="AR146" s="90"/>
      <c r="AS146" s="90"/>
      <c r="AT146" s="91"/>
      <c r="AU146" s="92"/>
      <c r="AV146" s="1959">
        <f t="shared" si="117"/>
        <v>0</v>
      </c>
      <c r="AW146" s="1959">
        <f t="shared" si="118"/>
        <v>0</v>
      </c>
      <c r="AX146" s="1959">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88"/>
      <c r="C147" s="1389"/>
      <c r="D147" s="78"/>
      <c r="E147" s="85">
        <f t="shared" si="116"/>
        <v>0</v>
      </c>
      <c r="F147" s="86"/>
      <c r="G147" s="87">
        <f t="shared" si="91"/>
        <v>0</v>
      </c>
      <c r="H147" s="88">
        <f t="shared" si="92"/>
        <v>0</v>
      </c>
      <c r="I147" s="1387"/>
      <c r="J147" s="89"/>
      <c r="K147" s="1387"/>
      <c r="L147" s="89"/>
      <c r="M147" s="1387"/>
      <c r="N147" s="89"/>
      <c r="O147" s="89"/>
      <c r="P147" s="89"/>
      <c r="Q147" s="89"/>
      <c r="R147" s="89"/>
      <c r="S147" s="89"/>
      <c r="T147" s="89"/>
      <c r="U147" s="89"/>
      <c r="V147" s="89"/>
      <c r="W147" s="89"/>
      <c r="X147" s="89"/>
      <c r="Y147" s="89"/>
      <c r="Z147" s="89"/>
      <c r="AA147" s="89"/>
      <c r="AB147" s="89"/>
      <c r="AC147" s="85">
        <f t="shared" si="93"/>
        <v>0</v>
      </c>
      <c r="AD147" s="90"/>
      <c r="AE147" s="90"/>
      <c r="AF147" s="1387"/>
      <c r="AG147" s="90"/>
      <c r="AH147" s="90"/>
      <c r="AI147" s="90"/>
      <c r="AJ147" s="90"/>
      <c r="AK147" s="90"/>
      <c r="AL147" s="90"/>
      <c r="AM147" s="90"/>
      <c r="AN147" s="90"/>
      <c r="AO147" s="90"/>
      <c r="AP147" s="90"/>
      <c r="AQ147" s="90"/>
      <c r="AR147" s="90"/>
      <c r="AS147" s="90"/>
      <c r="AT147" s="91"/>
      <c r="AU147" s="92"/>
      <c r="AV147" s="1959">
        <f t="shared" si="117"/>
        <v>0</v>
      </c>
      <c r="AW147" s="1959">
        <f t="shared" si="118"/>
        <v>0</v>
      </c>
      <c r="AX147" s="1959">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59">
        <f t="shared" si="117"/>
        <v>0</v>
      </c>
      <c r="AW148" s="1959">
        <f t="shared" si="118"/>
        <v>0</v>
      </c>
      <c r="AX148" s="1959">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59">
        <f t="shared" si="117"/>
        <v>0</v>
      </c>
      <c r="AW149" s="1959">
        <f t="shared" si="118"/>
        <v>0</v>
      </c>
      <c r="AX149" s="1959">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59">
        <f t="shared" si="117"/>
        <v>0</v>
      </c>
      <c r="AW150" s="1959">
        <f t="shared" si="118"/>
        <v>0</v>
      </c>
      <c r="AX150" s="1959">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59">
        <f t="shared" si="117"/>
        <v>0</v>
      </c>
      <c r="AW151" s="1959">
        <f t="shared" si="118"/>
        <v>0</v>
      </c>
      <c r="AX151" s="1959">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59">
        <f t="shared" si="117"/>
        <v>0</v>
      </c>
      <c r="AW152" s="1959">
        <f t="shared" si="118"/>
        <v>0</v>
      </c>
      <c r="AX152" s="1959">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59">
        <f t="shared" si="117"/>
        <v>0</v>
      </c>
      <c r="AW153" s="1959">
        <f t="shared" si="118"/>
        <v>0</v>
      </c>
      <c r="AX153" s="1959">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59">
        <f t="shared" si="117"/>
        <v>0</v>
      </c>
      <c r="AW154" s="1959">
        <f t="shared" si="118"/>
        <v>0</v>
      </c>
      <c r="AX154" s="1959">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59">
        <f t="shared" si="117"/>
        <v>0</v>
      </c>
      <c r="AW155" s="1959">
        <f t="shared" si="118"/>
        <v>0</v>
      </c>
      <c r="AX155" s="1959">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59">
        <f t="shared" si="117"/>
        <v>0</v>
      </c>
      <c r="AW156" s="1959">
        <f t="shared" si="118"/>
        <v>0</v>
      </c>
      <c r="AX156" s="1959">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59">
        <f t="shared" si="117"/>
        <v>0</v>
      </c>
      <c r="AW157" s="1959">
        <f t="shared" si="118"/>
        <v>0</v>
      </c>
      <c r="AX157" s="1959">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59">
        <f t="shared" si="117"/>
        <v>0</v>
      </c>
      <c r="AW158" s="1959">
        <f t="shared" si="118"/>
        <v>0</v>
      </c>
      <c r="AX158" s="1959">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59">
        <f t="shared" si="117"/>
        <v>0</v>
      </c>
      <c r="AW159" s="1959">
        <f t="shared" si="118"/>
        <v>0</v>
      </c>
      <c r="AX159" s="1959">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59">
        <f t="shared" si="117"/>
        <v>0</v>
      </c>
      <c r="AW160" s="1959">
        <f t="shared" si="118"/>
        <v>0</v>
      </c>
      <c r="AX160" s="1959">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59">
        <f t="shared" si="117"/>
        <v>0</v>
      </c>
      <c r="AW161" s="1959">
        <f t="shared" si="118"/>
        <v>0</v>
      </c>
      <c r="AX161" s="1959">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59">
        <f t="shared" si="117"/>
        <v>0</v>
      </c>
      <c r="AW162" s="1959">
        <f t="shared" si="118"/>
        <v>0</v>
      </c>
      <c r="AX162" s="1959">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59">
        <f t="shared" si="117"/>
        <v>0</v>
      </c>
      <c r="AW163" s="1959">
        <f t="shared" si="118"/>
        <v>0</v>
      </c>
      <c r="AX163" s="1959">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59">
        <f t="shared" si="117"/>
        <v>0</v>
      </c>
      <c r="AW164" s="1959">
        <f t="shared" si="118"/>
        <v>0</v>
      </c>
      <c r="AX164" s="1959">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59">
        <f t="shared" si="117"/>
        <v>0</v>
      </c>
      <c r="AW165" s="1959">
        <f t="shared" si="118"/>
        <v>0</v>
      </c>
      <c r="AX165" s="1959">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59">
        <f t="shared" si="117"/>
        <v>0</v>
      </c>
      <c r="AW166" s="1959">
        <f t="shared" si="118"/>
        <v>0</v>
      </c>
      <c r="AX166" s="1959">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59">
        <f t="shared" si="117"/>
        <v>0</v>
      </c>
      <c r="AW167" s="1959">
        <f t="shared" si="118"/>
        <v>0</v>
      </c>
      <c r="AX167" s="1959">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59">
        <f t="shared" si="117"/>
        <v>0</v>
      </c>
      <c r="AW168" s="1959">
        <f t="shared" si="118"/>
        <v>0</v>
      </c>
      <c r="AX168" s="1959">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59">
        <f t="shared" si="117"/>
        <v>0</v>
      </c>
      <c r="AW169" s="1959">
        <f t="shared" si="118"/>
        <v>0</v>
      </c>
      <c r="AX169" s="1959">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59">
        <f t="shared" si="117"/>
        <v>0</v>
      </c>
      <c r="AW170" s="1959">
        <f t="shared" si="118"/>
        <v>0</v>
      </c>
      <c r="AX170" s="1959">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59">
        <f t="shared" si="117"/>
        <v>0</v>
      </c>
      <c r="AW171" s="1959">
        <f t="shared" si="118"/>
        <v>0</v>
      </c>
      <c r="AX171" s="1959">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59">
        <f t="shared" si="117"/>
        <v>0</v>
      </c>
      <c r="AW172" s="1959">
        <f t="shared" si="118"/>
        <v>0</v>
      </c>
      <c r="AX172" s="1959">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59">
        <f t="shared" si="117"/>
        <v>0</v>
      </c>
      <c r="AW173" s="1959">
        <f t="shared" si="118"/>
        <v>0</v>
      </c>
      <c r="AX173" s="1959">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59">
        <f t="shared" si="117"/>
        <v>0</v>
      </c>
      <c r="AW174" s="1959">
        <f t="shared" si="118"/>
        <v>0</v>
      </c>
      <c r="AX174" s="1959">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59">
        <f t="shared" si="117"/>
        <v>0</v>
      </c>
      <c r="AW175" s="1959">
        <f t="shared" si="118"/>
        <v>0</v>
      </c>
      <c r="AX175" s="1959">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59">
        <f t="shared" si="117"/>
        <v>0</v>
      </c>
      <c r="AW176" s="1959">
        <f t="shared" si="118"/>
        <v>0</v>
      </c>
      <c r="AX176" s="1959">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59">
        <f t="shared" ref="AV177:AV204" si="146">A177</f>
        <v>0</v>
      </c>
      <c r="AW177" s="1959">
        <f t="shared" ref="AW177:AW204" si="147">B177</f>
        <v>0</v>
      </c>
      <c r="AX177" s="1959">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59">
        <f t="shared" si="146"/>
        <v>0</v>
      </c>
      <c r="AW178" s="1959">
        <f t="shared" si="147"/>
        <v>0</v>
      </c>
      <c r="AX178" s="1959">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59">
        <f t="shared" si="146"/>
        <v>0</v>
      </c>
      <c r="AW179" s="1959">
        <f t="shared" si="147"/>
        <v>0</v>
      </c>
      <c r="AX179" s="1959">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59">
        <f t="shared" si="146"/>
        <v>0</v>
      </c>
      <c r="AW180" s="1959">
        <f t="shared" si="147"/>
        <v>0</v>
      </c>
      <c r="AX180" s="1959">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59">
        <f t="shared" si="146"/>
        <v>0</v>
      </c>
      <c r="AW181" s="1959">
        <f t="shared" si="147"/>
        <v>0</v>
      </c>
      <c r="AX181" s="1959">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59">
        <f t="shared" si="146"/>
        <v>0</v>
      </c>
      <c r="AW182" s="1959">
        <f t="shared" si="147"/>
        <v>0</v>
      </c>
      <c r="AX182" s="1959">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59">
        <f t="shared" si="146"/>
        <v>0</v>
      </c>
      <c r="AW183" s="1959">
        <f t="shared" si="147"/>
        <v>0</v>
      </c>
      <c r="AX183" s="1959">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59">
        <f t="shared" si="146"/>
        <v>0</v>
      </c>
      <c r="AW184" s="1959">
        <f t="shared" si="147"/>
        <v>0</v>
      </c>
      <c r="AX184" s="1959">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59">
        <f t="shared" si="146"/>
        <v>0</v>
      </c>
      <c r="AW185" s="1959">
        <f t="shared" si="147"/>
        <v>0</v>
      </c>
      <c r="AX185" s="1959">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59">
        <f t="shared" si="146"/>
        <v>0</v>
      </c>
      <c r="AW186" s="1959">
        <f t="shared" si="147"/>
        <v>0</v>
      </c>
      <c r="AX186" s="1959">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59">
        <f t="shared" si="146"/>
        <v>0</v>
      </c>
      <c r="AW187" s="1959">
        <f t="shared" si="147"/>
        <v>0</v>
      </c>
      <c r="AX187" s="1959">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59">
        <f t="shared" si="146"/>
        <v>0</v>
      </c>
      <c r="AW188" s="1959">
        <f t="shared" si="147"/>
        <v>0</v>
      </c>
      <c r="AX188" s="1959">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59">
        <f t="shared" si="146"/>
        <v>0</v>
      </c>
      <c r="AW189" s="1959">
        <f t="shared" si="147"/>
        <v>0</v>
      </c>
      <c r="AX189" s="1959">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59">
        <f t="shared" si="146"/>
        <v>0</v>
      </c>
      <c r="AW190" s="1959">
        <f t="shared" si="147"/>
        <v>0</v>
      </c>
      <c r="AX190" s="1959">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59">
        <f t="shared" si="146"/>
        <v>0</v>
      </c>
      <c r="AW191" s="1959">
        <f t="shared" si="147"/>
        <v>0</v>
      </c>
      <c r="AX191" s="1959">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59">
        <f t="shared" si="146"/>
        <v>0</v>
      </c>
      <c r="AW192" s="1959">
        <f t="shared" si="147"/>
        <v>0</v>
      </c>
      <c r="AX192" s="1959">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59">
        <f t="shared" si="146"/>
        <v>0</v>
      </c>
      <c r="AW193" s="1959">
        <f t="shared" si="147"/>
        <v>0</v>
      </c>
      <c r="AX193" s="1959">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59">
        <f t="shared" si="146"/>
        <v>0</v>
      </c>
      <c r="AW194" s="1959">
        <f t="shared" si="147"/>
        <v>0</v>
      </c>
      <c r="AX194" s="1959">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59">
        <f t="shared" si="146"/>
        <v>0</v>
      </c>
      <c r="AW195" s="1959">
        <f t="shared" si="147"/>
        <v>0</v>
      </c>
      <c r="AX195" s="1959">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59">
        <f t="shared" si="146"/>
        <v>0</v>
      </c>
      <c r="AW196" s="1959">
        <f t="shared" si="147"/>
        <v>0</v>
      </c>
      <c r="AX196" s="1959">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59">
        <f t="shared" si="146"/>
        <v>0</v>
      </c>
      <c r="AW197" s="1959">
        <f t="shared" si="147"/>
        <v>0</v>
      </c>
      <c r="AX197" s="1959">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59">
        <f t="shared" si="146"/>
        <v>0</v>
      </c>
      <c r="AW198" s="1959">
        <f t="shared" si="147"/>
        <v>0</v>
      </c>
      <c r="AX198" s="1959">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59">
        <f t="shared" si="146"/>
        <v>0</v>
      </c>
      <c r="AW199" s="1959">
        <f t="shared" si="147"/>
        <v>0</v>
      </c>
      <c r="AX199" s="1959">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59">
        <f t="shared" si="146"/>
        <v>0</v>
      </c>
      <c r="AW200" s="1959">
        <f t="shared" si="147"/>
        <v>0</v>
      </c>
      <c r="AX200" s="1959">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59">
        <f t="shared" si="146"/>
        <v>0</v>
      </c>
      <c r="AW201" s="1959">
        <f t="shared" si="147"/>
        <v>0</v>
      </c>
      <c r="AX201" s="1959">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59">
        <f t="shared" si="146"/>
        <v>0</v>
      </c>
      <c r="AW202" s="1959">
        <f t="shared" si="147"/>
        <v>0</v>
      </c>
      <c r="AX202" s="1959">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59">
        <f t="shared" si="146"/>
        <v>0</v>
      </c>
      <c r="AW203" s="1959">
        <f t="shared" si="147"/>
        <v>0</v>
      </c>
      <c r="AX203" s="1959">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59">
        <f t="shared" si="146"/>
        <v>0</v>
      </c>
      <c r="AW204" s="1959">
        <f t="shared" si="147"/>
        <v>0</v>
      </c>
      <c r="AX204" s="1959">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6"/>
      <c r="C205" s="1387"/>
      <c r="D205" s="78"/>
      <c r="E205" s="85">
        <f t="shared" ref="E205:E296" si="149">IF($C$3="是",ROUND($A$3*G205/$B$3,2),ROUND($A$3*(G205-AT205)/$B$3,2))</f>
        <v>0</v>
      </c>
      <c r="F205" s="86"/>
      <c r="G205" s="87">
        <f t="shared" ref="G205:G293" si="150">H205+AC205+AT205</f>
        <v>0</v>
      </c>
      <c r="H205" s="88">
        <f t="shared" ref="H205:H293" si="151">SUMIF(I$12:AB$12,"总值",I205:AB205)</f>
        <v>0</v>
      </c>
      <c r="I205" s="1389"/>
      <c r="J205" s="89"/>
      <c r="K205" s="138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0"/>
      <c r="AG205" s="90"/>
      <c r="AH205" s="90"/>
      <c r="AI205" s="90"/>
      <c r="AJ205" s="90"/>
      <c r="AK205" s="90"/>
      <c r="AL205" s="90"/>
      <c r="AM205" s="90"/>
      <c r="AN205" s="1358"/>
      <c r="AO205" s="90"/>
      <c r="AP205" s="90"/>
      <c r="AQ205" s="90"/>
      <c r="AR205" s="90"/>
      <c r="AS205" s="90"/>
      <c r="AT205" s="91"/>
      <c r="AU205" s="92"/>
      <c r="AV205" s="1959">
        <f t="shared" ref="AV205:AV296" si="153">A205</f>
        <v>0</v>
      </c>
      <c r="AW205" s="1959">
        <f t="shared" ref="AW205:AW296" si="154">B205</f>
        <v>0</v>
      </c>
      <c r="AX205" s="1959">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6"/>
      <c r="C206" s="1387"/>
      <c r="D206" s="78"/>
      <c r="E206" s="85">
        <f t="shared" si="149"/>
        <v>0</v>
      </c>
      <c r="F206" s="86"/>
      <c r="G206" s="87">
        <f t="shared" si="150"/>
        <v>0</v>
      </c>
      <c r="H206" s="88">
        <f t="shared" si="151"/>
        <v>0</v>
      </c>
      <c r="I206" s="1389"/>
      <c r="J206" s="89"/>
      <c r="K206" s="1389"/>
      <c r="L206" s="89"/>
      <c r="M206" s="1358"/>
      <c r="N206" s="89"/>
      <c r="O206" s="89"/>
      <c r="P206" s="89"/>
      <c r="Q206" s="89"/>
      <c r="R206" s="89"/>
      <c r="S206" s="89"/>
      <c r="T206" s="89"/>
      <c r="U206" s="89"/>
      <c r="V206" s="89"/>
      <c r="W206" s="89"/>
      <c r="X206" s="89"/>
      <c r="Y206" s="89"/>
      <c r="Z206" s="89"/>
      <c r="AA206" s="89"/>
      <c r="AB206" s="89"/>
      <c r="AC206" s="85">
        <f t="shared" si="152"/>
        <v>0</v>
      </c>
      <c r="AD206" s="1358"/>
      <c r="AE206" s="90"/>
      <c r="AF206" s="1390"/>
      <c r="AG206" s="90"/>
      <c r="AH206" s="90"/>
      <c r="AI206" s="90"/>
      <c r="AJ206" s="90"/>
      <c r="AK206" s="90"/>
      <c r="AL206" s="1358"/>
      <c r="AM206" s="90"/>
      <c r="AN206" s="1358"/>
      <c r="AO206" s="90"/>
      <c r="AP206" s="90"/>
      <c r="AQ206" s="90"/>
      <c r="AR206" s="90"/>
      <c r="AS206" s="90"/>
      <c r="AT206" s="91"/>
      <c r="AU206" s="92"/>
      <c r="AV206" s="1959">
        <f t="shared" si="153"/>
        <v>0</v>
      </c>
      <c r="AW206" s="1959">
        <f t="shared" si="154"/>
        <v>0</v>
      </c>
      <c r="AX206" s="1959">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6"/>
      <c r="C207" s="1387"/>
      <c r="D207" s="78"/>
      <c r="E207" s="85">
        <f t="shared" si="149"/>
        <v>0</v>
      </c>
      <c r="F207" s="86"/>
      <c r="G207" s="87">
        <f t="shared" si="150"/>
        <v>0</v>
      </c>
      <c r="H207" s="88">
        <f t="shared" si="151"/>
        <v>0</v>
      </c>
      <c r="I207" s="1389"/>
      <c r="J207" s="89"/>
      <c r="K207" s="1389"/>
      <c r="L207" s="89"/>
      <c r="M207" s="1358"/>
      <c r="N207" s="89"/>
      <c r="O207" s="89"/>
      <c r="P207" s="89"/>
      <c r="Q207" s="89"/>
      <c r="R207" s="89"/>
      <c r="S207" s="89"/>
      <c r="T207" s="89"/>
      <c r="U207" s="89"/>
      <c r="V207" s="89"/>
      <c r="W207" s="89"/>
      <c r="X207" s="89"/>
      <c r="Y207" s="89"/>
      <c r="Z207" s="89"/>
      <c r="AA207" s="89"/>
      <c r="AB207" s="89"/>
      <c r="AC207" s="85">
        <f t="shared" si="152"/>
        <v>0</v>
      </c>
      <c r="AD207" s="90"/>
      <c r="AE207" s="90"/>
      <c r="AF207" s="1390"/>
      <c r="AG207" s="90"/>
      <c r="AH207" s="90"/>
      <c r="AI207" s="90"/>
      <c r="AJ207" s="90"/>
      <c r="AK207" s="90"/>
      <c r="AL207" s="1358"/>
      <c r="AM207" s="90"/>
      <c r="AN207" s="1358"/>
      <c r="AO207" s="90"/>
      <c r="AP207" s="90"/>
      <c r="AQ207" s="90"/>
      <c r="AR207" s="90"/>
      <c r="AS207" s="90"/>
      <c r="AT207" s="91"/>
      <c r="AU207" s="92"/>
      <c r="AV207" s="1959">
        <f t="shared" si="153"/>
        <v>0</v>
      </c>
      <c r="AW207" s="1959">
        <f t="shared" si="154"/>
        <v>0</v>
      </c>
      <c r="AX207" s="1959">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6"/>
      <c r="C208" s="1387"/>
      <c r="D208" s="78"/>
      <c r="E208" s="85">
        <f t="shared" si="149"/>
        <v>0</v>
      </c>
      <c r="F208" s="86"/>
      <c r="G208" s="87">
        <f t="shared" si="150"/>
        <v>0</v>
      </c>
      <c r="H208" s="88">
        <f t="shared" si="151"/>
        <v>0</v>
      </c>
      <c r="I208" s="1389"/>
      <c r="J208" s="89"/>
      <c r="K208" s="1389"/>
      <c r="L208" s="89"/>
      <c r="M208" s="89"/>
      <c r="N208" s="89"/>
      <c r="O208" s="1358"/>
      <c r="P208" s="89"/>
      <c r="Q208" s="89"/>
      <c r="R208" s="89"/>
      <c r="S208" s="89"/>
      <c r="T208" s="89"/>
      <c r="U208" s="89"/>
      <c r="V208" s="89"/>
      <c r="W208" s="89"/>
      <c r="X208" s="89"/>
      <c r="Y208" s="89"/>
      <c r="Z208" s="89"/>
      <c r="AA208" s="89"/>
      <c r="AB208" s="89"/>
      <c r="AC208" s="85">
        <f t="shared" si="152"/>
        <v>0</v>
      </c>
      <c r="AD208" s="90"/>
      <c r="AE208" s="90"/>
      <c r="AF208" s="1390"/>
      <c r="AG208" s="90"/>
      <c r="AH208" s="90"/>
      <c r="AI208" s="90"/>
      <c r="AJ208" s="90"/>
      <c r="AK208" s="90"/>
      <c r="AL208" s="90"/>
      <c r="AM208" s="90"/>
      <c r="AN208" s="1358"/>
      <c r="AO208" s="90"/>
      <c r="AP208" s="90"/>
      <c r="AQ208" s="90"/>
      <c r="AR208" s="90"/>
      <c r="AS208" s="90"/>
      <c r="AT208" s="91"/>
      <c r="AU208" s="92"/>
      <c r="AV208" s="1959">
        <f t="shared" si="153"/>
        <v>0</v>
      </c>
      <c r="AW208" s="1959">
        <f t="shared" si="154"/>
        <v>0</v>
      </c>
      <c r="AX208" s="1959">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6"/>
      <c r="C209" s="1387"/>
      <c r="D209" s="78"/>
      <c r="E209" s="85">
        <f t="shared" si="149"/>
        <v>0</v>
      </c>
      <c r="F209" s="86"/>
      <c r="G209" s="87">
        <f t="shared" si="150"/>
        <v>0</v>
      </c>
      <c r="H209" s="88">
        <f t="shared" si="151"/>
        <v>0</v>
      </c>
      <c r="I209" s="1389"/>
      <c r="J209" s="89"/>
      <c r="K209" s="138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0"/>
      <c r="AG209" s="90"/>
      <c r="AH209" s="90"/>
      <c r="AI209" s="90"/>
      <c r="AJ209" s="90"/>
      <c r="AK209" s="90"/>
      <c r="AL209" s="90"/>
      <c r="AM209" s="90"/>
      <c r="AN209" s="90"/>
      <c r="AO209" s="90"/>
      <c r="AP209" s="90"/>
      <c r="AQ209" s="90"/>
      <c r="AR209" s="90"/>
      <c r="AS209" s="90"/>
      <c r="AT209" s="91"/>
      <c r="AU209" s="92"/>
      <c r="AV209" s="1959">
        <f t="shared" si="153"/>
        <v>0</v>
      </c>
      <c r="AW209" s="1959">
        <f t="shared" si="154"/>
        <v>0</v>
      </c>
      <c r="AX209" s="1959">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6"/>
      <c r="C210" s="1387"/>
      <c r="D210" s="78"/>
      <c r="E210" s="85">
        <f t="shared" si="149"/>
        <v>0</v>
      </c>
      <c r="F210" s="86"/>
      <c r="G210" s="87">
        <f t="shared" si="150"/>
        <v>0</v>
      </c>
      <c r="H210" s="88">
        <f t="shared" si="151"/>
        <v>0</v>
      </c>
      <c r="I210" s="1389"/>
      <c r="J210" s="89"/>
      <c r="K210" s="138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0"/>
      <c r="AG210" s="90"/>
      <c r="AH210" s="90"/>
      <c r="AI210" s="90"/>
      <c r="AJ210" s="90"/>
      <c r="AK210" s="90"/>
      <c r="AL210" s="90"/>
      <c r="AM210" s="90"/>
      <c r="AN210" s="90"/>
      <c r="AO210" s="90"/>
      <c r="AP210" s="90"/>
      <c r="AQ210" s="90"/>
      <c r="AR210" s="90"/>
      <c r="AS210" s="90"/>
      <c r="AT210" s="91"/>
      <c r="AU210" s="92"/>
      <c r="AV210" s="1959">
        <f t="shared" si="153"/>
        <v>0</v>
      </c>
      <c r="AW210" s="1959">
        <f t="shared" si="154"/>
        <v>0</v>
      </c>
      <c r="AX210" s="1959">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6"/>
      <c r="C211" s="1387"/>
      <c r="D211" s="78"/>
      <c r="E211" s="85">
        <f t="shared" si="149"/>
        <v>0</v>
      </c>
      <c r="F211" s="86"/>
      <c r="G211" s="87">
        <f t="shared" si="150"/>
        <v>0</v>
      </c>
      <c r="H211" s="88">
        <f t="shared" si="151"/>
        <v>0</v>
      </c>
      <c r="I211" s="1389"/>
      <c r="J211" s="89"/>
      <c r="K211" s="138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0"/>
      <c r="AG211" s="90"/>
      <c r="AH211" s="90"/>
      <c r="AI211" s="90"/>
      <c r="AJ211" s="90"/>
      <c r="AK211" s="90"/>
      <c r="AL211" s="90"/>
      <c r="AM211" s="90"/>
      <c r="AN211" s="90"/>
      <c r="AO211" s="90"/>
      <c r="AP211" s="90"/>
      <c r="AQ211" s="90"/>
      <c r="AR211" s="90"/>
      <c r="AS211" s="90"/>
      <c r="AT211" s="91"/>
      <c r="AU211" s="92"/>
      <c r="AV211" s="1959">
        <f t="shared" si="153"/>
        <v>0</v>
      </c>
      <c r="AW211" s="1959">
        <f t="shared" si="154"/>
        <v>0</v>
      </c>
      <c r="AX211" s="1959">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6"/>
      <c r="C212" s="1387"/>
      <c r="D212" s="78"/>
      <c r="E212" s="85">
        <f t="shared" si="149"/>
        <v>0</v>
      </c>
      <c r="F212" s="86"/>
      <c r="G212" s="87">
        <f t="shared" si="150"/>
        <v>0</v>
      </c>
      <c r="H212" s="88">
        <f t="shared" si="151"/>
        <v>0</v>
      </c>
      <c r="I212" s="1389"/>
      <c r="J212" s="89"/>
      <c r="K212" s="138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89"/>
      <c r="AG212" s="90"/>
      <c r="AH212" s="90"/>
      <c r="AI212" s="90"/>
      <c r="AJ212" s="90"/>
      <c r="AK212" s="90"/>
      <c r="AL212" s="90"/>
      <c r="AM212" s="90"/>
      <c r="AN212" s="90"/>
      <c r="AO212" s="90"/>
      <c r="AP212" s="90"/>
      <c r="AQ212" s="90"/>
      <c r="AR212" s="90"/>
      <c r="AS212" s="90"/>
      <c r="AT212" s="91"/>
      <c r="AU212" s="92"/>
      <c r="AV212" s="1959">
        <f t="shared" si="153"/>
        <v>0</v>
      </c>
      <c r="AW212" s="1959">
        <f t="shared" si="154"/>
        <v>0</v>
      </c>
      <c r="AX212" s="1959">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88"/>
      <c r="C213" s="1389"/>
      <c r="D213" s="78"/>
      <c r="E213" s="85">
        <f t="shared" si="149"/>
        <v>0</v>
      </c>
      <c r="F213" s="86"/>
      <c r="G213" s="87">
        <f t="shared" si="150"/>
        <v>0</v>
      </c>
      <c r="H213" s="88">
        <f t="shared" si="151"/>
        <v>0</v>
      </c>
      <c r="I213" s="1389"/>
      <c r="J213" s="89"/>
      <c r="K213" s="138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89"/>
      <c r="AG213" s="90"/>
      <c r="AH213" s="90"/>
      <c r="AI213" s="90"/>
      <c r="AJ213" s="90"/>
      <c r="AK213" s="90"/>
      <c r="AL213" s="90"/>
      <c r="AM213" s="90"/>
      <c r="AN213" s="90"/>
      <c r="AO213" s="90"/>
      <c r="AP213" s="90"/>
      <c r="AQ213" s="90"/>
      <c r="AR213" s="90"/>
      <c r="AS213" s="90"/>
      <c r="AT213" s="91"/>
      <c r="AU213" s="92"/>
      <c r="AV213" s="1959">
        <f t="shared" si="153"/>
        <v>0</v>
      </c>
      <c r="AW213" s="1959">
        <f t="shared" si="154"/>
        <v>0</v>
      </c>
      <c r="AX213" s="1959">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6"/>
      <c r="C214" s="1387"/>
      <c r="D214" s="78"/>
      <c r="E214" s="85">
        <f t="shared" si="149"/>
        <v>0</v>
      </c>
      <c r="F214" s="86"/>
      <c r="G214" s="87">
        <f t="shared" si="150"/>
        <v>0</v>
      </c>
      <c r="H214" s="88">
        <f t="shared" si="151"/>
        <v>0</v>
      </c>
      <c r="I214" s="1389"/>
      <c r="J214" s="89"/>
      <c r="K214" s="138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89"/>
      <c r="AG214" s="90"/>
      <c r="AH214" s="90"/>
      <c r="AI214" s="90"/>
      <c r="AJ214" s="90"/>
      <c r="AK214" s="90"/>
      <c r="AL214" s="90"/>
      <c r="AM214" s="90"/>
      <c r="AN214" s="90"/>
      <c r="AO214" s="90"/>
      <c r="AP214" s="90"/>
      <c r="AQ214" s="90"/>
      <c r="AR214" s="90"/>
      <c r="AS214" s="90"/>
      <c r="AT214" s="91"/>
      <c r="AU214" s="92"/>
      <c r="AV214" s="1959">
        <f t="shared" si="153"/>
        <v>0</v>
      </c>
      <c r="AW214" s="1959">
        <f t="shared" si="154"/>
        <v>0</v>
      </c>
      <c r="AX214" s="1959">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6"/>
      <c r="C215" s="1387"/>
      <c r="D215" s="78"/>
      <c r="E215" s="85">
        <f t="shared" si="149"/>
        <v>0</v>
      </c>
      <c r="F215" s="86"/>
      <c r="G215" s="87">
        <f t="shared" si="150"/>
        <v>0</v>
      </c>
      <c r="H215" s="88">
        <f t="shared" si="151"/>
        <v>0</v>
      </c>
      <c r="I215" s="1389"/>
      <c r="J215" s="89"/>
      <c r="K215" s="138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89"/>
      <c r="AG215" s="90"/>
      <c r="AH215" s="90"/>
      <c r="AI215" s="90"/>
      <c r="AJ215" s="90"/>
      <c r="AK215" s="90"/>
      <c r="AL215" s="90"/>
      <c r="AM215" s="90"/>
      <c r="AN215" s="90"/>
      <c r="AO215" s="90"/>
      <c r="AP215" s="90"/>
      <c r="AQ215" s="90"/>
      <c r="AR215" s="90"/>
      <c r="AS215" s="90"/>
      <c r="AT215" s="91"/>
      <c r="AU215" s="92"/>
      <c r="AV215" s="1959">
        <f t="shared" si="153"/>
        <v>0</v>
      </c>
      <c r="AW215" s="1959">
        <f t="shared" si="154"/>
        <v>0</v>
      </c>
      <c r="AX215" s="1959">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6"/>
      <c r="C216" s="1387"/>
      <c r="D216" s="78"/>
      <c r="E216" s="85">
        <f t="shared" si="149"/>
        <v>0</v>
      </c>
      <c r="F216" s="86"/>
      <c r="G216" s="87">
        <f t="shared" si="150"/>
        <v>0</v>
      </c>
      <c r="H216" s="88">
        <f t="shared" si="151"/>
        <v>0</v>
      </c>
      <c r="I216" s="1389"/>
      <c r="J216" s="89"/>
      <c r="K216" s="138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89"/>
      <c r="AG216" s="90"/>
      <c r="AH216" s="90"/>
      <c r="AI216" s="90"/>
      <c r="AJ216" s="90"/>
      <c r="AK216" s="90"/>
      <c r="AL216" s="90"/>
      <c r="AM216" s="90"/>
      <c r="AN216" s="90"/>
      <c r="AO216" s="90"/>
      <c r="AP216" s="90"/>
      <c r="AQ216" s="90"/>
      <c r="AR216" s="90"/>
      <c r="AS216" s="90"/>
      <c r="AT216" s="91"/>
      <c r="AU216" s="92"/>
      <c r="AV216" s="1959">
        <f t="shared" si="153"/>
        <v>0</v>
      </c>
      <c r="AW216" s="1959">
        <f t="shared" si="154"/>
        <v>0</v>
      </c>
      <c r="AX216" s="1959">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6"/>
      <c r="C217" s="1387"/>
      <c r="D217" s="78"/>
      <c r="E217" s="85">
        <f t="shared" si="149"/>
        <v>0</v>
      </c>
      <c r="F217" s="86"/>
      <c r="G217" s="87">
        <f t="shared" si="150"/>
        <v>0</v>
      </c>
      <c r="H217" s="88">
        <f t="shared" si="151"/>
        <v>0</v>
      </c>
      <c r="I217" s="1389"/>
      <c r="J217" s="89"/>
      <c r="K217" s="138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89"/>
      <c r="AG217" s="90"/>
      <c r="AH217" s="90"/>
      <c r="AI217" s="90"/>
      <c r="AJ217" s="90"/>
      <c r="AK217" s="90"/>
      <c r="AL217" s="90"/>
      <c r="AM217" s="90"/>
      <c r="AN217" s="90"/>
      <c r="AO217" s="90"/>
      <c r="AP217" s="90"/>
      <c r="AQ217" s="90"/>
      <c r="AR217" s="90"/>
      <c r="AS217" s="90"/>
      <c r="AT217" s="91"/>
      <c r="AU217" s="92"/>
      <c r="AV217" s="1959">
        <f t="shared" si="153"/>
        <v>0</v>
      </c>
      <c r="AW217" s="1959">
        <f t="shared" si="154"/>
        <v>0</v>
      </c>
      <c r="AX217" s="1959">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6"/>
      <c r="C218" s="1387"/>
      <c r="D218" s="78"/>
      <c r="E218" s="85">
        <f t="shared" si="149"/>
        <v>0</v>
      </c>
      <c r="F218" s="86"/>
      <c r="G218" s="87">
        <f t="shared" si="150"/>
        <v>0</v>
      </c>
      <c r="H218" s="88">
        <f t="shared" si="151"/>
        <v>0</v>
      </c>
      <c r="I218" s="1389"/>
      <c r="J218" s="89"/>
      <c r="K218" s="138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89"/>
      <c r="AG218" s="90"/>
      <c r="AH218" s="90"/>
      <c r="AI218" s="90"/>
      <c r="AJ218" s="90"/>
      <c r="AK218" s="90"/>
      <c r="AL218" s="90"/>
      <c r="AM218" s="90"/>
      <c r="AN218" s="90"/>
      <c r="AO218" s="90"/>
      <c r="AP218" s="90"/>
      <c r="AQ218" s="90"/>
      <c r="AR218" s="90"/>
      <c r="AS218" s="90"/>
      <c r="AT218" s="91"/>
      <c r="AU218" s="92"/>
      <c r="AV218" s="1959">
        <f t="shared" si="153"/>
        <v>0</v>
      </c>
      <c r="AW218" s="1959">
        <f t="shared" si="154"/>
        <v>0</v>
      </c>
      <c r="AX218" s="1959">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6"/>
      <c r="C219" s="1387"/>
      <c r="D219" s="78"/>
      <c r="E219" s="85">
        <f t="shared" si="149"/>
        <v>0</v>
      </c>
      <c r="F219" s="86"/>
      <c r="G219" s="87">
        <f t="shared" si="150"/>
        <v>0</v>
      </c>
      <c r="H219" s="88">
        <f t="shared" si="151"/>
        <v>0</v>
      </c>
      <c r="I219" s="1389"/>
      <c r="J219" s="89"/>
      <c r="K219" s="138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89"/>
      <c r="AG219" s="90"/>
      <c r="AH219" s="90"/>
      <c r="AI219" s="90"/>
      <c r="AJ219" s="90"/>
      <c r="AK219" s="90"/>
      <c r="AL219" s="90"/>
      <c r="AM219" s="90"/>
      <c r="AN219" s="90"/>
      <c r="AO219" s="90"/>
      <c r="AP219" s="90"/>
      <c r="AQ219" s="90"/>
      <c r="AR219" s="90"/>
      <c r="AS219" s="90"/>
      <c r="AT219" s="91"/>
      <c r="AU219" s="92"/>
      <c r="AV219" s="1959">
        <f t="shared" si="153"/>
        <v>0</v>
      </c>
      <c r="AW219" s="1959">
        <f t="shared" si="154"/>
        <v>0</v>
      </c>
      <c r="AX219" s="1959">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6"/>
      <c r="C220" s="1387"/>
      <c r="D220" s="78"/>
      <c r="E220" s="85">
        <f t="shared" si="149"/>
        <v>0</v>
      </c>
      <c r="F220" s="86"/>
      <c r="G220" s="87">
        <f t="shared" si="150"/>
        <v>0</v>
      </c>
      <c r="H220" s="88">
        <f t="shared" si="151"/>
        <v>0</v>
      </c>
      <c r="I220" s="1389"/>
      <c r="J220" s="89"/>
      <c r="K220" s="138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89"/>
      <c r="AG220" s="90"/>
      <c r="AH220" s="90"/>
      <c r="AI220" s="90"/>
      <c r="AJ220" s="90"/>
      <c r="AK220" s="90"/>
      <c r="AL220" s="90"/>
      <c r="AM220" s="90"/>
      <c r="AN220" s="90"/>
      <c r="AO220" s="90"/>
      <c r="AP220" s="90"/>
      <c r="AQ220" s="90"/>
      <c r="AR220" s="90"/>
      <c r="AS220" s="90"/>
      <c r="AT220" s="91"/>
      <c r="AU220" s="92"/>
      <c r="AV220" s="1959">
        <f t="shared" si="153"/>
        <v>0</v>
      </c>
      <c r="AW220" s="1959">
        <f t="shared" si="154"/>
        <v>0</v>
      </c>
      <c r="AX220" s="1959">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6"/>
      <c r="C221" s="1387"/>
      <c r="D221" s="78"/>
      <c r="E221" s="85">
        <f t="shared" si="149"/>
        <v>0</v>
      </c>
      <c r="F221" s="86"/>
      <c r="G221" s="87">
        <f t="shared" si="150"/>
        <v>0</v>
      </c>
      <c r="H221" s="88">
        <f t="shared" si="151"/>
        <v>0</v>
      </c>
      <c r="I221" s="1389"/>
      <c r="J221" s="89"/>
      <c r="K221" s="138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89"/>
      <c r="AG221" s="90"/>
      <c r="AH221" s="90"/>
      <c r="AI221" s="90"/>
      <c r="AJ221" s="90"/>
      <c r="AK221" s="90"/>
      <c r="AL221" s="90"/>
      <c r="AM221" s="90"/>
      <c r="AN221" s="90"/>
      <c r="AO221" s="90"/>
      <c r="AP221" s="90"/>
      <c r="AQ221" s="90"/>
      <c r="AR221" s="90"/>
      <c r="AS221" s="90"/>
      <c r="AT221" s="91"/>
      <c r="AU221" s="92"/>
      <c r="AV221" s="1959">
        <f t="shared" si="153"/>
        <v>0</v>
      </c>
      <c r="AW221" s="1959">
        <f t="shared" si="154"/>
        <v>0</v>
      </c>
      <c r="AX221" s="1959">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6"/>
      <c r="C222" s="1387"/>
      <c r="D222" s="78"/>
      <c r="E222" s="85">
        <f t="shared" si="149"/>
        <v>0</v>
      </c>
      <c r="F222" s="86"/>
      <c r="G222" s="87">
        <f t="shared" si="150"/>
        <v>0</v>
      </c>
      <c r="H222" s="88">
        <f t="shared" si="151"/>
        <v>0</v>
      </c>
      <c r="I222" s="1389"/>
      <c r="J222" s="89"/>
      <c r="K222" s="138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89"/>
      <c r="AG222" s="90"/>
      <c r="AH222" s="90"/>
      <c r="AI222" s="90"/>
      <c r="AJ222" s="90"/>
      <c r="AK222" s="90"/>
      <c r="AL222" s="90"/>
      <c r="AM222" s="90"/>
      <c r="AN222" s="90"/>
      <c r="AO222" s="90"/>
      <c r="AP222" s="90"/>
      <c r="AQ222" s="90"/>
      <c r="AR222" s="90"/>
      <c r="AS222" s="90"/>
      <c r="AT222" s="91"/>
      <c r="AU222" s="92"/>
      <c r="AV222" s="1959">
        <f t="shared" si="153"/>
        <v>0</v>
      </c>
      <c r="AW222" s="1959">
        <f t="shared" si="154"/>
        <v>0</v>
      </c>
      <c r="AX222" s="1959">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6"/>
      <c r="C223" s="1387"/>
      <c r="D223" s="78"/>
      <c r="E223" s="85">
        <f t="shared" si="149"/>
        <v>0</v>
      </c>
      <c r="F223" s="86"/>
      <c r="G223" s="87">
        <f t="shared" si="150"/>
        <v>0</v>
      </c>
      <c r="H223" s="88">
        <f t="shared" si="151"/>
        <v>0</v>
      </c>
      <c r="I223" s="1389"/>
      <c r="J223" s="89"/>
      <c r="K223" s="138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89"/>
      <c r="AG223" s="90"/>
      <c r="AH223" s="90"/>
      <c r="AI223" s="90"/>
      <c r="AJ223" s="90"/>
      <c r="AK223" s="90"/>
      <c r="AL223" s="90"/>
      <c r="AM223" s="90"/>
      <c r="AN223" s="90"/>
      <c r="AO223" s="90"/>
      <c r="AP223" s="90"/>
      <c r="AQ223" s="90"/>
      <c r="AR223" s="90"/>
      <c r="AS223" s="90"/>
      <c r="AT223" s="91"/>
      <c r="AU223" s="92"/>
      <c r="AV223" s="1959">
        <f t="shared" si="153"/>
        <v>0</v>
      </c>
      <c r="AW223" s="1959">
        <f t="shared" si="154"/>
        <v>0</v>
      </c>
      <c r="AX223" s="1959">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6"/>
      <c r="C224" s="1387"/>
      <c r="D224" s="78"/>
      <c r="E224" s="85">
        <f t="shared" si="149"/>
        <v>0</v>
      </c>
      <c r="F224" s="86"/>
      <c r="G224" s="87">
        <f t="shared" si="150"/>
        <v>0</v>
      </c>
      <c r="H224" s="88">
        <f t="shared" si="151"/>
        <v>0</v>
      </c>
      <c r="I224" s="1389"/>
      <c r="J224" s="89"/>
      <c r="K224" s="138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89"/>
      <c r="AG224" s="90"/>
      <c r="AH224" s="90"/>
      <c r="AI224" s="90"/>
      <c r="AJ224" s="90"/>
      <c r="AK224" s="90"/>
      <c r="AL224" s="90"/>
      <c r="AM224" s="90"/>
      <c r="AN224" s="90"/>
      <c r="AO224" s="90"/>
      <c r="AP224" s="90"/>
      <c r="AQ224" s="90"/>
      <c r="AR224" s="90"/>
      <c r="AS224" s="90"/>
      <c r="AT224" s="91"/>
      <c r="AU224" s="92"/>
      <c r="AV224" s="1959">
        <f t="shared" si="153"/>
        <v>0</v>
      </c>
      <c r="AW224" s="1959">
        <f t="shared" si="154"/>
        <v>0</v>
      </c>
      <c r="AX224" s="1959">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6"/>
      <c r="C225" s="1387"/>
      <c r="D225" s="78"/>
      <c r="E225" s="85">
        <f t="shared" si="149"/>
        <v>0</v>
      </c>
      <c r="F225" s="86"/>
      <c r="G225" s="87">
        <f t="shared" si="150"/>
        <v>0</v>
      </c>
      <c r="H225" s="88">
        <f t="shared" si="151"/>
        <v>0</v>
      </c>
      <c r="I225" s="1389"/>
      <c r="J225" s="89"/>
      <c r="K225" s="138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89"/>
      <c r="AG225" s="90"/>
      <c r="AH225" s="90"/>
      <c r="AI225" s="90"/>
      <c r="AJ225" s="90"/>
      <c r="AK225" s="90"/>
      <c r="AL225" s="90"/>
      <c r="AM225" s="90"/>
      <c r="AN225" s="90"/>
      <c r="AO225" s="90"/>
      <c r="AP225" s="90"/>
      <c r="AQ225" s="90"/>
      <c r="AR225" s="90"/>
      <c r="AS225" s="90"/>
      <c r="AT225" s="91"/>
      <c r="AU225" s="92"/>
      <c r="AV225" s="1959">
        <f t="shared" si="153"/>
        <v>0</v>
      </c>
      <c r="AW225" s="1959">
        <f t="shared" si="154"/>
        <v>0</v>
      </c>
      <c r="AX225" s="1959">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6"/>
      <c r="C226" s="1387"/>
      <c r="D226" s="78"/>
      <c r="E226" s="85">
        <f t="shared" si="149"/>
        <v>0</v>
      </c>
      <c r="F226" s="86"/>
      <c r="G226" s="87">
        <f t="shared" si="150"/>
        <v>0</v>
      </c>
      <c r="H226" s="88">
        <f t="shared" si="151"/>
        <v>0</v>
      </c>
      <c r="I226" s="1389"/>
      <c r="J226" s="89"/>
      <c r="K226" s="138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89"/>
      <c r="AG226" s="90"/>
      <c r="AH226" s="90"/>
      <c r="AI226" s="90"/>
      <c r="AJ226" s="90"/>
      <c r="AK226" s="90"/>
      <c r="AL226" s="90"/>
      <c r="AM226" s="90"/>
      <c r="AN226" s="90"/>
      <c r="AO226" s="90"/>
      <c r="AP226" s="90"/>
      <c r="AQ226" s="90"/>
      <c r="AR226" s="90"/>
      <c r="AS226" s="90"/>
      <c r="AT226" s="91"/>
      <c r="AU226" s="92"/>
      <c r="AV226" s="1959">
        <f t="shared" si="153"/>
        <v>0</v>
      </c>
      <c r="AW226" s="1959">
        <f t="shared" si="154"/>
        <v>0</v>
      </c>
      <c r="AX226" s="1959">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6"/>
      <c r="C227" s="1387"/>
      <c r="D227" s="78"/>
      <c r="E227" s="85">
        <f t="shared" si="149"/>
        <v>0</v>
      </c>
      <c r="F227" s="86"/>
      <c r="G227" s="87">
        <f t="shared" si="150"/>
        <v>0</v>
      </c>
      <c r="H227" s="88">
        <f t="shared" si="151"/>
        <v>0</v>
      </c>
      <c r="I227" s="1389"/>
      <c r="J227" s="89"/>
      <c r="K227" s="138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89"/>
      <c r="AG227" s="90"/>
      <c r="AH227" s="90"/>
      <c r="AI227" s="90"/>
      <c r="AJ227" s="90"/>
      <c r="AK227" s="90"/>
      <c r="AL227" s="90"/>
      <c r="AM227" s="90"/>
      <c r="AN227" s="90"/>
      <c r="AO227" s="90"/>
      <c r="AP227" s="90"/>
      <c r="AQ227" s="90"/>
      <c r="AR227" s="90"/>
      <c r="AS227" s="90"/>
      <c r="AT227" s="91"/>
      <c r="AU227" s="92"/>
      <c r="AV227" s="1959">
        <f t="shared" si="153"/>
        <v>0</v>
      </c>
      <c r="AW227" s="1959">
        <f t="shared" si="154"/>
        <v>0</v>
      </c>
      <c r="AX227" s="1959">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6"/>
      <c r="C228" s="1387"/>
      <c r="D228" s="78"/>
      <c r="E228" s="85">
        <f t="shared" si="149"/>
        <v>0</v>
      </c>
      <c r="F228" s="86"/>
      <c r="G228" s="87">
        <f t="shared" si="150"/>
        <v>0</v>
      </c>
      <c r="H228" s="88">
        <f t="shared" si="151"/>
        <v>0</v>
      </c>
      <c r="I228" s="1389"/>
      <c r="J228" s="89"/>
      <c r="K228" s="138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89"/>
      <c r="AG228" s="90"/>
      <c r="AH228" s="90"/>
      <c r="AI228" s="90"/>
      <c r="AJ228" s="90"/>
      <c r="AK228" s="90"/>
      <c r="AL228" s="90"/>
      <c r="AM228" s="90"/>
      <c r="AN228" s="90"/>
      <c r="AO228" s="90"/>
      <c r="AP228" s="90"/>
      <c r="AQ228" s="90"/>
      <c r="AR228" s="90"/>
      <c r="AS228" s="90"/>
      <c r="AT228" s="91"/>
      <c r="AU228" s="92"/>
      <c r="AV228" s="1959">
        <f t="shared" si="153"/>
        <v>0</v>
      </c>
      <c r="AW228" s="1959">
        <f t="shared" si="154"/>
        <v>0</v>
      </c>
      <c r="AX228" s="1959">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6"/>
      <c r="C229" s="1387"/>
      <c r="D229" s="78"/>
      <c r="E229" s="85">
        <f t="shared" si="149"/>
        <v>0</v>
      </c>
      <c r="F229" s="86"/>
      <c r="G229" s="87">
        <f t="shared" si="150"/>
        <v>0</v>
      </c>
      <c r="H229" s="88">
        <f t="shared" si="151"/>
        <v>0</v>
      </c>
      <c r="I229" s="1389"/>
      <c r="J229" s="89"/>
      <c r="K229" s="138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89"/>
      <c r="AG229" s="90"/>
      <c r="AH229" s="90"/>
      <c r="AI229" s="90"/>
      <c r="AJ229" s="90"/>
      <c r="AK229" s="90"/>
      <c r="AL229" s="90"/>
      <c r="AM229" s="90"/>
      <c r="AN229" s="90"/>
      <c r="AO229" s="90"/>
      <c r="AP229" s="90"/>
      <c r="AQ229" s="90"/>
      <c r="AR229" s="90"/>
      <c r="AS229" s="90"/>
      <c r="AT229" s="91"/>
      <c r="AU229" s="92"/>
      <c r="AV229" s="1959">
        <f t="shared" si="153"/>
        <v>0</v>
      </c>
      <c r="AW229" s="1959">
        <f t="shared" si="154"/>
        <v>0</v>
      </c>
      <c r="AX229" s="1959">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6"/>
      <c r="C230" s="1387"/>
      <c r="D230" s="78"/>
      <c r="E230" s="85">
        <f t="shared" si="149"/>
        <v>0</v>
      </c>
      <c r="F230" s="86"/>
      <c r="G230" s="87">
        <f t="shared" si="150"/>
        <v>0</v>
      </c>
      <c r="H230" s="88">
        <f t="shared" si="151"/>
        <v>0</v>
      </c>
      <c r="I230" s="1389"/>
      <c r="J230" s="89"/>
      <c r="K230" s="138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89"/>
      <c r="AG230" s="90"/>
      <c r="AH230" s="90"/>
      <c r="AI230" s="90"/>
      <c r="AJ230" s="90"/>
      <c r="AK230" s="90"/>
      <c r="AL230" s="90"/>
      <c r="AM230" s="90"/>
      <c r="AN230" s="90"/>
      <c r="AO230" s="90"/>
      <c r="AP230" s="90"/>
      <c r="AQ230" s="90"/>
      <c r="AR230" s="90"/>
      <c r="AS230" s="90"/>
      <c r="AT230" s="91"/>
      <c r="AU230" s="92"/>
      <c r="AV230" s="1959">
        <f t="shared" si="153"/>
        <v>0</v>
      </c>
      <c r="AW230" s="1959">
        <f t="shared" si="154"/>
        <v>0</v>
      </c>
      <c r="AX230" s="1959">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6"/>
      <c r="C231" s="1387"/>
      <c r="D231" s="78"/>
      <c r="E231" s="85">
        <f t="shared" si="149"/>
        <v>0</v>
      </c>
      <c r="F231" s="86"/>
      <c r="G231" s="87">
        <f t="shared" si="150"/>
        <v>0</v>
      </c>
      <c r="H231" s="88">
        <f t="shared" si="151"/>
        <v>0</v>
      </c>
      <c r="I231" s="1389"/>
      <c r="J231" s="89"/>
      <c r="K231" s="138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87"/>
      <c r="AG231" s="90"/>
      <c r="AH231" s="90"/>
      <c r="AI231" s="90"/>
      <c r="AJ231" s="90"/>
      <c r="AK231" s="90"/>
      <c r="AL231" s="90"/>
      <c r="AM231" s="90"/>
      <c r="AN231" s="90"/>
      <c r="AO231" s="90"/>
      <c r="AP231" s="90"/>
      <c r="AQ231" s="90"/>
      <c r="AR231" s="90"/>
      <c r="AS231" s="90"/>
      <c r="AT231" s="91"/>
      <c r="AU231" s="92"/>
      <c r="AV231" s="1959">
        <f t="shared" si="153"/>
        <v>0</v>
      </c>
      <c r="AW231" s="1959">
        <f t="shared" si="154"/>
        <v>0</v>
      </c>
      <c r="AX231" s="1959">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6"/>
      <c r="C232" s="1387"/>
      <c r="D232" s="78"/>
      <c r="E232" s="85">
        <f t="shared" si="149"/>
        <v>0</v>
      </c>
      <c r="F232" s="86"/>
      <c r="G232" s="87">
        <f t="shared" si="150"/>
        <v>0</v>
      </c>
      <c r="H232" s="88">
        <f t="shared" si="151"/>
        <v>0</v>
      </c>
      <c r="I232" s="1387"/>
      <c r="J232" s="89"/>
      <c r="K232" s="138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87"/>
      <c r="AG232" s="90"/>
      <c r="AH232" s="90"/>
      <c r="AI232" s="90"/>
      <c r="AJ232" s="90"/>
      <c r="AK232" s="90"/>
      <c r="AL232" s="90"/>
      <c r="AM232" s="90"/>
      <c r="AN232" s="90"/>
      <c r="AO232" s="90"/>
      <c r="AP232" s="90"/>
      <c r="AQ232" s="90"/>
      <c r="AR232" s="90"/>
      <c r="AS232" s="90"/>
      <c r="AT232" s="91"/>
      <c r="AU232" s="92"/>
      <c r="AV232" s="1959">
        <f t="shared" si="153"/>
        <v>0</v>
      </c>
      <c r="AW232" s="1959">
        <f t="shared" si="154"/>
        <v>0</v>
      </c>
      <c r="AX232" s="1959">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6"/>
      <c r="C233" s="1387"/>
      <c r="D233" s="78"/>
      <c r="E233" s="85">
        <f t="shared" si="149"/>
        <v>0</v>
      </c>
      <c r="F233" s="86"/>
      <c r="G233" s="87">
        <f t="shared" si="150"/>
        <v>0</v>
      </c>
      <c r="H233" s="88">
        <f t="shared" si="151"/>
        <v>0</v>
      </c>
      <c r="I233" s="1387"/>
      <c r="J233" s="89"/>
      <c r="K233" s="138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87"/>
      <c r="AG233" s="90"/>
      <c r="AH233" s="90"/>
      <c r="AI233" s="90"/>
      <c r="AJ233" s="90"/>
      <c r="AK233" s="90"/>
      <c r="AL233" s="90"/>
      <c r="AM233" s="90"/>
      <c r="AN233" s="90"/>
      <c r="AO233" s="90"/>
      <c r="AP233" s="90"/>
      <c r="AQ233" s="90"/>
      <c r="AR233" s="90"/>
      <c r="AS233" s="90"/>
      <c r="AT233" s="91"/>
      <c r="AU233" s="92"/>
      <c r="AV233" s="1959">
        <f t="shared" si="153"/>
        <v>0</v>
      </c>
      <c r="AW233" s="1959">
        <f t="shared" si="154"/>
        <v>0</v>
      </c>
      <c r="AX233" s="1959">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6"/>
      <c r="C234" s="1387"/>
      <c r="D234" s="78"/>
      <c r="E234" s="85">
        <f t="shared" si="149"/>
        <v>0</v>
      </c>
      <c r="F234" s="86"/>
      <c r="G234" s="87">
        <f t="shared" si="150"/>
        <v>0</v>
      </c>
      <c r="H234" s="88">
        <f t="shared" si="151"/>
        <v>0</v>
      </c>
      <c r="I234" s="1387"/>
      <c r="J234" s="89"/>
      <c r="K234" s="138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87"/>
      <c r="AG234" s="90"/>
      <c r="AH234" s="90"/>
      <c r="AI234" s="90"/>
      <c r="AJ234" s="90"/>
      <c r="AK234" s="90"/>
      <c r="AL234" s="90"/>
      <c r="AM234" s="90"/>
      <c r="AN234" s="90"/>
      <c r="AO234" s="90"/>
      <c r="AP234" s="90"/>
      <c r="AQ234" s="90"/>
      <c r="AR234" s="90"/>
      <c r="AS234" s="90"/>
      <c r="AT234" s="91"/>
      <c r="AU234" s="92"/>
      <c r="AV234" s="1959">
        <f t="shared" si="153"/>
        <v>0</v>
      </c>
      <c r="AW234" s="1959">
        <f t="shared" si="154"/>
        <v>0</v>
      </c>
      <c r="AX234" s="1959">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6"/>
      <c r="C235" s="1387"/>
      <c r="D235" s="78"/>
      <c r="E235" s="85">
        <f t="shared" si="149"/>
        <v>0</v>
      </c>
      <c r="F235" s="86"/>
      <c r="G235" s="87">
        <f t="shared" si="150"/>
        <v>0</v>
      </c>
      <c r="H235" s="88">
        <f t="shared" si="151"/>
        <v>0</v>
      </c>
      <c r="I235" s="1387"/>
      <c r="J235" s="89"/>
      <c r="K235" s="138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87"/>
      <c r="AG235" s="90"/>
      <c r="AH235" s="90"/>
      <c r="AI235" s="90"/>
      <c r="AJ235" s="90"/>
      <c r="AK235" s="90"/>
      <c r="AL235" s="90"/>
      <c r="AM235" s="90"/>
      <c r="AN235" s="90"/>
      <c r="AO235" s="90"/>
      <c r="AP235" s="90"/>
      <c r="AQ235" s="90"/>
      <c r="AR235" s="90"/>
      <c r="AS235" s="90"/>
      <c r="AT235" s="91"/>
      <c r="AU235" s="92"/>
      <c r="AV235" s="1959">
        <f t="shared" si="153"/>
        <v>0</v>
      </c>
      <c r="AW235" s="1959">
        <f t="shared" si="154"/>
        <v>0</v>
      </c>
      <c r="AX235" s="1959">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6"/>
      <c r="C236" s="1387"/>
      <c r="D236" s="78"/>
      <c r="E236" s="85">
        <f t="shared" si="149"/>
        <v>0</v>
      </c>
      <c r="F236" s="86"/>
      <c r="G236" s="87">
        <f t="shared" si="150"/>
        <v>0</v>
      </c>
      <c r="H236" s="88">
        <f t="shared" si="151"/>
        <v>0</v>
      </c>
      <c r="I236" s="1387"/>
      <c r="J236" s="89"/>
      <c r="K236" s="138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87"/>
      <c r="AG236" s="90"/>
      <c r="AH236" s="90"/>
      <c r="AI236" s="90"/>
      <c r="AJ236" s="90"/>
      <c r="AK236" s="90"/>
      <c r="AL236" s="90"/>
      <c r="AM236" s="90"/>
      <c r="AN236" s="90"/>
      <c r="AO236" s="90"/>
      <c r="AP236" s="90"/>
      <c r="AQ236" s="90"/>
      <c r="AR236" s="90"/>
      <c r="AS236" s="90"/>
      <c r="AT236" s="91"/>
      <c r="AU236" s="92"/>
      <c r="AV236" s="1959">
        <f t="shared" si="153"/>
        <v>0</v>
      </c>
      <c r="AW236" s="1959">
        <f t="shared" si="154"/>
        <v>0</v>
      </c>
      <c r="AX236" s="1959">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6"/>
      <c r="C237" s="1387"/>
      <c r="D237" s="78"/>
      <c r="E237" s="85">
        <f t="shared" si="149"/>
        <v>0</v>
      </c>
      <c r="F237" s="86"/>
      <c r="G237" s="87">
        <f t="shared" si="150"/>
        <v>0</v>
      </c>
      <c r="H237" s="88">
        <f t="shared" si="151"/>
        <v>0</v>
      </c>
      <c r="I237" s="1387"/>
      <c r="J237" s="89"/>
      <c r="K237" s="138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87"/>
      <c r="AG237" s="90"/>
      <c r="AH237" s="90"/>
      <c r="AI237" s="90"/>
      <c r="AJ237" s="90"/>
      <c r="AK237" s="90"/>
      <c r="AL237" s="90"/>
      <c r="AM237" s="90"/>
      <c r="AN237" s="90"/>
      <c r="AO237" s="90"/>
      <c r="AP237" s="90"/>
      <c r="AQ237" s="90"/>
      <c r="AR237" s="90"/>
      <c r="AS237" s="90"/>
      <c r="AT237" s="91"/>
      <c r="AU237" s="92"/>
      <c r="AV237" s="1959">
        <f t="shared" si="153"/>
        <v>0</v>
      </c>
      <c r="AW237" s="1959">
        <f t="shared" si="154"/>
        <v>0</v>
      </c>
      <c r="AX237" s="1959">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6"/>
      <c r="C238" s="1387"/>
      <c r="D238" s="78"/>
      <c r="E238" s="85">
        <f t="shared" si="149"/>
        <v>0</v>
      </c>
      <c r="F238" s="86"/>
      <c r="G238" s="87">
        <f t="shared" si="150"/>
        <v>0</v>
      </c>
      <c r="H238" s="88">
        <f t="shared" si="151"/>
        <v>0</v>
      </c>
      <c r="I238" s="1387"/>
      <c r="J238" s="89"/>
      <c r="K238" s="138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87"/>
      <c r="AG238" s="90"/>
      <c r="AH238" s="90"/>
      <c r="AI238" s="90"/>
      <c r="AJ238" s="90"/>
      <c r="AK238" s="90"/>
      <c r="AL238" s="90"/>
      <c r="AM238" s="90"/>
      <c r="AN238" s="90"/>
      <c r="AO238" s="90"/>
      <c r="AP238" s="90"/>
      <c r="AQ238" s="90"/>
      <c r="AR238" s="90"/>
      <c r="AS238" s="90"/>
      <c r="AT238" s="91"/>
      <c r="AU238" s="92"/>
      <c r="AV238" s="1959">
        <f t="shared" si="153"/>
        <v>0</v>
      </c>
      <c r="AW238" s="1959">
        <f t="shared" si="154"/>
        <v>0</v>
      </c>
      <c r="AX238" s="1959">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88"/>
      <c r="C239" s="1389"/>
      <c r="D239" s="78"/>
      <c r="E239" s="85">
        <f t="shared" si="149"/>
        <v>0</v>
      </c>
      <c r="F239" s="86"/>
      <c r="G239" s="87">
        <f t="shared" si="150"/>
        <v>0</v>
      </c>
      <c r="H239" s="88">
        <f t="shared" si="151"/>
        <v>0</v>
      </c>
      <c r="I239" s="1387"/>
      <c r="J239" s="89"/>
      <c r="K239" s="1387"/>
      <c r="L239" s="89"/>
      <c r="M239" s="1387"/>
      <c r="N239" s="89"/>
      <c r="O239" s="89"/>
      <c r="P239" s="89"/>
      <c r="Q239" s="89"/>
      <c r="R239" s="89"/>
      <c r="S239" s="89"/>
      <c r="T239" s="89"/>
      <c r="U239" s="89"/>
      <c r="V239" s="89"/>
      <c r="W239" s="89"/>
      <c r="X239" s="89"/>
      <c r="Y239" s="89"/>
      <c r="Z239" s="89"/>
      <c r="AA239" s="89"/>
      <c r="AB239" s="89"/>
      <c r="AC239" s="85">
        <f t="shared" si="152"/>
        <v>0</v>
      </c>
      <c r="AD239" s="90"/>
      <c r="AE239" s="90"/>
      <c r="AF239" s="1387"/>
      <c r="AG239" s="90"/>
      <c r="AH239" s="90"/>
      <c r="AI239" s="90"/>
      <c r="AJ239" s="90"/>
      <c r="AK239" s="90"/>
      <c r="AL239" s="90"/>
      <c r="AM239" s="90"/>
      <c r="AN239" s="90"/>
      <c r="AO239" s="90"/>
      <c r="AP239" s="90"/>
      <c r="AQ239" s="90"/>
      <c r="AR239" s="90"/>
      <c r="AS239" s="90"/>
      <c r="AT239" s="91"/>
      <c r="AU239" s="92"/>
      <c r="AV239" s="1959">
        <f t="shared" si="153"/>
        <v>0</v>
      </c>
      <c r="AW239" s="1959">
        <f t="shared" si="154"/>
        <v>0</v>
      </c>
      <c r="AX239" s="1959">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59">
        <f t="shared" si="153"/>
        <v>0</v>
      </c>
      <c r="AW240" s="1959">
        <f t="shared" si="154"/>
        <v>0</v>
      </c>
      <c r="AX240" s="1959">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59">
        <f t="shared" si="153"/>
        <v>0</v>
      </c>
      <c r="AW241" s="1959">
        <f t="shared" si="154"/>
        <v>0</v>
      </c>
      <c r="AX241" s="1959">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59">
        <f t="shared" si="153"/>
        <v>0</v>
      </c>
      <c r="AW242" s="1959">
        <f t="shared" si="154"/>
        <v>0</v>
      </c>
      <c r="AX242" s="1959">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59">
        <f t="shared" si="153"/>
        <v>0</v>
      </c>
      <c r="AW243" s="1959">
        <f t="shared" si="154"/>
        <v>0</v>
      </c>
      <c r="AX243" s="1959">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59">
        <f t="shared" si="153"/>
        <v>0</v>
      </c>
      <c r="AW244" s="1959">
        <f t="shared" si="154"/>
        <v>0</v>
      </c>
      <c r="AX244" s="1959">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59">
        <f t="shared" si="153"/>
        <v>0</v>
      </c>
      <c r="AW245" s="1959">
        <f t="shared" si="154"/>
        <v>0</v>
      </c>
      <c r="AX245" s="1959">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59">
        <f t="shared" si="153"/>
        <v>0</v>
      </c>
      <c r="AW246" s="1959">
        <f t="shared" si="154"/>
        <v>0</v>
      </c>
      <c r="AX246" s="1959">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59">
        <f t="shared" si="153"/>
        <v>0</v>
      </c>
      <c r="AW247" s="1959">
        <f t="shared" si="154"/>
        <v>0</v>
      </c>
      <c r="AX247" s="1959">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59">
        <f t="shared" si="153"/>
        <v>0</v>
      </c>
      <c r="AW248" s="1959">
        <f t="shared" si="154"/>
        <v>0</v>
      </c>
      <c r="AX248" s="1959">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59">
        <f t="shared" si="153"/>
        <v>0</v>
      </c>
      <c r="AW249" s="1959">
        <f t="shared" si="154"/>
        <v>0</v>
      </c>
      <c r="AX249" s="1959">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59">
        <f t="shared" si="153"/>
        <v>0</v>
      </c>
      <c r="AW250" s="1959">
        <f t="shared" si="154"/>
        <v>0</v>
      </c>
      <c r="AX250" s="1959">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59">
        <f t="shared" si="153"/>
        <v>0</v>
      </c>
      <c r="AW251" s="1959">
        <f t="shared" si="154"/>
        <v>0</v>
      </c>
      <c r="AX251" s="1959">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59">
        <f t="shared" si="153"/>
        <v>0</v>
      </c>
      <c r="AW252" s="1959">
        <f t="shared" si="154"/>
        <v>0</v>
      </c>
      <c r="AX252" s="1959">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59">
        <f t="shared" si="153"/>
        <v>0</v>
      </c>
      <c r="AW253" s="1959">
        <f t="shared" si="154"/>
        <v>0</v>
      </c>
      <c r="AX253" s="1959">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59">
        <f t="shared" si="153"/>
        <v>0</v>
      </c>
      <c r="AW254" s="1959">
        <f t="shared" si="154"/>
        <v>0</v>
      </c>
      <c r="AX254" s="1959">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59">
        <f t="shared" si="153"/>
        <v>0</v>
      </c>
      <c r="AW255" s="1959">
        <f t="shared" si="154"/>
        <v>0</v>
      </c>
      <c r="AX255" s="1959">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59">
        <f t="shared" si="153"/>
        <v>0</v>
      </c>
      <c r="AW256" s="1959">
        <f t="shared" si="154"/>
        <v>0</v>
      </c>
      <c r="AX256" s="1959">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59">
        <f t="shared" si="153"/>
        <v>0</v>
      </c>
      <c r="AW257" s="1959">
        <f t="shared" si="154"/>
        <v>0</v>
      </c>
      <c r="AX257" s="1959">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59">
        <f t="shared" si="153"/>
        <v>0</v>
      </c>
      <c r="AW258" s="1959">
        <f t="shared" si="154"/>
        <v>0</v>
      </c>
      <c r="AX258" s="1959">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59">
        <f t="shared" si="153"/>
        <v>0</v>
      </c>
      <c r="AW259" s="1959">
        <f t="shared" si="154"/>
        <v>0</v>
      </c>
      <c r="AX259" s="1959">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59">
        <f t="shared" si="153"/>
        <v>0</v>
      </c>
      <c r="AW260" s="1959">
        <f t="shared" si="154"/>
        <v>0</v>
      </c>
      <c r="AX260" s="1959">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59">
        <f t="shared" si="153"/>
        <v>0</v>
      </c>
      <c r="AW261" s="1959">
        <f t="shared" si="154"/>
        <v>0</v>
      </c>
      <c r="AX261" s="1959">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59">
        <f t="shared" si="153"/>
        <v>0</v>
      </c>
      <c r="AW262" s="1959">
        <f t="shared" si="154"/>
        <v>0</v>
      </c>
      <c r="AX262" s="1959">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59">
        <f t="shared" si="153"/>
        <v>0</v>
      </c>
      <c r="AW263" s="1959">
        <f t="shared" si="154"/>
        <v>0</v>
      </c>
      <c r="AX263" s="1959">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59">
        <f t="shared" si="153"/>
        <v>0</v>
      </c>
      <c r="AW264" s="1959">
        <f t="shared" si="154"/>
        <v>0</v>
      </c>
      <c r="AX264" s="1959">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59">
        <f t="shared" si="153"/>
        <v>0</v>
      </c>
      <c r="AW265" s="1959">
        <f t="shared" si="154"/>
        <v>0</v>
      </c>
      <c r="AX265" s="1959">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59">
        <f t="shared" si="153"/>
        <v>0</v>
      </c>
      <c r="AW266" s="1959">
        <f t="shared" si="154"/>
        <v>0</v>
      </c>
      <c r="AX266" s="1959">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59">
        <f t="shared" si="153"/>
        <v>0</v>
      </c>
      <c r="AW267" s="1959">
        <f t="shared" si="154"/>
        <v>0</v>
      </c>
      <c r="AX267" s="1959">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59">
        <f t="shared" si="153"/>
        <v>0</v>
      </c>
      <c r="AW268" s="1959">
        <f t="shared" si="154"/>
        <v>0</v>
      </c>
      <c r="AX268" s="1959">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59">
        <f t="shared" si="153"/>
        <v>0</v>
      </c>
      <c r="AW269" s="1959">
        <f t="shared" si="154"/>
        <v>0</v>
      </c>
      <c r="AX269" s="1959">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59">
        <f t="shared" si="153"/>
        <v>0</v>
      </c>
      <c r="AW270" s="1959">
        <f t="shared" si="154"/>
        <v>0</v>
      </c>
      <c r="AX270" s="1959">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59">
        <f t="shared" si="153"/>
        <v>0</v>
      </c>
      <c r="AW271" s="1959">
        <f t="shared" si="154"/>
        <v>0</v>
      </c>
      <c r="AX271" s="1959">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59">
        <f t="shared" si="153"/>
        <v>0</v>
      </c>
      <c r="AW272" s="1959">
        <f t="shared" si="154"/>
        <v>0</v>
      </c>
      <c r="AX272" s="1959">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59">
        <f t="shared" si="153"/>
        <v>0</v>
      </c>
      <c r="AW273" s="1959">
        <f t="shared" si="154"/>
        <v>0</v>
      </c>
      <c r="AX273" s="1959">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59">
        <f t="shared" si="153"/>
        <v>0</v>
      </c>
      <c r="AW274" s="1959">
        <f t="shared" si="154"/>
        <v>0</v>
      </c>
      <c r="AX274" s="1959">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59">
        <f t="shared" si="153"/>
        <v>0</v>
      </c>
      <c r="AW275" s="1959">
        <f t="shared" si="154"/>
        <v>0</v>
      </c>
      <c r="AX275" s="1959">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59">
        <f t="shared" si="153"/>
        <v>0</v>
      </c>
      <c r="AW276" s="1959">
        <f t="shared" si="154"/>
        <v>0</v>
      </c>
      <c r="AX276" s="1959">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59">
        <f t="shared" si="153"/>
        <v>0</v>
      </c>
      <c r="AW277" s="1959">
        <f t="shared" si="154"/>
        <v>0</v>
      </c>
      <c r="AX277" s="1959">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59">
        <f t="shared" si="153"/>
        <v>0</v>
      </c>
      <c r="AW278" s="1959">
        <f t="shared" si="154"/>
        <v>0</v>
      </c>
      <c r="AX278" s="1959">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59">
        <f t="shared" si="153"/>
        <v>0</v>
      </c>
      <c r="AW279" s="1959">
        <f t="shared" si="154"/>
        <v>0</v>
      </c>
      <c r="AX279" s="1959">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59">
        <f t="shared" si="153"/>
        <v>0</v>
      </c>
      <c r="AW280" s="1959">
        <f t="shared" si="154"/>
        <v>0</v>
      </c>
      <c r="AX280" s="1959">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59">
        <f t="shared" si="153"/>
        <v>0</v>
      </c>
      <c r="AW281" s="1959">
        <f t="shared" si="154"/>
        <v>0</v>
      </c>
      <c r="AX281" s="1959">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59">
        <f t="shared" si="153"/>
        <v>0</v>
      </c>
      <c r="AW282" s="1959">
        <f t="shared" si="154"/>
        <v>0</v>
      </c>
      <c r="AX282" s="1959">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59">
        <f t="shared" si="153"/>
        <v>0</v>
      </c>
      <c r="AW283" s="1959">
        <f t="shared" si="154"/>
        <v>0</v>
      </c>
      <c r="AX283" s="1959">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59">
        <f t="shared" si="153"/>
        <v>0</v>
      </c>
      <c r="AW284" s="1959">
        <f t="shared" si="154"/>
        <v>0</v>
      </c>
      <c r="AX284" s="1959">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59">
        <f t="shared" si="153"/>
        <v>0</v>
      </c>
      <c r="AW285" s="1959">
        <f t="shared" si="154"/>
        <v>0</v>
      </c>
      <c r="AX285" s="1959">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59">
        <f t="shared" si="153"/>
        <v>0</v>
      </c>
      <c r="AW286" s="1959">
        <f t="shared" si="154"/>
        <v>0</v>
      </c>
      <c r="AX286" s="1959">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59">
        <f t="shared" si="153"/>
        <v>0</v>
      </c>
      <c r="AW287" s="1959">
        <f t="shared" si="154"/>
        <v>0</v>
      </c>
      <c r="AX287" s="1959">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59">
        <f t="shared" si="153"/>
        <v>0</v>
      </c>
      <c r="AW288" s="1959">
        <f t="shared" si="154"/>
        <v>0</v>
      </c>
      <c r="AX288" s="1959">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59">
        <f t="shared" si="153"/>
        <v>0</v>
      </c>
      <c r="AW289" s="1959">
        <f t="shared" si="154"/>
        <v>0</v>
      </c>
      <c r="AX289" s="1959">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59">
        <f t="shared" si="153"/>
        <v>0</v>
      </c>
      <c r="AW290" s="1959">
        <f t="shared" si="154"/>
        <v>0</v>
      </c>
      <c r="AX290" s="1959">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59">
        <f t="shared" si="153"/>
        <v>0</v>
      </c>
      <c r="AW291" s="1959">
        <f t="shared" si="154"/>
        <v>0</v>
      </c>
      <c r="AX291" s="1959">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59">
        <f t="shared" si="153"/>
        <v>0</v>
      </c>
      <c r="AW292" s="1959">
        <f t="shared" si="154"/>
        <v>0</v>
      </c>
      <c r="AX292" s="1959">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59">
        <f t="shared" si="153"/>
        <v>0</v>
      </c>
      <c r="AW293" s="1959">
        <f t="shared" si="154"/>
        <v>0</v>
      </c>
      <c r="AX293" s="1959">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59">
        <f t="shared" si="153"/>
        <v>0</v>
      </c>
      <c r="AW294" s="1959">
        <f t="shared" si="154"/>
        <v>0</v>
      </c>
      <c r="AX294" s="1959">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59">
        <f t="shared" si="153"/>
        <v>0</v>
      </c>
      <c r="AW295" s="1959">
        <f t="shared" si="154"/>
        <v>0</v>
      </c>
      <c r="AX295" s="1959">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59">
        <f t="shared" si="153"/>
        <v>0</v>
      </c>
      <c r="AW296" s="1959">
        <f t="shared" si="154"/>
        <v>0</v>
      </c>
      <c r="AX296" s="1959">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6"/>
      <c r="C297" s="1387"/>
      <c r="D297" s="78"/>
      <c r="E297" s="85">
        <f t="shared" ref="E297:E328" si="203">IF($C$3="是",ROUND($A$3*G297/$B$3,2),ROUND($A$3*(G297-AT297)/$B$3,2))</f>
        <v>0</v>
      </c>
      <c r="F297" s="86"/>
      <c r="G297" s="87">
        <f t="shared" si="178"/>
        <v>0</v>
      </c>
      <c r="H297" s="88">
        <f t="shared" si="179"/>
        <v>0</v>
      </c>
      <c r="I297" s="1389"/>
      <c r="J297" s="89"/>
      <c r="K297" s="138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0"/>
      <c r="AG297" s="90"/>
      <c r="AH297" s="90"/>
      <c r="AI297" s="90"/>
      <c r="AJ297" s="90"/>
      <c r="AK297" s="90"/>
      <c r="AL297" s="90"/>
      <c r="AM297" s="90"/>
      <c r="AN297" s="1358"/>
      <c r="AO297" s="90"/>
      <c r="AP297" s="90"/>
      <c r="AQ297" s="90"/>
      <c r="AR297" s="90"/>
      <c r="AS297" s="90"/>
      <c r="AT297" s="91"/>
      <c r="AU297" s="92"/>
      <c r="AV297" s="1959">
        <f t="shared" ref="AV297:AV328" si="204">A297</f>
        <v>0</v>
      </c>
      <c r="AW297" s="1959">
        <f t="shared" ref="AW297:AW328" si="205">B297</f>
        <v>0</v>
      </c>
      <c r="AX297" s="1959">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6"/>
      <c r="C298" s="1387"/>
      <c r="D298" s="78"/>
      <c r="E298" s="85">
        <f t="shared" si="203"/>
        <v>0</v>
      </c>
      <c r="F298" s="86"/>
      <c r="G298" s="87">
        <f t="shared" si="178"/>
        <v>0</v>
      </c>
      <c r="H298" s="88">
        <f t="shared" si="179"/>
        <v>0</v>
      </c>
      <c r="I298" s="1389"/>
      <c r="J298" s="89"/>
      <c r="K298" s="1389"/>
      <c r="L298" s="89"/>
      <c r="M298" s="1358"/>
      <c r="N298" s="89"/>
      <c r="O298" s="89"/>
      <c r="P298" s="89"/>
      <c r="Q298" s="89"/>
      <c r="R298" s="89"/>
      <c r="S298" s="89"/>
      <c r="T298" s="89"/>
      <c r="U298" s="89"/>
      <c r="V298" s="89"/>
      <c r="W298" s="89"/>
      <c r="X298" s="89"/>
      <c r="Y298" s="89"/>
      <c r="Z298" s="89"/>
      <c r="AA298" s="89"/>
      <c r="AB298" s="89"/>
      <c r="AC298" s="85">
        <f t="shared" si="180"/>
        <v>0</v>
      </c>
      <c r="AD298" s="1358"/>
      <c r="AE298" s="90"/>
      <c r="AF298" s="1390"/>
      <c r="AG298" s="90"/>
      <c r="AH298" s="90"/>
      <c r="AI298" s="90"/>
      <c r="AJ298" s="90"/>
      <c r="AK298" s="90"/>
      <c r="AL298" s="1358"/>
      <c r="AM298" s="90"/>
      <c r="AN298" s="1358"/>
      <c r="AO298" s="90"/>
      <c r="AP298" s="90"/>
      <c r="AQ298" s="90"/>
      <c r="AR298" s="90"/>
      <c r="AS298" s="90"/>
      <c r="AT298" s="91"/>
      <c r="AU298" s="92"/>
      <c r="AV298" s="1959">
        <f t="shared" si="204"/>
        <v>0</v>
      </c>
      <c r="AW298" s="1959">
        <f t="shared" si="205"/>
        <v>0</v>
      </c>
      <c r="AX298" s="1959">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6"/>
      <c r="C299" s="1387"/>
      <c r="D299" s="78"/>
      <c r="E299" s="85">
        <f t="shared" si="203"/>
        <v>0</v>
      </c>
      <c r="F299" s="86"/>
      <c r="G299" s="87">
        <f t="shared" si="178"/>
        <v>0</v>
      </c>
      <c r="H299" s="88">
        <f t="shared" si="179"/>
        <v>0</v>
      </c>
      <c r="I299" s="1389"/>
      <c r="J299" s="89"/>
      <c r="K299" s="1389"/>
      <c r="L299" s="89"/>
      <c r="M299" s="1358"/>
      <c r="N299" s="89"/>
      <c r="O299" s="89"/>
      <c r="P299" s="89"/>
      <c r="Q299" s="89"/>
      <c r="R299" s="89"/>
      <c r="S299" s="89"/>
      <c r="T299" s="89"/>
      <c r="U299" s="89"/>
      <c r="V299" s="89"/>
      <c r="W299" s="89"/>
      <c r="X299" s="89"/>
      <c r="Y299" s="89"/>
      <c r="Z299" s="89"/>
      <c r="AA299" s="89"/>
      <c r="AB299" s="89"/>
      <c r="AC299" s="85">
        <f t="shared" si="180"/>
        <v>0</v>
      </c>
      <c r="AD299" s="90"/>
      <c r="AE299" s="90"/>
      <c r="AF299" s="1390"/>
      <c r="AG299" s="90"/>
      <c r="AH299" s="90"/>
      <c r="AI299" s="90"/>
      <c r="AJ299" s="90"/>
      <c r="AK299" s="90"/>
      <c r="AL299" s="1358"/>
      <c r="AM299" s="90"/>
      <c r="AN299" s="1358"/>
      <c r="AO299" s="90"/>
      <c r="AP299" s="90"/>
      <c r="AQ299" s="90"/>
      <c r="AR299" s="90"/>
      <c r="AS299" s="90"/>
      <c r="AT299" s="91"/>
      <c r="AU299" s="92"/>
      <c r="AV299" s="1959">
        <f t="shared" si="204"/>
        <v>0</v>
      </c>
      <c r="AW299" s="1959">
        <f t="shared" si="205"/>
        <v>0</v>
      </c>
      <c r="AX299" s="1959">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6"/>
      <c r="C300" s="1387"/>
      <c r="D300" s="78"/>
      <c r="E300" s="85">
        <f t="shared" si="203"/>
        <v>0</v>
      </c>
      <c r="F300" s="86"/>
      <c r="G300" s="87">
        <f t="shared" si="178"/>
        <v>0</v>
      </c>
      <c r="H300" s="88">
        <f t="shared" si="179"/>
        <v>0</v>
      </c>
      <c r="I300" s="1389"/>
      <c r="J300" s="89"/>
      <c r="K300" s="1389"/>
      <c r="L300" s="89"/>
      <c r="M300" s="89"/>
      <c r="N300" s="89"/>
      <c r="O300" s="1358"/>
      <c r="P300" s="89"/>
      <c r="Q300" s="89"/>
      <c r="R300" s="89"/>
      <c r="S300" s="89"/>
      <c r="T300" s="89"/>
      <c r="U300" s="89"/>
      <c r="V300" s="89"/>
      <c r="W300" s="89"/>
      <c r="X300" s="89"/>
      <c r="Y300" s="89"/>
      <c r="Z300" s="89"/>
      <c r="AA300" s="89"/>
      <c r="AB300" s="89"/>
      <c r="AC300" s="85">
        <f t="shared" si="180"/>
        <v>0</v>
      </c>
      <c r="AD300" s="90"/>
      <c r="AE300" s="90"/>
      <c r="AF300" s="1390"/>
      <c r="AG300" s="90"/>
      <c r="AH300" s="90"/>
      <c r="AI300" s="90"/>
      <c r="AJ300" s="90"/>
      <c r="AK300" s="90"/>
      <c r="AL300" s="90"/>
      <c r="AM300" s="90"/>
      <c r="AN300" s="1358"/>
      <c r="AO300" s="90"/>
      <c r="AP300" s="90"/>
      <c r="AQ300" s="90"/>
      <c r="AR300" s="90"/>
      <c r="AS300" s="90"/>
      <c r="AT300" s="91"/>
      <c r="AU300" s="92"/>
      <c r="AV300" s="1959">
        <f t="shared" si="204"/>
        <v>0</v>
      </c>
      <c r="AW300" s="1959">
        <f t="shared" si="205"/>
        <v>0</v>
      </c>
      <c r="AX300" s="1959">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6"/>
      <c r="C301" s="1387"/>
      <c r="D301" s="78"/>
      <c r="E301" s="85">
        <f t="shared" si="203"/>
        <v>0</v>
      </c>
      <c r="F301" s="86"/>
      <c r="G301" s="87">
        <f t="shared" si="178"/>
        <v>0</v>
      </c>
      <c r="H301" s="88">
        <f t="shared" si="179"/>
        <v>0</v>
      </c>
      <c r="I301" s="1389"/>
      <c r="J301" s="89"/>
      <c r="K301" s="138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0"/>
      <c r="AG301" s="90"/>
      <c r="AH301" s="90"/>
      <c r="AI301" s="90"/>
      <c r="AJ301" s="90"/>
      <c r="AK301" s="90"/>
      <c r="AL301" s="90"/>
      <c r="AM301" s="90"/>
      <c r="AN301" s="90"/>
      <c r="AO301" s="90"/>
      <c r="AP301" s="90"/>
      <c r="AQ301" s="90"/>
      <c r="AR301" s="90"/>
      <c r="AS301" s="90"/>
      <c r="AT301" s="91"/>
      <c r="AU301" s="92"/>
      <c r="AV301" s="1959">
        <f t="shared" si="204"/>
        <v>0</v>
      </c>
      <c r="AW301" s="1959">
        <f t="shared" si="205"/>
        <v>0</v>
      </c>
      <c r="AX301" s="1959">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6"/>
      <c r="C302" s="1387"/>
      <c r="D302" s="78"/>
      <c r="E302" s="85">
        <f t="shared" si="203"/>
        <v>0</v>
      </c>
      <c r="F302" s="86"/>
      <c r="G302" s="87">
        <f t="shared" si="178"/>
        <v>0</v>
      </c>
      <c r="H302" s="88">
        <f t="shared" si="179"/>
        <v>0</v>
      </c>
      <c r="I302" s="1389"/>
      <c r="J302" s="89"/>
      <c r="K302" s="138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0"/>
      <c r="AG302" s="90"/>
      <c r="AH302" s="90"/>
      <c r="AI302" s="90"/>
      <c r="AJ302" s="90"/>
      <c r="AK302" s="90"/>
      <c r="AL302" s="90"/>
      <c r="AM302" s="90"/>
      <c r="AN302" s="90"/>
      <c r="AO302" s="90"/>
      <c r="AP302" s="90"/>
      <c r="AQ302" s="90"/>
      <c r="AR302" s="90"/>
      <c r="AS302" s="90"/>
      <c r="AT302" s="91"/>
      <c r="AU302" s="92"/>
      <c r="AV302" s="1959">
        <f t="shared" si="204"/>
        <v>0</v>
      </c>
      <c r="AW302" s="1959">
        <f t="shared" si="205"/>
        <v>0</v>
      </c>
      <c r="AX302" s="1959">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6"/>
      <c r="C303" s="1387"/>
      <c r="D303" s="78"/>
      <c r="E303" s="85">
        <f t="shared" si="203"/>
        <v>0</v>
      </c>
      <c r="F303" s="86"/>
      <c r="G303" s="87">
        <f t="shared" si="178"/>
        <v>0</v>
      </c>
      <c r="H303" s="88">
        <f t="shared" si="179"/>
        <v>0</v>
      </c>
      <c r="I303" s="1389"/>
      <c r="J303" s="89"/>
      <c r="K303" s="138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0"/>
      <c r="AG303" s="90"/>
      <c r="AH303" s="90"/>
      <c r="AI303" s="90"/>
      <c r="AJ303" s="90"/>
      <c r="AK303" s="90"/>
      <c r="AL303" s="90"/>
      <c r="AM303" s="90"/>
      <c r="AN303" s="90"/>
      <c r="AO303" s="90"/>
      <c r="AP303" s="90"/>
      <c r="AQ303" s="90"/>
      <c r="AR303" s="90"/>
      <c r="AS303" s="90"/>
      <c r="AT303" s="91"/>
      <c r="AU303" s="92"/>
      <c r="AV303" s="1959">
        <f t="shared" si="204"/>
        <v>0</v>
      </c>
      <c r="AW303" s="1959">
        <f t="shared" si="205"/>
        <v>0</v>
      </c>
      <c r="AX303" s="1959">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6"/>
      <c r="C304" s="1387"/>
      <c r="D304" s="78"/>
      <c r="E304" s="85">
        <f t="shared" si="203"/>
        <v>0</v>
      </c>
      <c r="F304" s="86"/>
      <c r="G304" s="87">
        <f t="shared" si="178"/>
        <v>0</v>
      </c>
      <c r="H304" s="88">
        <f t="shared" si="179"/>
        <v>0</v>
      </c>
      <c r="I304" s="1389"/>
      <c r="J304" s="89"/>
      <c r="K304" s="138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89"/>
      <c r="AG304" s="90"/>
      <c r="AH304" s="90"/>
      <c r="AI304" s="90"/>
      <c r="AJ304" s="90"/>
      <c r="AK304" s="90"/>
      <c r="AL304" s="90"/>
      <c r="AM304" s="90"/>
      <c r="AN304" s="90"/>
      <c r="AO304" s="90"/>
      <c r="AP304" s="90"/>
      <c r="AQ304" s="90"/>
      <c r="AR304" s="90"/>
      <c r="AS304" s="90"/>
      <c r="AT304" s="91"/>
      <c r="AU304" s="92"/>
      <c r="AV304" s="1959">
        <f t="shared" si="204"/>
        <v>0</v>
      </c>
      <c r="AW304" s="1959">
        <f t="shared" si="205"/>
        <v>0</v>
      </c>
      <c r="AX304" s="1959">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88"/>
      <c r="C305" s="1389"/>
      <c r="D305" s="78"/>
      <c r="E305" s="85">
        <f t="shared" si="203"/>
        <v>0</v>
      </c>
      <c r="F305" s="86"/>
      <c r="G305" s="87">
        <f t="shared" si="178"/>
        <v>0</v>
      </c>
      <c r="H305" s="88">
        <f t="shared" si="179"/>
        <v>0</v>
      </c>
      <c r="I305" s="1389"/>
      <c r="J305" s="89"/>
      <c r="K305" s="138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89"/>
      <c r="AG305" s="90"/>
      <c r="AH305" s="90"/>
      <c r="AI305" s="90"/>
      <c r="AJ305" s="90"/>
      <c r="AK305" s="90"/>
      <c r="AL305" s="90"/>
      <c r="AM305" s="90"/>
      <c r="AN305" s="90"/>
      <c r="AO305" s="90"/>
      <c r="AP305" s="90"/>
      <c r="AQ305" s="90"/>
      <c r="AR305" s="90"/>
      <c r="AS305" s="90"/>
      <c r="AT305" s="91"/>
      <c r="AU305" s="92"/>
      <c r="AV305" s="1959">
        <f t="shared" si="204"/>
        <v>0</v>
      </c>
      <c r="AW305" s="1959">
        <f t="shared" si="205"/>
        <v>0</v>
      </c>
      <c r="AX305" s="1959">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6"/>
      <c r="C306" s="1387"/>
      <c r="D306" s="78"/>
      <c r="E306" s="85">
        <f t="shared" si="203"/>
        <v>0</v>
      </c>
      <c r="F306" s="86"/>
      <c r="G306" s="87">
        <f t="shared" si="178"/>
        <v>0</v>
      </c>
      <c r="H306" s="88">
        <f t="shared" si="179"/>
        <v>0</v>
      </c>
      <c r="I306" s="1389"/>
      <c r="J306" s="89"/>
      <c r="K306" s="138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89"/>
      <c r="AG306" s="90"/>
      <c r="AH306" s="90"/>
      <c r="AI306" s="90"/>
      <c r="AJ306" s="90"/>
      <c r="AK306" s="90"/>
      <c r="AL306" s="90"/>
      <c r="AM306" s="90"/>
      <c r="AN306" s="90"/>
      <c r="AO306" s="90"/>
      <c r="AP306" s="90"/>
      <c r="AQ306" s="90"/>
      <c r="AR306" s="90"/>
      <c r="AS306" s="90"/>
      <c r="AT306" s="91"/>
      <c r="AU306" s="92"/>
      <c r="AV306" s="1959">
        <f t="shared" si="204"/>
        <v>0</v>
      </c>
      <c r="AW306" s="1959">
        <f t="shared" si="205"/>
        <v>0</v>
      </c>
      <c r="AX306" s="1959">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6"/>
      <c r="C307" s="1387"/>
      <c r="D307" s="78"/>
      <c r="E307" s="85">
        <f t="shared" si="203"/>
        <v>0</v>
      </c>
      <c r="F307" s="86"/>
      <c r="G307" s="87">
        <f t="shared" si="178"/>
        <v>0</v>
      </c>
      <c r="H307" s="88">
        <f t="shared" si="179"/>
        <v>0</v>
      </c>
      <c r="I307" s="1389"/>
      <c r="J307" s="89"/>
      <c r="K307" s="138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89"/>
      <c r="AG307" s="90"/>
      <c r="AH307" s="90"/>
      <c r="AI307" s="90"/>
      <c r="AJ307" s="90"/>
      <c r="AK307" s="90"/>
      <c r="AL307" s="90"/>
      <c r="AM307" s="90"/>
      <c r="AN307" s="90"/>
      <c r="AO307" s="90"/>
      <c r="AP307" s="90"/>
      <c r="AQ307" s="90"/>
      <c r="AR307" s="90"/>
      <c r="AS307" s="90"/>
      <c r="AT307" s="91"/>
      <c r="AU307" s="92"/>
      <c r="AV307" s="1959">
        <f t="shared" si="204"/>
        <v>0</v>
      </c>
      <c r="AW307" s="1959">
        <f t="shared" si="205"/>
        <v>0</v>
      </c>
      <c r="AX307" s="1959">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6"/>
      <c r="C308" s="1387"/>
      <c r="D308" s="78"/>
      <c r="E308" s="85">
        <f t="shared" si="203"/>
        <v>0</v>
      </c>
      <c r="F308" s="86"/>
      <c r="G308" s="87">
        <f t="shared" si="178"/>
        <v>0</v>
      </c>
      <c r="H308" s="88">
        <f t="shared" si="179"/>
        <v>0</v>
      </c>
      <c r="I308" s="1389"/>
      <c r="J308" s="89"/>
      <c r="K308" s="138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89"/>
      <c r="AG308" s="90"/>
      <c r="AH308" s="90"/>
      <c r="AI308" s="90"/>
      <c r="AJ308" s="90"/>
      <c r="AK308" s="90"/>
      <c r="AL308" s="90"/>
      <c r="AM308" s="90"/>
      <c r="AN308" s="90"/>
      <c r="AO308" s="90"/>
      <c r="AP308" s="90"/>
      <c r="AQ308" s="90"/>
      <c r="AR308" s="90"/>
      <c r="AS308" s="90"/>
      <c r="AT308" s="91"/>
      <c r="AU308" s="92"/>
      <c r="AV308" s="1959">
        <f t="shared" si="204"/>
        <v>0</v>
      </c>
      <c r="AW308" s="1959">
        <f t="shared" si="205"/>
        <v>0</v>
      </c>
      <c r="AX308" s="1959">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6"/>
      <c r="C309" s="1387"/>
      <c r="D309" s="78"/>
      <c r="E309" s="85">
        <f t="shared" si="203"/>
        <v>0</v>
      </c>
      <c r="F309" s="86"/>
      <c r="G309" s="87">
        <f t="shared" si="178"/>
        <v>0</v>
      </c>
      <c r="H309" s="88">
        <f t="shared" si="179"/>
        <v>0</v>
      </c>
      <c r="I309" s="1389"/>
      <c r="J309" s="89"/>
      <c r="K309" s="138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89"/>
      <c r="AG309" s="90"/>
      <c r="AH309" s="90"/>
      <c r="AI309" s="90"/>
      <c r="AJ309" s="90"/>
      <c r="AK309" s="90"/>
      <c r="AL309" s="90"/>
      <c r="AM309" s="90"/>
      <c r="AN309" s="90"/>
      <c r="AO309" s="90"/>
      <c r="AP309" s="90"/>
      <c r="AQ309" s="90"/>
      <c r="AR309" s="90"/>
      <c r="AS309" s="90"/>
      <c r="AT309" s="91"/>
      <c r="AU309" s="92"/>
      <c r="AV309" s="1959">
        <f t="shared" si="204"/>
        <v>0</v>
      </c>
      <c r="AW309" s="1959">
        <f t="shared" si="205"/>
        <v>0</v>
      </c>
      <c r="AX309" s="1959">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6"/>
      <c r="C310" s="1387"/>
      <c r="D310" s="78"/>
      <c r="E310" s="85">
        <f t="shared" si="203"/>
        <v>0</v>
      </c>
      <c r="F310" s="86"/>
      <c r="G310" s="87">
        <f t="shared" si="178"/>
        <v>0</v>
      </c>
      <c r="H310" s="88">
        <f t="shared" si="179"/>
        <v>0</v>
      </c>
      <c r="I310" s="1389"/>
      <c r="J310" s="89"/>
      <c r="K310" s="138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89"/>
      <c r="AG310" s="90"/>
      <c r="AH310" s="90"/>
      <c r="AI310" s="90"/>
      <c r="AJ310" s="90"/>
      <c r="AK310" s="90"/>
      <c r="AL310" s="90"/>
      <c r="AM310" s="90"/>
      <c r="AN310" s="90"/>
      <c r="AO310" s="90"/>
      <c r="AP310" s="90"/>
      <c r="AQ310" s="90"/>
      <c r="AR310" s="90"/>
      <c r="AS310" s="90"/>
      <c r="AT310" s="91"/>
      <c r="AU310" s="92"/>
      <c r="AV310" s="1959">
        <f t="shared" si="204"/>
        <v>0</v>
      </c>
      <c r="AW310" s="1959">
        <f t="shared" si="205"/>
        <v>0</v>
      </c>
      <c r="AX310" s="1959">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6"/>
      <c r="C311" s="1387"/>
      <c r="D311" s="78"/>
      <c r="E311" s="85">
        <f t="shared" si="203"/>
        <v>0</v>
      </c>
      <c r="F311" s="86"/>
      <c r="G311" s="87">
        <f t="shared" si="178"/>
        <v>0</v>
      </c>
      <c r="H311" s="88">
        <f t="shared" si="179"/>
        <v>0</v>
      </c>
      <c r="I311" s="1389"/>
      <c r="J311" s="89"/>
      <c r="K311" s="138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89"/>
      <c r="AG311" s="90"/>
      <c r="AH311" s="90"/>
      <c r="AI311" s="90"/>
      <c r="AJ311" s="90"/>
      <c r="AK311" s="90"/>
      <c r="AL311" s="90"/>
      <c r="AM311" s="90"/>
      <c r="AN311" s="90"/>
      <c r="AO311" s="90"/>
      <c r="AP311" s="90"/>
      <c r="AQ311" s="90"/>
      <c r="AR311" s="90"/>
      <c r="AS311" s="90"/>
      <c r="AT311" s="91"/>
      <c r="AU311" s="92"/>
      <c r="AV311" s="1959">
        <f t="shared" si="204"/>
        <v>0</v>
      </c>
      <c r="AW311" s="1959">
        <f t="shared" si="205"/>
        <v>0</v>
      </c>
      <c r="AX311" s="1959">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6"/>
      <c r="C312" s="1387"/>
      <c r="D312" s="78"/>
      <c r="E312" s="85">
        <f t="shared" si="203"/>
        <v>0</v>
      </c>
      <c r="F312" s="86"/>
      <c r="G312" s="87">
        <f t="shared" si="178"/>
        <v>0</v>
      </c>
      <c r="H312" s="88">
        <f t="shared" si="179"/>
        <v>0</v>
      </c>
      <c r="I312" s="1389"/>
      <c r="J312" s="89"/>
      <c r="K312" s="138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89"/>
      <c r="AG312" s="90"/>
      <c r="AH312" s="90"/>
      <c r="AI312" s="90"/>
      <c r="AJ312" s="90"/>
      <c r="AK312" s="90"/>
      <c r="AL312" s="90"/>
      <c r="AM312" s="90"/>
      <c r="AN312" s="90"/>
      <c r="AO312" s="90"/>
      <c r="AP312" s="90"/>
      <c r="AQ312" s="90"/>
      <c r="AR312" s="90"/>
      <c r="AS312" s="90"/>
      <c r="AT312" s="91"/>
      <c r="AU312" s="92"/>
      <c r="AV312" s="1959">
        <f t="shared" si="204"/>
        <v>0</v>
      </c>
      <c r="AW312" s="1959">
        <f t="shared" si="205"/>
        <v>0</v>
      </c>
      <c r="AX312" s="1959">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6"/>
      <c r="C313" s="1387"/>
      <c r="D313" s="78"/>
      <c r="E313" s="85">
        <f t="shared" si="203"/>
        <v>0</v>
      </c>
      <c r="F313" s="86"/>
      <c r="G313" s="87">
        <f t="shared" si="178"/>
        <v>0</v>
      </c>
      <c r="H313" s="88">
        <f t="shared" si="179"/>
        <v>0</v>
      </c>
      <c r="I313" s="1389"/>
      <c r="J313" s="89"/>
      <c r="K313" s="138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89"/>
      <c r="AG313" s="90"/>
      <c r="AH313" s="90"/>
      <c r="AI313" s="90"/>
      <c r="AJ313" s="90"/>
      <c r="AK313" s="90"/>
      <c r="AL313" s="90"/>
      <c r="AM313" s="90"/>
      <c r="AN313" s="90"/>
      <c r="AO313" s="90"/>
      <c r="AP313" s="90"/>
      <c r="AQ313" s="90"/>
      <c r="AR313" s="90"/>
      <c r="AS313" s="90"/>
      <c r="AT313" s="91"/>
      <c r="AU313" s="92"/>
      <c r="AV313" s="1959">
        <f t="shared" si="204"/>
        <v>0</v>
      </c>
      <c r="AW313" s="1959">
        <f t="shared" si="205"/>
        <v>0</v>
      </c>
      <c r="AX313" s="1959">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6"/>
      <c r="C314" s="1387"/>
      <c r="D314" s="78"/>
      <c r="E314" s="85">
        <f t="shared" si="203"/>
        <v>0</v>
      </c>
      <c r="F314" s="86"/>
      <c r="G314" s="87">
        <f t="shared" si="178"/>
        <v>0</v>
      </c>
      <c r="H314" s="88">
        <f t="shared" si="179"/>
        <v>0</v>
      </c>
      <c r="I314" s="1389"/>
      <c r="J314" s="89"/>
      <c r="K314" s="138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89"/>
      <c r="AG314" s="90"/>
      <c r="AH314" s="90"/>
      <c r="AI314" s="90"/>
      <c r="AJ314" s="90"/>
      <c r="AK314" s="90"/>
      <c r="AL314" s="90"/>
      <c r="AM314" s="90"/>
      <c r="AN314" s="90"/>
      <c r="AO314" s="90"/>
      <c r="AP314" s="90"/>
      <c r="AQ314" s="90"/>
      <c r="AR314" s="90"/>
      <c r="AS314" s="90"/>
      <c r="AT314" s="91"/>
      <c r="AU314" s="92"/>
      <c r="AV314" s="1959">
        <f t="shared" si="204"/>
        <v>0</v>
      </c>
      <c r="AW314" s="1959">
        <f t="shared" si="205"/>
        <v>0</v>
      </c>
      <c r="AX314" s="1959">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6"/>
      <c r="C315" s="1387"/>
      <c r="D315" s="78"/>
      <c r="E315" s="85">
        <f t="shared" si="203"/>
        <v>0</v>
      </c>
      <c r="F315" s="86"/>
      <c r="G315" s="87">
        <f t="shared" si="178"/>
        <v>0</v>
      </c>
      <c r="H315" s="88">
        <f t="shared" si="179"/>
        <v>0</v>
      </c>
      <c r="I315" s="1389"/>
      <c r="J315" s="89"/>
      <c r="K315" s="138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89"/>
      <c r="AG315" s="90"/>
      <c r="AH315" s="90"/>
      <c r="AI315" s="90"/>
      <c r="AJ315" s="90"/>
      <c r="AK315" s="90"/>
      <c r="AL315" s="90"/>
      <c r="AM315" s="90"/>
      <c r="AN315" s="90"/>
      <c r="AO315" s="90"/>
      <c r="AP315" s="90"/>
      <c r="AQ315" s="90"/>
      <c r="AR315" s="90"/>
      <c r="AS315" s="90"/>
      <c r="AT315" s="91"/>
      <c r="AU315" s="92"/>
      <c r="AV315" s="1959">
        <f t="shared" si="204"/>
        <v>0</v>
      </c>
      <c r="AW315" s="1959">
        <f t="shared" si="205"/>
        <v>0</v>
      </c>
      <c r="AX315" s="1959">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6"/>
      <c r="C316" s="1387"/>
      <c r="D316" s="78"/>
      <c r="E316" s="85">
        <f t="shared" si="203"/>
        <v>0</v>
      </c>
      <c r="F316" s="86"/>
      <c r="G316" s="87">
        <f t="shared" si="178"/>
        <v>0</v>
      </c>
      <c r="H316" s="88">
        <f t="shared" si="179"/>
        <v>0</v>
      </c>
      <c r="I316" s="1389"/>
      <c r="J316" s="89"/>
      <c r="K316" s="138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89"/>
      <c r="AG316" s="90"/>
      <c r="AH316" s="90"/>
      <c r="AI316" s="90"/>
      <c r="AJ316" s="90"/>
      <c r="AK316" s="90"/>
      <c r="AL316" s="90"/>
      <c r="AM316" s="90"/>
      <c r="AN316" s="90"/>
      <c r="AO316" s="90"/>
      <c r="AP316" s="90"/>
      <c r="AQ316" s="90"/>
      <c r="AR316" s="90"/>
      <c r="AS316" s="90"/>
      <c r="AT316" s="91"/>
      <c r="AU316" s="92"/>
      <c r="AV316" s="1959">
        <f t="shared" si="204"/>
        <v>0</v>
      </c>
      <c r="AW316" s="1959">
        <f t="shared" si="205"/>
        <v>0</v>
      </c>
      <c r="AX316" s="1959">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6"/>
      <c r="C317" s="1387"/>
      <c r="D317" s="78"/>
      <c r="E317" s="85">
        <f t="shared" si="203"/>
        <v>0</v>
      </c>
      <c r="F317" s="86"/>
      <c r="G317" s="87">
        <f t="shared" si="178"/>
        <v>0</v>
      </c>
      <c r="H317" s="88">
        <f t="shared" si="179"/>
        <v>0</v>
      </c>
      <c r="I317" s="1389"/>
      <c r="J317" s="89"/>
      <c r="K317" s="138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89"/>
      <c r="AG317" s="90"/>
      <c r="AH317" s="90"/>
      <c r="AI317" s="90"/>
      <c r="AJ317" s="90"/>
      <c r="AK317" s="90"/>
      <c r="AL317" s="90"/>
      <c r="AM317" s="90"/>
      <c r="AN317" s="90"/>
      <c r="AO317" s="90"/>
      <c r="AP317" s="90"/>
      <c r="AQ317" s="90"/>
      <c r="AR317" s="90"/>
      <c r="AS317" s="90"/>
      <c r="AT317" s="91"/>
      <c r="AU317" s="92"/>
      <c r="AV317" s="1959">
        <f t="shared" si="204"/>
        <v>0</v>
      </c>
      <c r="AW317" s="1959">
        <f t="shared" si="205"/>
        <v>0</v>
      </c>
      <c r="AX317" s="1959">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6"/>
      <c r="C318" s="1387"/>
      <c r="D318" s="78"/>
      <c r="E318" s="85">
        <f t="shared" si="203"/>
        <v>0</v>
      </c>
      <c r="F318" s="86"/>
      <c r="G318" s="87">
        <f t="shared" si="178"/>
        <v>0</v>
      </c>
      <c r="H318" s="88">
        <f t="shared" si="179"/>
        <v>0</v>
      </c>
      <c r="I318" s="1389"/>
      <c r="J318" s="89"/>
      <c r="K318" s="138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89"/>
      <c r="AG318" s="90"/>
      <c r="AH318" s="90"/>
      <c r="AI318" s="90"/>
      <c r="AJ318" s="90"/>
      <c r="AK318" s="90"/>
      <c r="AL318" s="90"/>
      <c r="AM318" s="90"/>
      <c r="AN318" s="90"/>
      <c r="AO318" s="90"/>
      <c r="AP318" s="90"/>
      <c r="AQ318" s="90"/>
      <c r="AR318" s="90"/>
      <c r="AS318" s="90"/>
      <c r="AT318" s="91"/>
      <c r="AU318" s="92"/>
      <c r="AV318" s="1959">
        <f t="shared" si="204"/>
        <v>0</v>
      </c>
      <c r="AW318" s="1959">
        <f t="shared" si="205"/>
        <v>0</v>
      </c>
      <c r="AX318" s="1959">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6"/>
      <c r="C319" s="1387"/>
      <c r="D319" s="78"/>
      <c r="E319" s="85">
        <f t="shared" si="203"/>
        <v>0</v>
      </c>
      <c r="F319" s="86"/>
      <c r="G319" s="87">
        <f t="shared" si="178"/>
        <v>0</v>
      </c>
      <c r="H319" s="88">
        <f t="shared" si="179"/>
        <v>0</v>
      </c>
      <c r="I319" s="1389"/>
      <c r="J319" s="89"/>
      <c r="K319" s="138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89"/>
      <c r="AG319" s="90"/>
      <c r="AH319" s="90"/>
      <c r="AI319" s="90"/>
      <c r="AJ319" s="90"/>
      <c r="AK319" s="90"/>
      <c r="AL319" s="90"/>
      <c r="AM319" s="90"/>
      <c r="AN319" s="90"/>
      <c r="AO319" s="90"/>
      <c r="AP319" s="90"/>
      <c r="AQ319" s="90"/>
      <c r="AR319" s="90"/>
      <c r="AS319" s="90"/>
      <c r="AT319" s="91"/>
      <c r="AU319" s="92"/>
      <c r="AV319" s="1959">
        <f t="shared" si="204"/>
        <v>0</v>
      </c>
      <c r="AW319" s="1959">
        <f t="shared" si="205"/>
        <v>0</v>
      </c>
      <c r="AX319" s="1959">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6"/>
      <c r="C320" s="1387"/>
      <c r="D320" s="78"/>
      <c r="E320" s="85">
        <f t="shared" si="203"/>
        <v>0</v>
      </c>
      <c r="F320" s="86"/>
      <c r="G320" s="87">
        <f t="shared" si="178"/>
        <v>0</v>
      </c>
      <c r="H320" s="88">
        <f t="shared" si="179"/>
        <v>0</v>
      </c>
      <c r="I320" s="1389"/>
      <c r="J320" s="89"/>
      <c r="K320" s="138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89"/>
      <c r="AG320" s="90"/>
      <c r="AH320" s="90"/>
      <c r="AI320" s="90"/>
      <c r="AJ320" s="90"/>
      <c r="AK320" s="90"/>
      <c r="AL320" s="90"/>
      <c r="AM320" s="90"/>
      <c r="AN320" s="90"/>
      <c r="AO320" s="90"/>
      <c r="AP320" s="90"/>
      <c r="AQ320" s="90"/>
      <c r="AR320" s="90"/>
      <c r="AS320" s="90"/>
      <c r="AT320" s="91"/>
      <c r="AU320" s="92"/>
      <c r="AV320" s="1959">
        <f t="shared" si="204"/>
        <v>0</v>
      </c>
      <c r="AW320" s="1959">
        <f t="shared" si="205"/>
        <v>0</v>
      </c>
      <c r="AX320" s="1959">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6"/>
      <c r="C321" s="1387"/>
      <c r="D321" s="78"/>
      <c r="E321" s="85">
        <f t="shared" si="203"/>
        <v>0</v>
      </c>
      <c r="F321" s="86"/>
      <c r="G321" s="87">
        <f t="shared" si="178"/>
        <v>0</v>
      </c>
      <c r="H321" s="88">
        <f t="shared" si="179"/>
        <v>0</v>
      </c>
      <c r="I321" s="1389"/>
      <c r="J321" s="89"/>
      <c r="K321" s="138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89"/>
      <c r="AG321" s="90"/>
      <c r="AH321" s="90"/>
      <c r="AI321" s="90"/>
      <c r="AJ321" s="90"/>
      <c r="AK321" s="90"/>
      <c r="AL321" s="90"/>
      <c r="AM321" s="90"/>
      <c r="AN321" s="90"/>
      <c r="AO321" s="90"/>
      <c r="AP321" s="90"/>
      <c r="AQ321" s="90"/>
      <c r="AR321" s="90"/>
      <c r="AS321" s="90"/>
      <c r="AT321" s="91"/>
      <c r="AU321" s="92"/>
      <c r="AV321" s="1959">
        <f t="shared" si="204"/>
        <v>0</v>
      </c>
      <c r="AW321" s="1959">
        <f t="shared" si="205"/>
        <v>0</v>
      </c>
      <c r="AX321" s="1959">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6"/>
      <c r="C322" s="1387"/>
      <c r="D322" s="78"/>
      <c r="E322" s="85">
        <f t="shared" si="203"/>
        <v>0</v>
      </c>
      <c r="F322" s="86"/>
      <c r="G322" s="87">
        <f t="shared" si="178"/>
        <v>0</v>
      </c>
      <c r="H322" s="88">
        <f t="shared" si="179"/>
        <v>0</v>
      </c>
      <c r="I322" s="1389"/>
      <c r="J322" s="89"/>
      <c r="K322" s="138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89"/>
      <c r="AG322" s="90"/>
      <c r="AH322" s="90"/>
      <c r="AI322" s="90"/>
      <c r="AJ322" s="90"/>
      <c r="AK322" s="90"/>
      <c r="AL322" s="90"/>
      <c r="AM322" s="90"/>
      <c r="AN322" s="90"/>
      <c r="AO322" s="90"/>
      <c r="AP322" s="90"/>
      <c r="AQ322" s="90"/>
      <c r="AR322" s="90"/>
      <c r="AS322" s="90"/>
      <c r="AT322" s="91"/>
      <c r="AU322" s="92"/>
      <c r="AV322" s="1959">
        <f t="shared" si="204"/>
        <v>0</v>
      </c>
      <c r="AW322" s="1959">
        <f t="shared" si="205"/>
        <v>0</v>
      </c>
      <c r="AX322" s="1959">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6"/>
      <c r="C323" s="1387"/>
      <c r="D323" s="78"/>
      <c r="E323" s="85">
        <f t="shared" si="203"/>
        <v>0</v>
      </c>
      <c r="F323" s="86"/>
      <c r="G323" s="87">
        <f t="shared" si="178"/>
        <v>0</v>
      </c>
      <c r="H323" s="88">
        <f t="shared" si="179"/>
        <v>0</v>
      </c>
      <c r="I323" s="1389"/>
      <c r="J323" s="89"/>
      <c r="K323" s="138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87"/>
      <c r="AG323" s="90"/>
      <c r="AH323" s="90"/>
      <c r="AI323" s="90"/>
      <c r="AJ323" s="90"/>
      <c r="AK323" s="90"/>
      <c r="AL323" s="90"/>
      <c r="AM323" s="90"/>
      <c r="AN323" s="90"/>
      <c r="AO323" s="90"/>
      <c r="AP323" s="90"/>
      <c r="AQ323" s="90"/>
      <c r="AR323" s="90"/>
      <c r="AS323" s="90"/>
      <c r="AT323" s="91"/>
      <c r="AU323" s="92"/>
      <c r="AV323" s="1959">
        <f t="shared" si="204"/>
        <v>0</v>
      </c>
      <c r="AW323" s="1959">
        <f t="shared" si="205"/>
        <v>0</v>
      </c>
      <c r="AX323" s="1959">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6"/>
      <c r="C324" s="1387"/>
      <c r="D324" s="78"/>
      <c r="E324" s="85">
        <f t="shared" si="203"/>
        <v>0</v>
      </c>
      <c r="F324" s="86"/>
      <c r="G324" s="87">
        <f t="shared" si="178"/>
        <v>0</v>
      </c>
      <c r="H324" s="88">
        <f t="shared" si="179"/>
        <v>0</v>
      </c>
      <c r="I324" s="1387"/>
      <c r="J324" s="89"/>
      <c r="K324" s="138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87"/>
      <c r="AG324" s="90"/>
      <c r="AH324" s="90"/>
      <c r="AI324" s="90"/>
      <c r="AJ324" s="90"/>
      <c r="AK324" s="90"/>
      <c r="AL324" s="90"/>
      <c r="AM324" s="90"/>
      <c r="AN324" s="90"/>
      <c r="AO324" s="90"/>
      <c r="AP324" s="90"/>
      <c r="AQ324" s="90"/>
      <c r="AR324" s="90"/>
      <c r="AS324" s="90"/>
      <c r="AT324" s="91"/>
      <c r="AU324" s="92"/>
      <c r="AV324" s="1959">
        <f t="shared" si="204"/>
        <v>0</v>
      </c>
      <c r="AW324" s="1959">
        <f t="shared" si="205"/>
        <v>0</v>
      </c>
      <c r="AX324" s="1959">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6"/>
      <c r="C325" s="1387"/>
      <c r="D325" s="78"/>
      <c r="E325" s="85">
        <f t="shared" si="203"/>
        <v>0</v>
      </c>
      <c r="F325" s="86"/>
      <c r="G325" s="87">
        <f t="shared" si="178"/>
        <v>0</v>
      </c>
      <c r="H325" s="88">
        <f t="shared" si="179"/>
        <v>0</v>
      </c>
      <c r="I325" s="1387"/>
      <c r="J325" s="89"/>
      <c r="K325" s="138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87"/>
      <c r="AG325" s="90"/>
      <c r="AH325" s="90"/>
      <c r="AI325" s="90"/>
      <c r="AJ325" s="90"/>
      <c r="AK325" s="90"/>
      <c r="AL325" s="90"/>
      <c r="AM325" s="90"/>
      <c r="AN325" s="90"/>
      <c r="AO325" s="90"/>
      <c r="AP325" s="90"/>
      <c r="AQ325" s="90"/>
      <c r="AR325" s="90"/>
      <c r="AS325" s="90"/>
      <c r="AT325" s="91"/>
      <c r="AU325" s="92"/>
      <c r="AV325" s="1959">
        <f t="shared" si="204"/>
        <v>0</v>
      </c>
      <c r="AW325" s="1959">
        <f t="shared" si="205"/>
        <v>0</v>
      </c>
      <c r="AX325" s="1959">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6"/>
      <c r="C326" s="1387"/>
      <c r="D326" s="78"/>
      <c r="E326" s="85">
        <f t="shared" si="203"/>
        <v>0</v>
      </c>
      <c r="F326" s="86"/>
      <c r="G326" s="87">
        <f t="shared" ref="G326:G357" si="207">H326+AC326+AT326</f>
        <v>0</v>
      </c>
      <c r="H326" s="88">
        <f t="shared" ref="H326:H357" si="208">SUMIF(I$12:AB$12,"总值",I326:AB326)</f>
        <v>0</v>
      </c>
      <c r="I326" s="1387"/>
      <c r="J326" s="89"/>
      <c r="K326" s="138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87"/>
      <c r="AG326" s="90"/>
      <c r="AH326" s="90"/>
      <c r="AI326" s="90"/>
      <c r="AJ326" s="90"/>
      <c r="AK326" s="90"/>
      <c r="AL326" s="90"/>
      <c r="AM326" s="90"/>
      <c r="AN326" s="90"/>
      <c r="AO326" s="90"/>
      <c r="AP326" s="90"/>
      <c r="AQ326" s="90"/>
      <c r="AR326" s="90"/>
      <c r="AS326" s="90"/>
      <c r="AT326" s="91"/>
      <c r="AU326" s="92"/>
      <c r="AV326" s="1959">
        <f t="shared" si="204"/>
        <v>0</v>
      </c>
      <c r="AW326" s="1959">
        <f t="shared" si="205"/>
        <v>0</v>
      </c>
      <c r="AX326" s="1959">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6"/>
      <c r="C327" s="1387"/>
      <c r="D327" s="78"/>
      <c r="E327" s="85">
        <f t="shared" si="203"/>
        <v>0</v>
      </c>
      <c r="F327" s="86"/>
      <c r="G327" s="87">
        <f t="shared" si="207"/>
        <v>0</v>
      </c>
      <c r="H327" s="88">
        <f t="shared" si="208"/>
        <v>0</v>
      </c>
      <c r="I327" s="1387"/>
      <c r="J327" s="89"/>
      <c r="K327" s="138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87"/>
      <c r="AG327" s="90"/>
      <c r="AH327" s="90"/>
      <c r="AI327" s="90"/>
      <c r="AJ327" s="90"/>
      <c r="AK327" s="90"/>
      <c r="AL327" s="90"/>
      <c r="AM327" s="90"/>
      <c r="AN327" s="90"/>
      <c r="AO327" s="90"/>
      <c r="AP327" s="90"/>
      <c r="AQ327" s="90"/>
      <c r="AR327" s="90"/>
      <c r="AS327" s="90"/>
      <c r="AT327" s="91"/>
      <c r="AU327" s="92"/>
      <c r="AV327" s="1959">
        <f t="shared" si="204"/>
        <v>0</v>
      </c>
      <c r="AW327" s="1959">
        <f t="shared" si="205"/>
        <v>0</v>
      </c>
      <c r="AX327" s="1959">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6"/>
      <c r="C328" s="1387"/>
      <c r="D328" s="78"/>
      <c r="E328" s="85">
        <f t="shared" si="203"/>
        <v>0</v>
      </c>
      <c r="F328" s="86"/>
      <c r="G328" s="87">
        <f t="shared" si="207"/>
        <v>0</v>
      </c>
      <c r="H328" s="88">
        <f t="shared" si="208"/>
        <v>0</v>
      </c>
      <c r="I328" s="1387"/>
      <c r="J328" s="89"/>
      <c r="K328" s="138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87"/>
      <c r="AG328" s="90"/>
      <c r="AH328" s="90"/>
      <c r="AI328" s="90"/>
      <c r="AJ328" s="90"/>
      <c r="AK328" s="90"/>
      <c r="AL328" s="90"/>
      <c r="AM328" s="90"/>
      <c r="AN328" s="90"/>
      <c r="AO328" s="90"/>
      <c r="AP328" s="90"/>
      <c r="AQ328" s="90"/>
      <c r="AR328" s="90"/>
      <c r="AS328" s="90"/>
      <c r="AT328" s="91"/>
      <c r="AU328" s="92"/>
      <c r="AV328" s="1959">
        <f t="shared" si="204"/>
        <v>0</v>
      </c>
      <c r="AW328" s="1959">
        <f t="shared" si="205"/>
        <v>0</v>
      </c>
      <c r="AX328" s="1959">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6"/>
      <c r="C329" s="1387"/>
      <c r="D329" s="78"/>
      <c r="E329" s="85">
        <f t="shared" ref="E329:E360" si="232">IF($C$3="是",ROUND($A$3*G329/$B$3,2),ROUND($A$3*(G329-AT329)/$B$3,2))</f>
        <v>0</v>
      </c>
      <c r="F329" s="86"/>
      <c r="G329" s="87">
        <f t="shared" si="207"/>
        <v>0</v>
      </c>
      <c r="H329" s="88">
        <f t="shared" si="208"/>
        <v>0</v>
      </c>
      <c r="I329" s="1387"/>
      <c r="J329" s="89"/>
      <c r="K329" s="138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87"/>
      <c r="AG329" s="90"/>
      <c r="AH329" s="90"/>
      <c r="AI329" s="90"/>
      <c r="AJ329" s="90"/>
      <c r="AK329" s="90"/>
      <c r="AL329" s="90"/>
      <c r="AM329" s="90"/>
      <c r="AN329" s="90"/>
      <c r="AO329" s="90"/>
      <c r="AP329" s="90"/>
      <c r="AQ329" s="90"/>
      <c r="AR329" s="90"/>
      <c r="AS329" s="90"/>
      <c r="AT329" s="91"/>
      <c r="AU329" s="92"/>
      <c r="AV329" s="1959">
        <f t="shared" ref="AV329:AV360" si="233">A329</f>
        <v>0</v>
      </c>
      <c r="AW329" s="1959">
        <f t="shared" ref="AW329:AW360" si="234">B329</f>
        <v>0</v>
      </c>
      <c r="AX329" s="1959">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6"/>
      <c r="C330" s="1387"/>
      <c r="D330" s="78"/>
      <c r="E330" s="85">
        <f t="shared" si="232"/>
        <v>0</v>
      </c>
      <c r="F330" s="86"/>
      <c r="G330" s="87">
        <f t="shared" si="207"/>
        <v>0</v>
      </c>
      <c r="H330" s="88">
        <f t="shared" si="208"/>
        <v>0</v>
      </c>
      <c r="I330" s="1387"/>
      <c r="J330" s="89"/>
      <c r="K330" s="138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87"/>
      <c r="AG330" s="90"/>
      <c r="AH330" s="90"/>
      <c r="AI330" s="90"/>
      <c r="AJ330" s="90"/>
      <c r="AK330" s="90"/>
      <c r="AL330" s="90"/>
      <c r="AM330" s="90"/>
      <c r="AN330" s="90"/>
      <c r="AO330" s="90"/>
      <c r="AP330" s="90"/>
      <c r="AQ330" s="90"/>
      <c r="AR330" s="90"/>
      <c r="AS330" s="90"/>
      <c r="AT330" s="91"/>
      <c r="AU330" s="92"/>
      <c r="AV330" s="1959">
        <f t="shared" si="233"/>
        <v>0</v>
      </c>
      <c r="AW330" s="1959">
        <f t="shared" si="234"/>
        <v>0</v>
      </c>
      <c r="AX330" s="1959">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88"/>
      <c r="C331" s="1389"/>
      <c r="D331" s="78"/>
      <c r="E331" s="85">
        <f t="shared" si="232"/>
        <v>0</v>
      </c>
      <c r="F331" s="86"/>
      <c r="G331" s="87">
        <f t="shared" si="207"/>
        <v>0</v>
      </c>
      <c r="H331" s="88">
        <f t="shared" si="208"/>
        <v>0</v>
      </c>
      <c r="I331" s="1387"/>
      <c r="J331" s="89"/>
      <c r="K331" s="1387"/>
      <c r="L331" s="89"/>
      <c r="M331" s="1387"/>
      <c r="N331" s="89"/>
      <c r="O331" s="89"/>
      <c r="P331" s="89"/>
      <c r="Q331" s="89"/>
      <c r="R331" s="89"/>
      <c r="S331" s="89"/>
      <c r="T331" s="89"/>
      <c r="U331" s="89"/>
      <c r="V331" s="89"/>
      <c r="W331" s="89"/>
      <c r="X331" s="89"/>
      <c r="Y331" s="89"/>
      <c r="Z331" s="89"/>
      <c r="AA331" s="89"/>
      <c r="AB331" s="89"/>
      <c r="AC331" s="85">
        <f t="shared" si="209"/>
        <v>0</v>
      </c>
      <c r="AD331" s="90"/>
      <c r="AE331" s="90"/>
      <c r="AF331" s="1387"/>
      <c r="AG331" s="90"/>
      <c r="AH331" s="90"/>
      <c r="AI331" s="90"/>
      <c r="AJ331" s="90"/>
      <c r="AK331" s="90"/>
      <c r="AL331" s="90"/>
      <c r="AM331" s="90"/>
      <c r="AN331" s="90"/>
      <c r="AO331" s="90"/>
      <c r="AP331" s="90"/>
      <c r="AQ331" s="90"/>
      <c r="AR331" s="90"/>
      <c r="AS331" s="90"/>
      <c r="AT331" s="91"/>
      <c r="AU331" s="92"/>
      <c r="AV331" s="1959">
        <f t="shared" si="233"/>
        <v>0</v>
      </c>
      <c r="AW331" s="1959">
        <f t="shared" si="234"/>
        <v>0</v>
      </c>
      <c r="AX331" s="1959">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59">
        <f t="shared" si="233"/>
        <v>0</v>
      </c>
      <c r="AW332" s="1959">
        <f t="shared" si="234"/>
        <v>0</v>
      </c>
      <c r="AX332" s="1959">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59">
        <f t="shared" si="233"/>
        <v>0</v>
      </c>
      <c r="AW333" s="1959">
        <f t="shared" si="234"/>
        <v>0</v>
      </c>
      <c r="AX333" s="1959">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59">
        <f t="shared" si="233"/>
        <v>0</v>
      </c>
      <c r="AW334" s="1959">
        <f t="shared" si="234"/>
        <v>0</v>
      </c>
      <c r="AX334" s="1959">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59">
        <f t="shared" si="233"/>
        <v>0</v>
      </c>
      <c r="AW335" s="1959">
        <f t="shared" si="234"/>
        <v>0</v>
      </c>
      <c r="AX335" s="1959">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59">
        <f t="shared" si="233"/>
        <v>0</v>
      </c>
      <c r="AW336" s="1959">
        <f t="shared" si="234"/>
        <v>0</v>
      </c>
      <c r="AX336" s="1959">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59">
        <f t="shared" si="233"/>
        <v>0</v>
      </c>
      <c r="AW337" s="1959">
        <f t="shared" si="234"/>
        <v>0</v>
      </c>
      <c r="AX337" s="1959">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59">
        <f t="shared" si="233"/>
        <v>0</v>
      </c>
      <c r="AW338" s="1959">
        <f t="shared" si="234"/>
        <v>0</v>
      </c>
      <c r="AX338" s="1959">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59">
        <f t="shared" si="233"/>
        <v>0</v>
      </c>
      <c r="AW339" s="1959">
        <f t="shared" si="234"/>
        <v>0</v>
      </c>
      <c r="AX339" s="1959">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59">
        <f t="shared" si="233"/>
        <v>0</v>
      </c>
      <c r="AW340" s="1959">
        <f t="shared" si="234"/>
        <v>0</v>
      </c>
      <c r="AX340" s="1959">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59">
        <f t="shared" si="233"/>
        <v>0</v>
      </c>
      <c r="AW341" s="1959">
        <f t="shared" si="234"/>
        <v>0</v>
      </c>
      <c r="AX341" s="1959">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59">
        <f t="shared" si="233"/>
        <v>0</v>
      </c>
      <c r="AW342" s="1959">
        <f t="shared" si="234"/>
        <v>0</v>
      </c>
      <c r="AX342" s="1959">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59">
        <f t="shared" si="233"/>
        <v>0</v>
      </c>
      <c r="AW343" s="1959">
        <f t="shared" si="234"/>
        <v>0</v>
      </c>
      <c r="AX343" s="1959">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59">
        <f t="shared" si="233"/>
        <v>0</v>
      </c>
      <c r="AW344" s="1959">
        <f t="shared" si="234"/>
        <v>0</v>
      </c>
      <c r="AX344" s="1959">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59">
        <f t="shared" si="233"/>
        <v>0</v>
      </c>
      <c r="AW345" s="1959">
        <f t="shared" si="234"/>
        <v>0</v>
      </c>
      <c r="AX345" s="1959">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59">
        <f t="shared" si="233"/>
        <v>0</v>
      </c>
      <c r="AW346" s="1959">
        <f t="shared" si="234"/>
        <v>0</v>
      </c>
      <c r="AX346" s="1959">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59">
        <f t="shared" si="233"/>
        <v>0</v>
      </c>
      <c r="AW347" s="1959">
        <f t="shared" si="234"/>
        <v>0</v>
      </c>
      <c r="AX347" s="1959">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59">
        <f t="shared" si="233"/>
        <v>0</v>
      </c>
      <c r="AW348" s="1959">
        <f t="shared" si="234"/>
        <v>0</v>
      </c>
      <c r="AX348" s="1959">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59">
        <f t="shared" si="233"/>
        <v>0</v>
      </c>
      <c r="AW349" s="1959">
        <f t="shared" si="234"/>
        <v>0</v>
      </c>
      <c r="AX349" s="1959">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59">
        <f t="shared" si="233"/>
        <v>0</v>
      </c>
      <c r="AW350" s="1959">
        <f t="shared" si="234"/>
        <v>0</v>
      </c>
      <c r="AX350" s="1959">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59">
        <f t="shared" si="233"/>
        <v>0</v>
      </c>
      <c r="AW351" s="1959">
        <f t="shared" si="234"/>
        <v>0</v>
      </c>
      <c r="AX351" s="1959">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59">
        <f t="shared" si="233"/>
        <v>0</v>
      </c>
      <c r="AW352" s="1959">
        <f t="shared" si="234"/>
        <v>0</v>
      </c>
      <c r="AX352" s="1959">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59">
        <f t="shared" si="233"/>
        <v>0</v>
      </c>
      <c r="AW353" s="1959">
        <f t="shared" si="234"/>
        <v>0</v>
      </c>
      <c r="AX353" s="1959">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59">
        <f t="shared" si="233"/>
        <v>0</v>
      </c>
      <c r="AW354" s="1959">
        <f t="shared" si="234"/>
        <v>0</v>
      </c>
      <c r="AX354" s="1959">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59">
        <f t="shared" si="233"/>
        <v>0</v>
      </c>
      <c r="AW355" s="1959">
        <f t="shared" si="234"/>
        <v>0</v>
      </c>
      <c r="AX355" s="1959">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59">
        <f t="shared" si="233"/>
        <v>0</v>
      </c>
      <c r="AW356" s="1959">
        <f t="shared" si="234"/>
        <v>0</v>
      </c>
      <c r="AX356" s="1959">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59">
        <f t="shared" si="233"/>
        <v>0</v>
      </c>
      <c r="AW357" s="1959">
        <f t="shared" si="234"/>
        <v>0</v>
      </c>
      <c r="AX357" s="1959">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59">
        <f t="shared" si="233"/>
        <v>0</v>
      </c>
      <c r="AW358" s="1959">
        <f t="shared" si="234"/>
        <v>0</v>
      </c>
      <c r="AX358" s="1959">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59">
        <f t="shared" si="233"/>
        <v>0</v>
      </c>
      <c r="AW359" s="1959">
        <f t="shared" si="234"/>
        <v>0</v>
      </c>
      <c r="AX359" s="1959">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59">
        <f t="shared" si="233"/>
        <v>0</v>
      </c>
      <c r="AW360" s="1959">
        <f t="shared" si="234"/>
        <v>0</v>
      </c>
      <c r="AX360" s="1959">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59">
        <f t="shared" ref="AV361:AV388" si="262">A361</f>
        <v>0</v>
      </c>
      <c r="AW361" s="1959">
        <f t="shared" ref="AW361:AW388" si="263">B361</f>
        <v>0</v>
      </c>
      <c r="AX361" s="1959">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59">
        <f t="shared" si="262"/>
        <v>0</v>
      </c>
      <c r="AW362" s="1959">
        <f t="shared" si="263"/>
        <v>0</v>
      </c>
      <c r="AX362" s="1959">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59">
        <f t="shared" si="262"/>
        <v>0</v>
      </c>
      <c r="AW363" s="1959">
        <f t="shared" si="263"/>
        <v>0</v>
      </c>
      <c r="AX363" s="1959">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59">
        <f t="shared" si="262"/>
        <v>0</v>
      </c>
      <c r="AW364" s="1959">
        <f t="shared" si="263"/>
        <v>0</v>
      </c>
      <c r="AX364" s="1959">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59">
        <f t="shared" si="262"/>
        <v>0</v>
      </c>
      <c r="AW365" s="1959">
        <f t="shared" si="263"/>
        <v>0</v>
      </c>
      <c r="AX365" s="1959">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59">
        <f t="shared" si="262"/>
        <v>0</v>
      </c>
      <c r="AW366" s="1959">
        <f t="shared" si="263"/>
        <v>0</v>
      </c>
      <c r="AX366" s="1959">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59">
        <f t="shared" si="262"/>
        <v>0</v>
      </c>
      <c r="AW367" s="1959">
        <f t="shared" si="263"/>
        <v>0</v>
      </c>
      <c r="AX367" s="1959">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59">
        <f t="shared" si="262"/>
        <v>0</v>
      </c>
      <c r="AW368" s="1959">
        <f t="shared" si="263"/>
        <v>0</v>
      </c>
      <c r="AX368" s="1959">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59">
        <f t="shared" si="262"/>
        <v>0</v>
      </c>
      <c r="AW369" s="1959">
        <f t="shared" si="263"/>
        <v>0</v>
      </c>
      <c r="AX369" s="1959">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59">
        <f t="shared" si="262"/>
        <v>0</v>
      </c>
      <c r="AW370" s="1959">
        <f t="shared" si="263"/>
        <v>0</v>
      </c>
      <c r="AX370" s="1959">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59">
        <f t="shared" si="262"/>
        <v>0</v>
      </c>
      <c r="AW371" s="1959">
        <f t="shared" si="263"/>
        <v>0</v>
      </c>
      <c r="AX371" s="1959">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59">
        <f t="shared" si="262"/>
        <v>0</v>
      </c>
      <c r="AW372" s="1959">
        <f t="shared" si="263"/>
        <v>0</v>
      </c>
      <c r="AX372" s="1959">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59">
        <f t="shared" si="262"/>
        <v>0</v>
      </c>
      <c r="AW373" s="1959">
        <f t="shared" si="263"/>
        <v>0</v>
      </c>
      <c r="AX373" s="1959">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59">
        <f t="shared" si="262"/>
        <v>0</v>
      </c>
      <c r="AW374" s="1959">
        <f t="shared" si="263"/>
        <v>0</v>
      </c>
      <c r="AX374" s="1959">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59">
        <f t="shared" si="262"/>
        <v>0</v>
      </c>
      <c r="AW375" s="1959">
        <f t="shared" si="263"/>
        <v>0</v>
      </c>
      <c r="AX375" s="1959">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59">
        <f t="shared" si="262"/>
        <v>0</v>
      </c>
      <c r="AW376" s="1959">
        <f t="shared" si="263"/>
        <v>0</v>
      </c>
      <c r="AX376" s="1959">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59">
        <f t="shared" si="262"/>
        <v>0</v>
      </c>
      <c r="AW377" s="1959">
        <f t="shared" si="263"/>
        <v>0</v>
      </c>
      <c r="AX377" s="1959">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59">
        <f t="shared" si="262"/>
        <v>0</v>
      </c>
      <c r="AW378" s="1959">
        <f t="shared" si="263"/>
        <v>0</v>
      </c>
      <c r="AX378" s="1959">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59">
        <f t="shared" si="262"/>
        <v>0</v>
      </c>
      <c r="AW379" s="1959">
        <f t="shared" si="263"/>
        <v>0</v>
      </c>
      <c r="AX379" s="1959">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59">
        <f t="shared" si="262"/>
        <v>0</v>
      </c>
      <c r="AW380" s="1959">
        <f t="shared" si="263"/>
        <v>0</v>
      </c>
      <c r="AX380" s="1959">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59">
        <f t="shared" si="262"/>
        <v>0</v>
      </c>
      <c r="AW381" s="1959">
        <f t="shared" si="263"/>
        <v>0</v>
      </c>
      <c r="AX381" s="1959">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59">
        <f t="shared" si="262"/>
        <v>0</v>
      </c>
      <c r="AW382" s="1959">
        <f t="shared" si="263"/>
        <v>0</v>
      </c>
      <c r="AX382" s="1959">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59">
        <f t="shared" si="262"/>
        <v>0</v>
      </c>
      <c r="AW383" s="1959">
        <f t="shared" si="263"/>
        <v>0</v>
      </c>
      <c r="AX383" s="1959">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59">
        <f t="shared" si="262"/>
        <v>0</v>
      </c>
      <c r="AW384" s="1959">
        <f t="shared" si="263"/>
        <v>0</v>
      </c>
      <c r="AX384" s="1959">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59">
        <f t="shared" si="262"/>
        <v>0</v>
      </c>
      <c r="AW385" s="1959">
        <f t="shared" si="263"/>
        <v>0</v>
      </c>
      <c r="AX385" s="1959">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59">
        <f t="shared" si="262"/>
        <v>0</v>
      </c>
      <c r="AW386" s="1959">
        <f t="shared" si="263"/>
        <v>0</v>
      </c>
      <c r="AX386" s="1959">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59">
        <f t="shared" si="262"/>
        <v>0</v>
      </c>
      <c r="AW387" s="1959">
        <f t="shared" si="263"/>
        <v>0</v>
      </c>
      <c r="AX387" s="1959">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59">
        <f t="shared" si="262"/>
        <v>0</v>
      </c>
      <c r="AW388" s="1959">
        <f t="shared" si="263"/>
        <v>0</v>
      </c>
      <c r="AX388" s="1959">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6"/>
      <c r="C389" s="1387"/>
      <c r="D389" s="78"/>
      <c r="E389" s="85">
        <f t="shared" ref="E389:E480" si="265">IF($C$3="是",ROUND($A$3*G389/$B$3,2),ROUND($A$3*(G389-AT389)/$B$3,2))</f>
        <v>0</v>
      </c>
      <c r="F389" s="86"/>
      <c r="G389" s="87">
        <f t="shared" ref="G389:G477" si="266">H389+AC389+AT389</f>
        <v>0</v>
      </c>
      <c r="H389" s="88">
        <f t="shared" ref="H389:H477" si="267">SUMIF(I$12:AB$12,"总值",I389:AB389)</f>
        <v>0</v>
      </c>
      <c r="I389" s="1389"/>
      <c r="J389" s="89"/>
      <c r="K389" s="138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0"/>
      <c r="AG389" s="90"/>
      <c r="AH389" s="90"/>
      <c r="AI389" s="90"/>
      <c r="AJ389" s="90"/>
      <c r="AK389" s="90"/>
      <c r="AL389" s="90"/>
      <c r="AM389" s="90"/>
      <c r="AN389" s="1358"/>
      <c r="AO389" s="90"/>
      <c r="AP389" s="90"/>
      <c r="AQ389" s="90"/>
      <c r="AR389" s="90"/>
      <c r="AS389" s="90"/>
      <c r="AT389" s="91"/>
      <c r="AU389" s="92"/>
      <c r="AV389" s="1959">
        <f t="shared" ref="AV389:AV480" si="269">A389</f>
        <v>0</v>
      </c>
      <c r="AW389" s="1959">
        <f t="shared" ref="AW389:AW480" si="270">B389</f>
        <v>0</v>
      </c>
      <c r="AX389" s="1959">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6"/>
      <c r="C390" s="1387"/>
      <c r="D390" s="78"/>
      <c r="E390" s="85">
        <f t="shared" si="265"/>
        <v>0</v>
      </c>
      <c r="F390" s="86"/>
      <c r="G390" s="87">
        <f t="shared" si="266"/>
        <v>0</v>
      </c>
      <c r="H390" s="88">
        <f t="shared" si="267"/>
        <v>0</v>
      </c>
      <c r="I390" s="1389"/>
      <c r="J390" s="89"/>
      <c r="K390" s="1389"/>
      <c r="L390" s="89"/>
      <c r="M390" s="1358"/>
      <c r="N390" s="89"/>
      <c r="O390" s="89"/>
      <c r="P390" s="89"/>
      <c r="Q390" s="89"/>
      <c r="R390" s="89"/>
      <c r="S390" s="89"/>
      <c r="T390" s="89"/>
      <c r="U390" s="89"/>
      <c r="V390" s="89"/>
      <c r="W390" s="89"/>
      <c r="X390" s="89"/>
      <c r="Y390" s="89"/>
      <c r="Z390" s="89"/>
      <c r="AA390" s="89"/>
      <c r="AB390" s="89"/>
      <c r="AC390" s="85">
        <f t="shared" si="268"/>
        <v>0</v>
      </c>
      <c r="AD390" s="1358"/>
      <c r="AE390" s="90"/>
      <c r="AF390" s="1390"/>
      <c r="AG390" s="90"/>
      <c r="AH390" s="90"/>
      <c r="AI390" s="90"/>
      <c r="AJ390" s="90"/>
      <c r="AK390" s="90"/>
      <c r="AL390" s="1358"/>
      <c r="AM390" s="90"/>
      <c r="AN390" s="1358"/>
      <c r="AO390" s="90"/>
      <c r="AP390" s="90"/>
      <c r="AQ390" s="90"/>
      <c r="AR390" s="90"/>
      <c r="AS390" s="90"/>
      <c r="AT390" s="91"/>
      <c r="AU390" s="92"/>
      <c r="AV390" s="1959">
        <f t="shared" si="269"/>
        <v>0</v>
      </c>
      <c r="AW390" s="1959">
        <f t="shared" si="270"/>
        <v>0</v>
      </c>
      <c r="AX390" s="1959">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6"/>
      <c r="C391" s="1387"/>
      <c r="D391" s="78"/>
      <c r="E391" s="85">
        <f t="shared" si="265"/>
        <v>0</v>
      </c>
      <c r="F391" s="86"/>
      <c r="G391" s="87">
        <f t="shared" si="266"/>
        <v>0</v>
      </c>
      <c r="H391" s="88">
        <f t="shared" si="267"/>
        <v>0</v>
      </c>
      <c r="I391" s="1389"/>
      <c r="J391" s="89"/>
      <c r="K391" s="1389"/>
      <c r="L391" s="89"/>
      <c r="M391" s="1358"/>
      <c r="N391" s="89"/>
      <c r="O391" s="89"/>
      <c r="P391" s="89"/>
      <c r="Q391" s="89"/>
      <c r="R391" s="89"/>
      <c r="S391" s="89"/>
      <c r="T391" s="89"/>
      <c r="U391" s="89"/>
      <c r="V391" s="89"/>
      <c r="W391" s="89"/>
      <c r="X391" s="89"/>
      <c r="Y391" s="89"/>
      <c r="Z391" s="89"/>
      <c r="AA391" s="89"/>
      <c r="AB391" s="89"/>
      <c r="AC391" s="85">
        <f t="shared" si="268"/>
        <v>0</v>
      </c>
      <c r="AD391" s="90"/>
      <c r="AE391" s="90"/>
      <c r="AF391" s="1390"/>
      <c r="AG391" s="90"/>
      <c r="AH391" s="90"/>
      <c r="AI391" s="90"/>
      <c r="AJ391" s="90"/>
      <c r="AK391" s="90"/>
      <c r="AL391" s="1358"/>
      <c r="AM391" s="90"/>
      <c r="AN391" s="1358"/>
      <c r="AO391" s="90"/>
      <c r="AP391" s="90"/>
      <c r="AQ391" s="90"/>
      <c r="AR391" s="90"/>
      <c r="AS391" s="90"/>
      <c r="AT391" s="91"/>
      <c r="AU391" s="92"/>
      <c r="AV391" s="1959">
        <f t="shared" si="269"/>
        <v>0</v>
      </c>
      <c r="AW391" s="1959">
        <f t="shared" si="270"/>
        <v>0</v>
      </c>
      <c r="AX391" s="1959">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6"/>
      <c r="C392" s="1387"/>
      <c r="D392" s="78"/>
      <c r="E392" s="85">
        <f t="shared" si="265"/>
        <v>0</v>
      </c>
      <c r="F392" s="86"/>
      <c r="G392" s="87">
        <f t="shared" si="266"/>
        <v>0</v>
      </c>
      <c r="H392" s="88">
        <f t="shared" si="267"/>
        <v>0</v>
      </c>
      <c r="I392" s="1389"/>
      <c r="J392" s="89"/>
      <c r="K392" s="1389"/>
      <c r="L392" s="89"/>
      <c r="M392" s="89"/>
      <c r="N392" s="89"/>
      <c r="O392" s="1358"/>
      <c r="P392" s="89"/>
      <c r="Q392" s="89"/>
      <c r="R392" s="89"/>
      <c r="S392" s="89"/>
      <c r="T392" s="89"/>
      <c r="U392" s="89"/>
      <c r="V392" s="89"/>
      <c r="W392" s="89"/>
      <c r="X392" s="89"/>
      <c r="Y392" s="89"/>
      <c r="Z392" s="89"/>
      <c r="AA392" s="89"/>
      <c r="AB392" s="89"/>
      <c r="AC392" s="85">
        <f t="shared" si="268"/>
        <v>0</v>
      </c>
      <c r="AD392" s="90"/>
      <c r="AE392" s="90"/>
      <c r="AF392" s="1390"/>
      <c r="AG392" s="90"/>
      <c r="AH392" s="90"/>
      <c r="AI392" s="90"/>
      <c r="AJ392" s="90"/>
      <c r="AK392" s="90"/>
      <c r="AL392" s="90"/>
      <c r="AM392" s="90"/>
      <c r="AN392" s="1358"/>
      <c r="AO392" s="90"/>
      <c r="AP392" s="90"/>
      <c r="AQ392" s="90"/>
      <c r="AR392" s="90"/>
      <c r="AS392" s="90"/>
      <c r="AT392" s="91"/>
      <c r="AU392" s="92"/>
      <c r="AV392" s="1959">
        <f t="shared" si="269"/>
        <v>0</v>
      </c>
      <c r="AW392" s="1959">
        <f t="shared" si="270"/>
        <v>0</v>
      </c>
      <c r="AX392" s="1959">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6"/>
      <c r="C393" s="1387"/>
      <c r="D393" s="78"/>
      <c r="E393" s="85">
        <f t="shared" si="265"/>
        <v>0</v>
      </c>
      <c r="F393" s="86"/>
      <c r="G393" s="87">
        <f t="shared" si="266"/>
        <v>0</v>
      </c>
      <c r="H393" s="88">
        <f t="shared" si="267"/>
        <v>0</v>
      </c>
      <c r="I393" s="1389"/>
      <c r="J393" s="89"/>
      <c r="K393" s="138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0"/>
      <c r="AG393" s="90"/>
      <c r="AH393" s="90"/>
      <c r="AI393" s="90"/>
      <c r="AJ393" s="90"/>
      <c r="AK393" s="90"/>
      <c r="AL393" s="90"/>
      <c r="AM393" s="90"/>
      <c r="AN393" s="90"/>
      <c r="AO393" s="90"/>
      <c r="AP393" s="90"/>
      <c r="AQ393" s="90"/>
      <c r="AR393" s="90"/>
      <c r="AS393" s="90"/>
      <c r="AT393" s="91"/>
      <c r="AU393" s="92"/>
      <c r="AV393" s="1959">
        <f t="shared" si="269"/>
        <v>0</v>
      </c>
      <c r="AW393" s="1959">
        <f t="shared" si="270"/>
        <v>0</v>
      </c>
      <c r="AX393" s="1959">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6"/>
      <c r="C394" s="1387"/>
      <c r="D394" s="78"/>
      <c r="E394" s="85">
        <f t="shared" si="265"/>
        <v>0</v>
      </c>
      <c r="F394" s="86"/>
      <c r="G394" s="87">
        <f t="shared" si="266"/>
        <v>0</v>
      </c>
      <c r="H394" s="88">
        <f t="shared" si="267"/>
        <v>0</v>
      </c>
      <c r="I394" s="1389"/>
      <c r="J394" s="89"/>
      <c r="K394" s="138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0"/>
      <c r="AG394" s="90"/>
      <c r="AH394" s="90"/>
      <c r="AI394" s="90"/>
      <c r="AJ394" s="90"/>
      <c r="AK394" s="90"/>
      <c r="AL394" s="90"/>
      <c r="AM394" s="90"/>
      <c r="AN394" s="90"/>
      <c r="AO394" s="90"/>
      <c r="AP394" s="90"/>
      <c r="AQ394" s="90"/>
      <c r="AR394" s="90"/>
      <c r="AS394" s="90"/>
      <c r="AT394" s="91"/>
      <c r="AU394" s="92"/>
      <c r="AV394" s="1959">
        <f t="shared" si="269"/>
        <v>0</v>
      </c>
      <c r="AW394" s="1959">
        <f t="shared" si="270"/>
        <v>0</v>
      </c>
      <c r="AX394" s="1959">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6"/>
      <c r="C395" s="1387"/>
      <c r="D395" s="78"/>
      <c r="E395" s="85">
        <f t="shared" si="265"/>
        <v>0</v>
      </c>
      <c r="F395" s="86"/>
      <c r="G395" s="87">
        <f t="shared" si="266"/>
        <v>0</v>
      </c>
      <c r="H395" s="88">
        <f t="shared" si="267"/>
        <v>0</v>
      </c>
      <c r="I395" s="1389"/>
      <c r="J395" s="89"/>
      <c r="K395" s="138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0"/>
      <c r="AG395" s="90"/>
      <c r="AH395" s="90"/>
      <c r="AI395" s="90"/>
      <c r="AJ395" s="90"/>
      <c r="AK395" s="90"/>
      <c r="AL395" s="90"/>
      <c r="AM395" s="90"/>
      <c r="AN395" s="90"/>
      <c r="AO395" s="90"/>
      <c r="AP395" s="90"/>
      <c r="AQ395" s="90"/>
      <c r="AR395" s="90"/>
      <c r="AS395" s="90"/>
      <c r="AT395" s="91"/>
      <c r="AU395" s="92"/>
      <c r="AV395" s="1959">
        <f t="shared" si="269"/>
        <v>0</v>
      </c>
      <c r="AW395" s="1959">
        <f t="shared" si="270"/>
        <v>0</v>
      </c>
      <c r="AX395" s="1959">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6"/>
      <c r="C396" s="1387"/>
      <c r="D396" s="78"/>
      <c r="E396" s="85">
        <f t="shared" si="265"/>
        <v>0</v>
      </c>
      <c r="F396" s="86"/>
      <c r="G396" s="87">
        <f t="shared" si="266"/>
        <v>0</v>
      </c>
      <c r="H396" s="88">
        <f t="shared" si="267"/>
        <v>0</v>
      </c>
      <c r="I396" s="1389"/>
      <c r="J396" s="89"/>
      <c r="K396" s="138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89"/>
      <c r="AG396" s="90"/>
      <c r="AH396" s="90"/>
      <c r="AI396" s="90"/>
      <c r="AJ396" s="90"/>
      <c r="AK396" s="90"/>
      <c r="AL396" s="90"/>
      <c r="AM396" s="90"/>
      <c r="AN396" s="90"/>
      <c r="AO396" s="90"/>
      <c r="AP396" s="90"/>
      <c r="AQ396" s="90"/>
      <c r="AR396" s="90"/>
      <c r="AS396" s="90"/>
      <c r="AT396" s="91"/>
      <c r="AU396" s="92"/>
      <c r="AV396" s="1959">
        <f t="shared" si="269"/>
        <v>0</v>
      </c>
      <c r="AW396" s="1959">
        <f t="shared" si="270"/>
        <v>0</v>
      </c>
      <c r="AX396" s="1959">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88"/>
      <c r="C397" s="1389"/>
      <c r="D397" s="78"/>
      <c r="E397" s="85">
        <f t="shared" si="265"/>
        <v>0</v>
      </c>
      <c r="F397" s="86"/>
      <c r="G397" s="87">
        <f t="shared" si="266"/>
        <v>0</v>
      </c>
      <c r="H397" s="88">
        <f t="shared" si="267"/>
        <v>0</v>
      </c>
      <c r="I397" s="1389"/>
      <c r="J397" s="89"/>
      <c r="K397" s="138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89"/>
      <c r="AG397" s="90"/>
      <c r="AH397" s="90"/>
      <c r="AI397" s="90"/>
      <c r="AJ397" s="90"/>
      <c r="AK397" s="90"/>
      <c r="AL397" s="90"/>
      <c r="AM397" s="90"/>
      <c r="AN397" s="90"/>
      <c r="AO397" s="90"/>
      <c r="AP397" s="90"/>
      <c r="AQ397" s="90"/>
      <c r="AR397" s="90"/>
      <c r="AS397" s="90"/>
      <c r="AT397" s="91"/>
      <c r="AU397" s="92"/>
      <c r="AV397" s="1959">
        <f t="shared" si="269"/>
        <v>0</v>
      </c>
      <c r="AW397" s="1959">
        <f t="shared" si="270"/>
        <v>0</v>
      </c>
      <c r="AX397" s="1959">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6"/>
      <c r="C398" s="1387"/>
      <c r="D398" s="78"/>
      <c r="E398" s="85">
        <f t="shared" si="265"/>
        <v>0</v>
      </c>
      <c r="F398" s="86"/>
      <c r="G398" s="87">
        <f t="shared" si="266"/>
        <v>0</v>
      </c>
      <c r="H398" s="88">
        <f t="shared" si="267"/>
        <v>0</v>
      </c>
      <c r="I398" s="1389"/>
      <c r="J398" s="89"/>
      <c r="K398" s="138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89"/>
      <c r="AG398" s="90"/>
      <c r="AH398" s="90"/>
      <c r="AI398" s="90"/>
      <c r="AJ398" s="90"/>
      <c r="AK398" s="90"/>
      <c r="AL398" s="90"/>
      <c r="AM398" s="90"/>
      <c r="AN398" s="90"/>
      <c r="AO398" s="90"/>
      <c r="AP398" s="90"/>
      <c r="AQ398" s="90"/>
      <c r="AR398" s="90"/>
      <c r="AS398" s="90"/>
      <c r="AT398" s="91"/>
      <c r="AU398" s="92"/>
      <c r="AV398" s="1959">
        <f t="shared" si="269"/>
        <v>0</v>
      </c>
      <c r="AW398" s="1959">
        <f t="shared" si="270"/>
        <v>0</v>
      </c>
      <c r="AX398" s="1959">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6"/>
      <c r="C399" s="1387"/>
      <c r="D399" s="78"/>
      <c r="E399" s="85">
        <f t="shared" si="265"/>
        <v>0</v>
      </c>
      <c r="F399" s="86"/>
      <c r="G399" s="87">
        <f t="shared" si="266"/>
        <v>0</v>
      </c>
      <c r="H399" s="88">
        <f t="shared" si="267"/>
        <v>0</v>
      </c>
      <c r="I399" s="1389"/>
      <c r="J399" s="89"/>
      <c r="K399" s="138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89"/>
      <c r="AG399" s="90"/>
      <c r="AH399" s="90"/>
      <c r="AI399" s="90"/>
      <c r="AJ399" s="90"/>
      <c r="AK399" s="90"/>
      <c r="AL399" s="90"/>
      <c r="AM399" s="90"/>
      <c r="AN399" s="90"/>
      <c r="AO399" s="90"/>
      <c r="AP399" s="90"/>
      <c r="AQ399" s="90"/>
      <c r="AR399" s="90"/>
      <c r="AS399" s="90"/>
      <c r="AT399" s="91"/>
      <c r="AU399" s="92"/>
      <c r="AV399" s="1959">
        <f t="shared" si="269"/>
        <v>0</v>
      </c>
      <c r="AW399" s="1959">
        <f t="shared" si="270"/>
        <v>0</v>
      </c>
      <c r="AX399" s="1959">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6"/>
      <c r="C400" s="1387"/>
      <c r="D400" s="78"/>
      <c r="E400" s="85">
        <f t="shared" si="265"/>
        <v>0</v>
      </c>
      <c r="F400" s="86"/>
      <c r="G400" s="87">
        <f t="shared" si="266"/>
        <v>0</v>
      </c>
      <c r="H400" s="88">
        <f t="shared" si="267"/>
        <v>0</v>
      </c>
      <c r="I400" s="1389"/>
      <c r="J400" s="89"/>
      <c r="K400" s="138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89"/>
      <c r="AG400" s="90"/>
      <c r="AH400" s="90"/>
      <c r="AI400" s="90"/>
      <c r="AJ400" s="90"/>
      <c r="AK400" s="90"/>
      <c r="AL400" s="90"/>
      <c r="AM400" s="90"/>
      <c r="AN400" s="90"/>
      <c r="AO400" s="90"/>
      <c r="AP400" s="90"/>
      <c r="AQ400" s="90"/>
      <c r="AR400" s="90"/>
      <c r="AS400" s="90"/>
      <c r="AT400" s="91"/>
      <c r="AU400" s="92"/>
      <c r="AV400" s="1959">
        <f t="shared" si="269"/>
        <v>0</v>
      </c>
      <c r="AW400" s="1959">
        <f t="shared" si="270"/>
        <v>0</v>
      </c>
      <c r="AX400" s="1959">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6"/>
      <c r="C401" s="1387"/>
      <c r="D401" s="78"/>
      <c r="E401" s="85">
        <f t="shared" si="265"/>
        <v>0</v>
      </c>
      <c r="F401" s="86"/>
      <c r="G401" s="87">
        <f t="shared" si="266"/>
        <v>0</v>
      </c>
      <c r="H401" s="88">
        <f t="shared" si="267"/>
        <v>0</v>
      </c>
      <c r="I401" s="1389"/>
      <c r="J401" s="89"/>
      <c r="K401" s="138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89"/>
      <c r="AG401" s="90"/>
      <c r="AH401" s="90"/>
      <c r="AI401" s="90"/>
      <c r="AJ401" s="90"/>
      <c r="AK401" s="90"/>
      <c r="AL401" s="90"/>
      <c r="AM401" s="90"/>
      <c r="AN401" s="90"/>
      <c r="AO401" s="90"/>
      <c r="AP401" s="90"/>
      <c r="AQ401" s="90"/>
      <c r="AR401" s="90"/>
      <c r="AS401" s="90"/>
      <c r="AT401" s="91"/>
      <c r="AU401" s="92"/>
      <c r="AV401" s="1959">
        <f t="shared" si="269"/>
        <v>0</v>
      </c>
      <c r="AW401" s="1959">
        <f t="shared" si="270"/>
        <v>0</v>
      </c>
      <c r="AX401" s="1959">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6"/>
      <c r="C402" s="1387"/>
      <c r="D402" s="78"/>
      <c r="E402" s="85">
        <f t="shared" si="265"/>
        <v>0</v>
      </c>
      <c r="F402" s="86"/>
      <c r="G402" s="87">
        <f t="shared" si="266"/>
        <v>0</v>
      </c>
      <c r="H402" s="88">
        <f t="shared" si="267"/>
        <v>0</v>
      </c>
      <c r="I402" s="1389"/>
      <c r="J402" s="89"/>
      <c r="K402" s="138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89"/>
      <c r="AG402" s="90"/>
      <c r="AH402" s="90"/>
      <c r="AI402" s="90"/>
      <c r="AJ402" s="90"/>
      <c r="AK402" s="90"/>
      <c r="AL402" s="90"/>
      <c r="AM402" s="90"/>
      <c r="AN402" s="90"/>
      <c r="AO402" s="90"/>
      <c r="AP402" s="90"/>
      <c r="AQ402" s="90"/>
      <c r="AR402" s="90"/>
      <c r="AS402" s="90"/>
      <c r="AT402" s="91"/>
      <c r="AU402" s="92"/>
      <c r="AV402" s="1959">
        <f t="shared" si="269"/>
        <v>0</v>
      </c>
      <c r="AW402" s="1959">
        <f t="shared" si="270"/>
        <v>0</v>
      </c>
      <c r="AX402" s="1959">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6"/>
      <c r="C403" s="1387"/>
      <c r="D403" s="78"/>
      <c r="E403" s="85">
        <f t="shared" si="265"/>
        <v>0</v>
      </c>
      <c r="F403" s="86"/>
      <c r="G403" s="87">
        <f t="shared" si="266"/>
        <v>0</v>
      </c>
      <c r="H403" s="88">
        <f t="shared" si="267"/>
        <v>0</v>
      </c>
      <c r="I403" s="1389"/>
      <c r="J403" s="89"/>
      <c r="K403" s="138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89"/>
      <c r="AG403" s="90"/>
      <c r="AH403" s="90"/>
      <c r="AI403" s="90"/>
      <c r="AJ403" s="90"/>
      <c r="AK403" s="90"/>
      <c r="AL403" s="90"/>
      <c r="AM403" s="90"/>
      <c r="AN403" s="90"/>
      <c r="AO403" s="90"/>
      <c r="AP403" s="90"/>
      <c r="AQ403" s="90"/>
      <c r="AR403" s="90"/>
      <c r="AS403" s="90"/>
      <c r="AT403" s="91"/>
      <c r="AU403" s="92"/>
      <c r="AV403" s="1959">
        <f t="shared" si="269"/>
        <v>0</v>
      </c>
      <c r="AW403" s="1959">
        <f t="shared" si="270"/>
        <v>0</v>
      </c>
      <c r="AX403" s="1959">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6"/>
      <c r="C404" s="1387"/>
      <c r="D404" s="78"/>
      <c r="E404" s="85">
        <f t="shared" si="265"/>
        <v>0</v>
      </c>
      <c r="F404" s="86"/>
      <c r="G404" s="87">
        <f t="shared" si="266"/>
        <v>0</v>
      </c>
      <c r="H404" s="88">
        <f t="shared" si="267"/>
        <v>0</v>
      </c>
      <c r="I404" s="1389"/>
      <c r="J404" s="89"/>
      <c r="K404" s="138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89"/>
      <c r="AG404" s="90"/>
      <c r="AH404" s="90"/>
      <c r="AI404" s="90"/>
      <c r="AJ404" s="90"/>
      <c r="AK404" s="90"/>
      <c r="AL404" s="90"/>
      <c r="AM404" s="90"/>
      <c r="AN404" s="90"/>
      <c r="AO404" s="90"/>
      <c r="AP404" s="90"/>
      <c r="AQ404" s="90"/>
      <c r="AR404" s="90"/>
      <c r="AS404" s="90"/>
      <c r="AT404" s="91"/>
      <c r="AU404" s="92"/>
      <c r="AV404" s="1959">
        <f t="shared" si="269"/>
        <v>0</v>
      </c>
      <c r="AW404" s="1959">
        <f t="shared" si="270"/>
        <v>0</v>
      </c>
      <c r="AX404" s="1959">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6"/>
      <c r="C405" s="1387"/>
      <c r="D405" s="78"/>
      <c r="E405" s="85">
        <f t="shared" si="265"/>
        <v>0</v>
      </c>
      <c r="F405" s="86"/>
      <c r="G405" s="87">
        <f t="shared" si="266"/>
        <v>0</v>
      </c>
      <c r="H405" s="88">
        <f t="shared" si="267"/>
        <v>0</v>
      </c>
      <c r="I405" s="1389"/>
      <c r="J405" s="89"/>
      <c r="K405" s="138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89"/>
      <c r="AG405" s="90"/>
      <c r="AH405" s="90"/>
      <c r="AI405" s="90"/>
      <c r="AJ405" s="90"/>
      <c r="AK405" s="90"/>
      <c r="AL405" s="90"/>
      <c r="AM405" s="90"/>
      <c r="AN405" s="90"/>
      <c r="AO405" s="90"/>
      <c r="AP405" s="90"/>
      <c r="AQ405" s="90"/>
      <c r="AR405" s="90"/>
      <c r="AS405" s="90"/>
      <c r="AT405" s="91"/>
      <c r="AU405" s="92"/>
      <c r="AV405" s="1959">
        <f t="shared" si="269"/>
        <v>0</v>
      </c>
      <c r="AW405" s="1959">
        <f t="shared" si="270"/>
        <v>0</v>
      </c>
      <c r="AX405" s="1959">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6"/>
      <c r="C406" s="1387"/>
      <c r="D406" s="78"/>
      <c r="E406" s="85">
        <f t="shared" si="265"/>
        <v>0</v>
      </c>
      <c r="F406" s="86"/>
      <c r="G406" s="87">
        <f t="shared" si="266"/>
        <v>0</v>
      </c>
      <c r="H406" s="88">
        <f t="shared" si="267"/>
        <v>0</v>
      </c>
      <c r="I406" s="1389"/>
      <c r="J406" s="89"/>
      <c r="K406" s="138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89"/>
      <c r="AG406" s="90"/>
      <c r="AH406" s="90"/>
      <c r="AI406" s="90"/>
      <c r="AJ406" s="90"/>
      <c r="AK406" s="90"/>
      <c r="AL406" s="90"/>
      <c r="AM406" s="90"/>
      <c r="AN406" s="90"/>
      <c r="AO406" s="90"/>
      <c r="AP406" s="90"/>
      <c r="AQ406" s="90"/>
      <c r="AR406" s="90"/>
      <c r="AS406" s="90"/>
      <c r="AT406" s="91"/>
      <c r="AU406" s="92"/>
      <c r="AV406" s="1959">
        <f t="shared" si="269"/>
        <v>0</v>
      </c>
      <c r="AW406" s="1959">
        <f t="shared" si="270"/>
        <v>0</v>
      </c>
      <c r="AX406" s="1959">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6"/>
      <c r="C407" s="1387"/>
      <c r="D407" s="78"/>
      <c r="E407" s="85">
        <f t="shared" si="265"/>
        <v>0</v>
      </c>
      <c r="F407" s="86"/>
      <c r="G407" s="87">
        <f t="shared" si="266"/>
        <v>0</v>
      </c>
      <c r="H407" s="88">
        <f t="shared" si="267"/>
        <v>0</v>
      </c>
      <c r="I407" s="1389"/>
      <c r="J407" s="89"/>
      <c r="K407" s="138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89"/>
      <c r="AG407" s="90"/>
      <c r="AH407" s="90"/>
      <c r="AI407" s="90"/>
      <c r="AJ407" s="90"/>
      <c r="AK407" s="90"/>
      <c r="AL407" s="90"/>
      <c r="AM407" s="90"/>
      <c r="AN407" s="90"/>
      <c r="AO407" s="90"/>
      <c r="AP407" s="90"/>
      <c r="AQ407" s="90"/>
      <c r="AR407" s="90"/>
      <c r="AS407" s="90"/>
      <c r="AT407" s="91"/>
      <c r="AU407" s="92"/>
      <c r="AV407" s="1959">
        <f t="shared" si="269"/>
        <v>0</v>
      </c>
      <c r="AW407" s="1959">
        <f t="shared" si="270"/>
        <v>0</v>
      </c>
      <c r="AX407" s="1959">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6"/>
      <c r="C408" s="1387"/>
      <c r="D408" s="78"/>
      <c r="E408" s="85">
        <f t="shared" si="265"/>
        <v>0</v>
      </c>
      <c r="F408" s="86"/>
      <c r="G408" s="87">
        <f t="shared" si="266"/>
        <v>0</v>
      </c>
      <c r="H408" s="88">
        <f t="shared" si="267"/>
        <v>0</v>
      </c>
      <c r="I408" s="1389"/>
      <c r="J408" s="89"/>
      <c r="K408" s="138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89"/>
      <c r="AG408" s="90"/>
      <c r="AH408" s="90"/>
      <c r="AI408" s="90"/>
      <c r="AJ408" s="90"/>
      <c r="AK408" s="90"/>
      <c r="AL408" s="90"/>
      <c r="AM408" s="90"/>
      <c r="AN408" s="90"/>
      <c r="AO408" s="90"/>
      <c r="AP408" s="90"/>
      <c r="AQ408" s="90"/>
      <c r="AR408" s="90"/>
      <c r="AS408" s="90"/>
      <c r="AT408" s="91"/>
      <c r="AU408" s="92"/>
      <c r="AV408" s="1959">
        <f t="shared" si="269"/>
        <v>0</v>
      </c>
      <c r="AW408" s="1959">
        <f t="shared" si="270"/>
        <v>0</v>
      </c>
      <c r="AX408" s="1959">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6"/>
      <c r="C409" s="1387"/>
      <c r="D409" s="78"/>
      <c r="E409" s="85">
        <f t="shared" si="265"/>
        <v>0</v>
      </c>
      <c r="F409" s="86"/>
      <c r="G409" s="87">
        <f t="shared" si="266"/>
        <v>0</v>
      </c>
      <c r="H409" s="88">
        <f t="shared" si="267"/>
        <v>0</v>
      </c>
      <c r="I409" s="1389"/>
      <c r="J409" s="89"/>
      <c r="K409" s="138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89"/>
      <c r="AG409" s="90"/>
      <c r="AH409" s="90"/>
      <c r="AI409" s="90"/>
      <c r="AJ409" s="90"/>
      <c r="AK409" s="90"/>
      <c r="AL409" s="90"/>
      <c r="AM409" s="90"/>
      <c r="AN409" s="90"/>
      <c r="AO409" s="90"/>
      <c r="AP409" s="90"/>
      <c r="AQ409" s="90"/>
      <c r="AR409" s="90"/>
      <c r="AS409" s="90"/>
      <c r="AT409" s="91"/>
      <c r="AU409" s="92"/>
      <c r="AV409" s="1959">
        <f t="shared" si="269"/>
        <v>0</v>
      </c>
      <c r="AW409" s="1959">
        <f t="shared" si="270"/>
        <v>0</v>
      </c>
      <c r="AX409" s="1959">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6"/>
      <c r="C410" s="1387"/>
      <c r="D410" s="78"/>
      <c r="E410" s="85">
        <f t="shared" si="265"/>
        <v>0</v>
      </c>
      <c r="F410" s="86"/>
      <c r="G410" s="87">
        <f t="shared" si="266"/>
        <v>0</v>
      </c>
      <c r="H410" s="88">
        <f t="shared" si="267"/>
        <v>0</v>
      </c>
      <c r="I410" s="1389"/>
      <c r="J410" s="89"/>
      <c r="K410" s="138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89"/>
      <c r="AG410" s="90"/>
      <c r="AH410" s="90"/>
      <c r="AI410" s="90"/>
      <c r="AJ410" s="90"/>
      <c r="AK410" s="90"/>
      <c r="AL410" s="90"/>
      <c r="AM410" s="90"/>
      <c r="AN410" s="90"/>
      <c r="AO410" s="90"/>
      <c r="AP410" s="90"/>
      <c r="AQ410" s="90"/>
      <c r="AR410" s="90"/>
      <c r="AS410" s="90"/>
      <c r="AT410" s="91"/>
      <c r="AU410" s="92"/>
      <c r="AV410" s="1959">
        <f t="shared" si="269"/>
        <v>0</v>
      </c>
      <c r="AW410" s="1959">
        <f t="shared" si="270"/>
        <v>0</v>
      </c>
      <c r="AX410" s="1959">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6"/>
      <c r="C411" s="1387"/>
      <c r="D411" s="78"/>
      <c r="E411" s="85">
        <f t="shared" si="265"/>
        <v>0</v>
      </c>
      <c r="F411" s="86"/>
      <c r="G411" s="87">
        <f t="shared" si="266"/>
        <v>0</v>
      </c>
      <c r="H411" s="88">
        <f t="shared" si="267"/>
        <v>0</v>
      </c>
      <c r="I411" s="1389"/>
      <c r="J411" s="89"/>
      <c r="K411" s="138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89"/>
      <c r="AG411" s="90"/>
      <c r="AH411" s="90"/>
      <c r="AI411" s="90"/>
      <c r="AJ411" s="90"/>
      <c r="AK411" s="90"/>
      <c r="AL411" s="90"/>
      <c r="AM411" s="90"/>
      <c r="AN411" s="90"/>
      <c r="AO411" s="90"/>
      <c r="AP411" s="90"/>
      <c r="AQ411" s="90"/>
      <c r="AR411" s="90"/>
      <c r="AS411" s="90"/>
      <c r="AT411" s="91"/>
      <c r="AU411" s="92"/>
      <c r="AV411" s="1959">
        <f t="shared" si="269"/>
        <v>0</v>
      </c>
      <c r="AW411" s="1959">
        <f t="shared" si="270"/>
        <v>0</v>
      </c>
      <c r="AX411" s="1959">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6"/>
      <c r="C412" s="1387"/>
      <c r="D412" s="78"/>
      <c r="E412" s="85">
        <f t="shared" si="265"/>
        <v>0</v>
      </c>
      <c r="F412" s="86"/>
      <c r="G412" s="87">
        <f t="shared" si="266"/>
        <v>0</v>
      </c>
      <c r="H412" s="88">
        <f t="shared" si="267"/>
        <v>0</v>
      </c>
      <c r="I412" s="1389"/>
      <c r="J412" s="89"/>
      <c r="K412" s="138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89"/>
      <c r="AG412" s="90"/>
      <c r="AH412" s="90"/>
      <c r="AI412" s="90"/>
      <c r="AJ412" s="90"/>
      <c r="AK412" s="90"/>
      <c r="AL412" s="90"/>
      <c r="AM412" s="90"/>
      <c r="AN412" s="90"/>
      <c r="AO412" s="90"/>
      <c r="AP412" s="90"/>
      <c r="AQ412" s="90"/>
      <c r="AR412" s="90"/>
      <c r="AS412" s="90"/>
      <c r="AT412" s="91"/>
      <c r="AU412" s="92"/>
      <c r="AV412" s="1959">
        <f t="shared" si="269"/>
        <v>0</v>
      </c>
      <c r="AW412" s="1959">
        <f t="shared" si="270"/>
        <v>0</v>
      </c>
      <c r="AX412" s="1959">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6"/>
      <c r="C413" s="1387"/>
      <c r="D413" s="78"/>
      <c r="E413" s="85">
        <f t="shared" si="265"/>
        <v>0</v>
      </c>
      <c r="F413" s="86"/>
      <c r="G413" s="87">
        <f t="shared" si="266"/>
        <v>0</v>
      </c>
      <c r="H413" s="88">
        <f t="shared" si="267"/>
        <v>0</v>
      </c>
      <c r="I413" s="1389"/>
      <c r="J413" s="89"/>
      <c r="K413" s="138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89"/>
      <c r="AG413" s="90"/>
      <c r="AH413" s="90"/>
      <c r="AI413" s="90"/>
      <c r="AJ413" s="90"/>
      <c r="AK413" s="90"/>
      <c r="AL413" s="90"/>
      <c r="AM413" s="90"/>
      <c r="AN413" s="90"/>
      <c r="AO413" s="90"/>
      <c r="AP413" s="90"/>
      <c r="AQ413" s="90"/>
      <c r="AR413" s="90"/>
      <c r="AS413" s="90"/>
      <c r="AT413" s="91"/>
      <c r="AU413" s="92"/>
      <c r="AV413" s="1959">
        <f t="shared" si="269"/>
        <v>0</v>
      </c>
      <c r="AW413" s="1959">
        <f t="shared" si="270"/>
        <v>0</v>
      </c>
      <c r="AX413" s="1959">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6"/>
      <c r="C414" s="1387"/>
      <c r="D414" s="78"/>
      <c r="E414" s="85">
        <f t="shared" si="265"/>
        <v>0</v>
      </c>
      <c r="F414" s="86"/>
      <c r="G414" s="87">
        <f t="shared" si="266"/>
        <v>0</v>
      </c>
      <c r="H414" s="88">
        <f t="shared" si="267"/>
        <v>0</v>
      </c>
      <c r="I414" s="1389"/>
      <c r="J414" s="89"/>
      <c r="K414" s="138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89"/>
      <c r="AG414" s="90"/>
      <c r="AH414" s="90"/>
      <c r="AI414" s="90"/>
      <c r="AJ414" s="90"/>
      <c r="AK414" s="90"/>
      <c r="AL414" s="90"/>
      <c r="AM414" s="90"/>
      <c r="AN414" s="90"/>
      <c r="AO414" s="90"/>
      <c r="AP414" s="90"/>
      <c r="AQ414" s="90"/>
      <c r="AR414" s="90"/>
      <c r="AS414" s="90"/>
      <c r="AT414" s="91"/>
      <c r="AU414" s="92"/>
      <c r="AV414" s="1959">
        <f t="shared" si="269"/>
        <v>0</v>
      </c>
      <c r="AW414" s="1959">
        <f t="shared" si="270"/>
        <v>0</v>
      </c>
      <c r="AX414" s="1959">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6"/>
      <c r="C415" s="1387"/>
      <c r="D415" s="78"/>
      <c r="E415" s="85">
        <f t="shared" si="265"/>
        <v>0</v>
      </c>
      <c r="F415" s="86"/>
      <c r="G415" s="87">
        <f t="shared" si="266"/>
        <v>0</v>
      </c>
      <c r="H415" s="88">
        <f t="shared" si="267"/>
        <v>0</v>
      </c>
      <c r="I415" s="1389"/>
      <c r="J415" s="89"/>
      <c r="K415" s="138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87"/>
      <c r="AG415" s="90"/>
      <c r="AH415" s="90"/>
      <c r="AI415" s="90"/>
      <c r="AJ415" s="90"/>
      <c r="AK415" s="90"/>
      <c r="AL415" s="90"/>
      <c r="AM415" s="90"/>
      <c r="AN415" s="90"/>
      <c r="AO415" s="90"/>
      <c r="AP415" s="90"/>
      <c r="AQ415" s="90"/>
      <c r="AR415" s="90"/>
      <c r="AS415" s="90"/>
      <c r="AT415" s="91"/>
      <c r="AU415" s="92"/>
      <c r="AV415" s="1959">
        <f t="shared" si="269"/>
        <v>0</v>
      </c>
      <c r="AW415" s="1959">
        <f t="shared" si="270"/>
        <v>0</v>
      </c>
      <c r="AX415" s="1959">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6"/>
      <c r="C416" s="1387"/>
      <c r="D416" s="78"/>
      <c r="E416" s="85">
        <f t="shared" si="265"/>
        <v>0</v>
      </c>
      <c r="F416" s="86"/>
      <c r="G416" s="87">
        <f t="shared" si="266"/>
        <v>0</v>
      </c>
      <c r="H416" s="88">
        <f t="shared" si="267"/>
        <v>0</v>
      </c>
      <c r="I416" s="1387"/>
      <c r="J416" s="89"/>
      <c r="K416" s="138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87"/>
      <c r="AG416" s="90"/>
      <c r="AH416" s="90"/>
      <c r="AI416" s="90"/>
      <c r="AJ416" s="90"/>
      <c r="AK416" s="90"/>
      <c r="AL416" s="90"/>
      <c r="AM416" s="90"/>
      <c r="AN416" s="90"/>
      <c r="AO416" s="90"/>
      <c r="AP416" s="90"/>
      <c r="AQ416" s="90"/>
      <c r="AR416" s="90"/>
      <c r="AS416" s="90"/>
      <c r="AT416" s="91"/>
      <c r="AU416" s="92"/>
      <c r="AV416" s="1959">
        <f t="shared" si="269"/>
        <v>0</v>
      </c>
      <c r="AW416" s="1959">
        <f t="shared" si="270"/>
        <v>0</v>
      </c>
      <c r="AX416" s="1959">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6"/>
      <c r="C417" s="1387"/>
      <c r="D417" s="78"/>
      <c r="E417" s="85">
        <f t="shared" si="265"/>
        <v>0</v>
      </c>
      <c r="F417" s="86"/>
      <c r="G417" s="87">
        <f t="shared" si="266"/>
        <v>0</v>
      </c>
      <c r="H417" s="88">
        <f t="shared" si="267"/>
        <v>0</v>
      </c>
      <c r="I417" s="1387"/>
      <c r="J417" s="89"/>
      <c r="K417" s="138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87"/>
      <c r="AG417" s="90"/>
      <c r="AH417" s="90"/>
      <c r="AI417" s="90"/>
      <c r="AJ417" s="90"/>
      <c r="AK417" s="90"/>
      <c r="AL417" s="90"/>
      <c r="AM417" s="90"/>
      <c r="AN417" s="90"/>
      <c r="AO417" s="90"/>
      <c r="AP417" s="90"/>
      <c r="AQ417" s="90"/>
      <c r="AR417" s="90"/>
      <c r="AS417" s="90"/>
      <c r="AT417" s="91"/>
      <c r="AU417" s="92"/>
      <c r="AV417" s="1959">
        <f t="shared" si="269"/>
        <v>0</v>
      </c>
      <c r="AW417" s="1959">
        <f t="shared" si="270"/>
        <v>0</v>
      </c>
      <c r="AX417" s="1959">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6"/>
      <c r="C418" s="1387"/>
      <c r="D418" s="78"/>
      <c r="E418" s="85">
        <f t="shared" si="265"/>
        <v>0</v>
      </c>
      <c r="F418" s="86"/>
      <c r="G418" s="87">
        <f t="shared" si="266"/>
        <v>0</v>
      </c>
      <c r="H418" s="88">
        <f t="shared" si="267"/>
        <v>0</v>
      </c>
      <c r="I418" s="1387"/>
      <c r="J418" s="89"/>
      <c r="K418" s="138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87"/>
      <c r="AG418" s="90"/>
      <c r="AH418" s="90"/>
      <c r="AI418" s="90"/>
      <c r="AJ418" s="90"/>
      <c r="AK418" s="90"/>
      <c r="AL418" s="90"/>
      <c r="AM418" s="90"/>
      <c r="AN418" s="90"/>
      <c r="AO418" s="90"/>
      <c r="AP418" s="90"/>
      <c r="AQ418" s="90"/>
      <c r="AR418" s="90"/>
      <c r="AS418" s="90"/>
      <c r="AT418" s="91"/>
      <c r="AU418" s="92"/>
      <c r="AV418" s="1959">
        <f t="shared" si="269"/>
        <v>0</v>
      </c>
      <c r="AW418" s="1959">
        <f t="shared" si="270"/>
        <v>0</v>
      </c>
      <c r="AX418" s="1959">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6"/>
      <c r="C419" s="1387"/>
      <c r="D419" s="78"/>
      <c r="E419" s="85">
        <f t="shared" si="265"/>
        <v>0</v>
      </c>
      <c r="F419" s="86"/>
      <c r="G419" s="87">
        <f t="shared" si="266"/>
        <v>0</v>
      </c>
      <c r="H419" s="88">
        <f t="shared" si="267"/>
        <v>0</v>
      </c>
      <c r="I419" s="1387"/>
      <c r="J419" s="89"/>
      <c r="K419" s="138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87"/>
      <c r="AG419" s="90"/>
      <c r="AH419" s="90"/>
      <c r="AI419" s="90"/>
      <c r="AJ419" s="90"/>
      <c r="AK419" s="90"/>
      <c r="AL419" s="90"/>
      <c r="AM419" s="90"/>
      <c r="AN419" s="90"/>
      <c r="AO419" s="90"/>
      <c r="AP419" s="90"/>
      <c r="AQ419" s="90"/>
      <c r="AR419" s="90"/>
      <c r="AS419" s="90"/>
      <c r="AT419" s="91"/>
      <c r="AU419" s="92"/>
      <c r="AV419" s="1959">
        <f t="shared" si="269"/>
        <v>0</v>
      </c>
      <c r="AW419" s="1959">
        <f t="shared" si="270"/>
        <v>0</v>
      </c>
      <c r="AX419" s="1959">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6"/>
      <c r="C420" s="1387"/>
      <c r="D420" s="78"/>
      <c r="E420" s="85">
        <f t="shared" si="265"/>
        <v>0</v>
      </c>
      <c r="F420" s="86"/>
      <c r="G420" s="87">
        <f t="shared" si="266"/>
        <v>0</v>
      </c>
      <c r="H420" s="88">
        <f t="shared" si="267"/>
        <v>0</v>
      </c>
      <c r="I420" s="1387"/>
      <c r="J420" s="89"/>
      <c r="K420" s="138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87"/>
      <c r="AG420" s="90"/>
      <c r="AH420" s="90"/>
      <c r="AI420" s="90"/>
      <c r="AJ420" s="90"/>
      <c r="AK420" s="90"/>
      <c r="AL420" s="90"/>
      <c r="AM420" s="90"/>
      <c r="AN420" s="90"/>
      <c r="AO420" s="90"/>
      <c r="AP420" s="90"/>
      <c r="AQ420" s="90"/>
      <c r="AR420" s="90"/>
      <c r="AS420" s="90"/>
      <c r="AT420" s="91"/>
      <c r="AU420" s="92"/>
      <c r="AV420" s="1959">
        <f t="shared" si="269"/>
        <v>0</v>
      </c>
      <c r="AW420" s="1959">
        <f t="shared" si="270"/>
        <v>0</v>
      </c>
      <c r="AX420" s="1959">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6"/>
      <c r="C421" s="1387"/>
      <c r="D421" s="78"/>
      <c r="E421" s="85">
        <f t="shared" si="265"/>
        <v>0</v>
      </c>
      <c r="F421" s="86"/>
      <c r="G421" s="87">
        <f t="shared" si="266"/>
        <v>0</v>
      </c>
      <c r="H421" s="88">
        <f t="shared" si="267"/>
        <v>0</v>
      </c>
      <c r="I421" s="1387"/>
      <c r="J421" s="89"/>
      <c r="K421" s="138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87"/>
      <c r="AG421" s="90"/>
      <c r="AH421" s="90"/>
      <c r="AI421" s="90"/>
      <c r="AJ421" s="90"/>
      <c r="AK421" s="90"/>
      <c r="AL421" s="90"/>
      <c r="AM421" s="90"/>
      <c r="AN421" s="90"/>
      <c r="AO421" s="90"/>
      <c r="AP421" s="90"/>
      <c r="AQ421" s="90"/>
      <c r="AR421" s="90"/>
      <c r="AS421" s="90"/>
      <c r="AT421" s="91"/>
      <c r="AU421" s="92"/>
      <c r="AV421" s="1959">
        <f t="shared" si="269"/>
        <v>0</v>
      </c>
      <c r="AW421" s="1959">
        <f t="shared" si="270"/>
        <v>0</v>
      </c>
      <c r="AX421" s="1959">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6"/>
      <c r="C422" s="1387"/>
      <c r="D422" s="78"/>
      <c r="E422" s="85">
        <f t="shared" si="265"/>
        <v>0</v>
      </c>
      <c r="F422" s="86"/>
      <c r="G422" s="87">
        <f t="shared" si="266"/>
        <v>0</v>
      </c>
      <c r="H422" s="88">
        <f t="shared" si="267"/>
        <v>0</v>
      </c>
      <c r="I422" s="1387"/>
      <c r="J422" s="89"/>
      <c r="K422" s="138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87"/>
      <c r="AG422" s="90"/>
      <c r="AH422" s="90"/>
      <c r="AI422" s="90"/>
      <c r="AJ422" s="90"/>
      <c r="AK422" s="90"/>
      <c r="AL422" s="90"/>
      <c r="AM422" s="90"/>
      <c r="AN422" s="90"/>
      <c r="AO422" s="90"/>
      <c r="AP422" s="90"/>
      <c r="AQ422" s="90"/>
      <c r="AR422" s="90"/>
      <c r="AS422" s="90"/>
      <c r="AT422" s="91"/>
      <c r="AU422" s="92"/>
      <c r="AV422" s="1959">
        <f t="shared" si="269"/>
        <v>0</v>
      </c>
      <c r="AW422" s="1959">
        <f t="shared" si="270"/>
        <v>0</v>
      </c>
      <c r="AX422" s="1959">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88"/>
      <c r="C423" s="1389"/>
      <c r="D423" s="78"/>
      <c r="E423" s="85">
        <f t="shared" si="265"/>
        <v>0</v>
      </c>
      <c r="F423" s="86"/>
      <c r="G423" s="87">
        <f t="shared" si="266"/>
        <v>0</v>
      </c>
      <c r="H423" s="88">
        <f t="shared" si="267"/>
        <v>0</v>
      </c>
      <c r="I423" s="1387"/>
      <c r="J423" s="89"/>
      <c r="K423" s="1387"/>
      <c r="L423" s="89"/>
      <c r="M423" s="1387"/>
      <c r="N423" s="89"/>
      <c r="O423" s="89"/>
      <c r="P423" s="89"/>
      <c r="Q423" s="89"/>
      <c r="R423" s="89"/>
      <c r="S423" s="89"/>
      <c r="T423" s="89"/>
      <c r="U423" s="89"/>
      <c r="V423" s="89"/>
      <c r="W423" s="89"/>
      <c r="X423" s="89"/>
      <c r="Y423" s="89"/>
      <c r="Z423" s="89"/>
      <c r="AA423" s="89"/>
      <c r="AB423" s="89"/>
      <c r="AC423" s="85">
        <f t="shared" si="268"/>
        <v>0</v>
      </c>
      <c r="AD423" s="90"/>
      <c r="AE423" s="90"/>
      <c r="AF423" s="1387"/>
      <c r="AG423" s="90"/>
      <c r="AH423" s="90"/>
      <c r="AI423" s="90"/>
      <c r="AJ423" s="90"/>
      <c r="AK423" s="90"/>
      <c r="AL423" s="90"/>
      <c r="AM423" s="90"/>
      <c r="AN423" s="90"/>
      <c r="AO423" s="90"/>
      <c r="AP423" s="90"/>
      <c r="AQ423" s="90"/>
      <c r="AR423" s="90"/>
      <c r="AS423" s="90"/>
      <c r="AT423" s="91"/>
      <c r="AU423" s="92"/>
      <c r="AV423" s="1959">
        <f t="shared" si="269"/>
        <v>0</v>
      </c>
      <c r="AW423" s="1959">
        <f t="shared" si="270"/>
        <v>0</v>
      </c>
      <c r="AX423" s="1959">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59">
        <f t="shared" si="269"/>
        <v>0</v>
      </c>
      <c r="AW424" s="1959">
        <f t="shared" si="270"/>
        <v>0</v>
      </c>
      <c r="AX424" s="1959">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59">
        <f t="shared" si="269"/>
        <v>0</v>
      </c>
      <c r="AW425" s="1959">
        <f t="shared" si="270"/>
        <v>0</v>
      </c>
      <c r="AX425" s="1959">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59">
        <f t="shared" si="269"/>
        <v>0</v>
      </c>
      <c r="AW426" s="1959">
        <f t="shared" si="270"/>
        <v>0</v>
      </c>
      <c r="AX426" s="1959">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59">
        <f t="shared" si="269"/>
        <v>0</v>
      </c>
      <c r="AW427" s="1959">
        <f t="shared" si="270"/>
        <v>0</v>
      </c>
      <c r="AX427" s="1959">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59">
        <f t="shared" si="269"/>
        <v>0</v>
      </c>
      <c r="AW428" s="1959">
        <f t="shared" si="270"/>
        <v>0</v>
      </c>
      <c r="AX428" s="1959">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59">
        <f t="shared" si="269"/>
        <v>0</v>
      </c>
      <c r="AW429" s="1959">
        <f t="shared" si="270"/>
        <v>0</v>
      </c>
      <c r="AX429" s="1959">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59">
        <f t="shared" si="269"/>
        <v>0</v>
      </c>
      <c r="AW430" s="1959">
        <f t="shared" si="270"/>
        <v>0</v>
      </c>
      <c r="AX430" s="1959">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59">
        <f t="shared" si="269"/>
        <v>0</v>
      </c>
      <c r="AW431" s="1959">
        <f t="shared" si="270"/>
        <v>0</v>
      </c>
      <c r="AX431" s="1959">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59">
        <f t="shared" si="269"/>
        <v>0</v>
      </c>
      <c r="AW432" s="1959">
        <f t="shared" si="270"/>
        <v>0</v>
      </c>
      <c r="AX432" s="1959">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59">
        <f t="shared" si="269"/>
        <v>0</v>
      </c>
      <c r="AW433" s="1959">
        <f t="shared" si="270"/>
        <v>0</v>
      </c>
      <c r="AX433" s="1959">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59">
        <f t="shared" si="269"/>
        <v>0</v>
      </c>
      <c r="AW434" s="1959">
        <f t="shared" si="270"/>
        <v>0</v>
      </c>
      <c r="AX434" s="1959">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59">
        <f t="shared" si="269"/>
        <v>0</v>
      </c>
      <c r="AW435" s="1959">
        <f t="shared" si="270"/>
        <v>0</v>
      </c>
      <c r="AX435" s="1959">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59">
        <f t="shared" si="269"/>
        <v>0</v>
      </c>
      <c r="AW436" s="1959">
        <f t="shared" si="270"/>
        <v>0</v>
      </c>
      <c r="AX436" s="1959">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59">
        <f t="shared" si="269"/>
        <v>0</v>
      </c>
      <c r="AW437" s="1959">
        <f t="shared" si="270"/>
        <v>0</v>
      </c>
      <c r="AX437" s="1959">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59">
        <f t="shared" si="269"/>
        <v>0</v>
      </c>
      <c r="AW438" s="1959">
        <f t="shared" si="270"/>
        <v>0</v>
      </c>
      <c r="AX438" s="1959">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59">
        <f t="shared" si="269"/>
        <v>0</v>
      </c>
      <c r="AW439" s="1959">
        <f t="shared" si="270"/>
        <v>0</v>
      </c>
      <c r="AX439" s="1959">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59">
        <f t="shared" si="269"/>
        <v>0</v>
      </c>
      <c r="AW440" s="1959">
        <f t="shared" si="270"/>
        <v>0</v>
      </c>
      <c r="AX440" s="1959">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59">
        <f t="shared" si="269"/>
        <v>0</v>
      </c>
      <c r="AW441" s="1959">
        <f t="shared" si="270"/>
        <v>0</v>
      </c>
      <c r="AX441" s="1959">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59">
        <f t="shared" si="269"/>
        <v>0</v>
      </c>
      <c r="AW442" s="1959">
        <f t="shared" si="270"/>
        <v>0</v>
      </c>
      <c r="AX442" s="1959">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59">
        <f t="shared" si="269"/>
        <v>0</v>
      </c>
      <c r="AW443" s="1959">
        <f t="shared" si="270"/>
        <v>0</v>
      </c>
      <c r="AX443" s="1959">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59">
        <f t="shared" si="269"/>
        <v>0</v>
      </c>
      <c r="AW444" s="1959">
        <f t="shared" si="270"/>
        <v>0</v>
      </c>
      <c r="AX444" s="1959">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59">
        <f t="shared" si="269"/>
        <v>0</v>
      </c>
      <c r="AW445" s="1959">
        <f t="shared" si="270"/>
        <v>0</v>
      </c>
      <c r="AX445" s="1959">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59">
        <f t="shared" si="269"/>
        <v>0</v>
      </c>
      <c r="AW446" s="1959">
        <f t="shared" si="270"/>
        <v>0</v>
      </c>
      <c r="AX446" s="1959">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59">
        <f t="shared" si="269"/>
        <v>0</v>
      </c>
      <c r="AW447" s="1959">
        <f t="shared" si="270"/>
        <v>0</v>
      </c>
      <c r="AX447" s="1959">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59">
        <f t="shared" si="269"/>
        <v>0</v>
      </c>
      <c r="AW448" s="1959">
        <f t="shared" si="270"/>
        <v>0</v>
      </c>
      <c r="AX448" s="1959">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59">
        <f t="shared" si="269"/>
        <v>0</v>
      </c>
      <c r="AW449" s="1959">
        <f t="shared" si="270"/>
        <v>0</v>
      </c>
      <c r="AX449" s="1959">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59">
        <f t="shared" si="269"/>
        <v>0</v>
      </c>
      <c r="AW450" s="1959">
        <f t="shared" si="270"/>
        <v>0</v>
      </c>
      <c r="AX450" s="1959">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59">
        <f t="shared" si="269"/>
        <v>0</v>
      </c>
      <c r="AW451" s="1959">
        <f t="shared" si="270"/>
        <v>0</v>
      </c>
      <c r="AX451" s="1959">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59">
        <f t="shared" si="269"/>
        <v>0</v>
      </c>
      <c r="AW452" s="1959">
        <f t="shared" si="270"/>
        <v>0</v>
      </c>
      <c r="AX452" s="1959">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59">
        <f t="shared" si="269"/>
        <v>0</v>
      </c>
      <c r="AW453" s="1959">
        <f t="shared" si="270"/>
        <v>0</v>
      </c>
      <c r="AX453" s="1959">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59">
        <f t="shared" si="269"/>
        <v>0</v>
      </c>
      <c r="AW454" s="1959">
        <f t="shared" si="270"/>
        <v>0</v>
      </c>
      <c r="AX454" s="1959">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59">
        <f t="shared" si="269"/>
        <v>0</v>
      </c>
      <c r="AW455" s="1959">
        <f t="shared" si="270"/>
        <v>0</v>
      </c>
      <c r="AX455" s="1959">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59">
        <f t="shared" si="269"/>
        <v>0</v>
      </c>
      <c r="AW456" s="1959">
        <f t="shared" si="270"/>
        <v>0</v>
      </c>
      <c r="AX456" s="1959">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59">
        <f t="shared" si="269"/>
        <v>0</v>
      </c>
      <c r="AW457" s="1959">
        <f t="shared" si="270"/>
        <v>0</v>
      </c>
      <c r="AX457" s="1959">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59">
        <f t="shared" si="269"/>
        <v>0</v>
      </c>
      <c r="AW458" s="1959">
        <f t="shared" si="270"/>
        <v>0</v>
      </c>
      <c r="AX458" s="1959">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59">
        <f t="shared" si="269"/>
        <v>0</v>
      </c>
      <c r="AW459" s="1959">
        <f t="shared" si="270"/>
        <v>0</v>
      </c>
      <c r="AX459" s="1959">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59">
        <f t="shared" si="269"/>
        <v>0</v>
      </c>
      <c r="AW460" s="1959">
        <f t="shared" si="270"/>
        <v>0</v>
      </c>
      <c r="AX460" s="1959">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59">
        <f t="shared" si="269"/>
        <v>0</v>
      </c>
      <c r="AW461" s="1959">
        <f t="shared" si="270"/>
        <v>0</v>
      </c>
      <c r="AX461" s="1959">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59">
        <f t="shared" si="269"/>
        <v>0</v>
      </c>
      <c r="AW462" s="1959">
        <f t="shared" si="270"/>
        <v>0</v>
      </c>
      <c r="AX462" s="1959">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59">
        <f t="shared" si="269"/>
        <v>0</v>
      </c>
      <c r="AW463" s="1959">
        <f t="shared" si="270"/>
        <v>0</v>
      </c>
      <c r="AX463" s="1959">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59">
        <f t="shared" si="269"/>
        <v>0</v>
      </c>
      <c r="AW464" s="1959">
        <f t="shared" si="270"/>
        <v>0</v>
      </c>
      <c r="AX464" s="1959">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59">
        <f t="shared" si="269"/>
        <v>0</v>
      </c>
      <c r="AW465" s="1959">
        <f t="shared" si="270"/>
        <v>0</v>
      </c>
      <c r="AX465" s="1959">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59">
        <f t="shared" si="269"/>
        <v>0</v>
      </c>
      <c r="AW466" s="1959">
        <f t="shared" si="270"/>
        <v>0</v>
      </c>
      <c r="AX466" s="1959">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59">
        <f t="shared" si="269"/>
        <v>0</v>
      </c>
      <c r="AW467" s="1959">
        <f t="shared" si="270"/>
        <v>0</v>
      </c>
      <c r="AX467" s="1959">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59">
        <f t="shared" si="269"/>
        <v>0</v>
      </c>
      <c r="AW468" s="1959">
        <f t="shared" si="270"/>
        <v>0</v>
      </c>
      <c r="AX468" s="1959">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59">
        <f t="shared" si="269"/>
        <v>0</v>
      </c>
      <c r="AW469" s="1959">
        <f t="shared" si="270"/>
        <v>0</v>
      </c>
      <c r="AX469" s="1959">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59">
        <f t="shared" si="269"/>
        <v>0</v>
      </c>
      <c r="AW470" s="1959">
        <f t="shared" si="270"/>
        <v>0</v>
      </c>
      <c r="AX470" s="1959">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59">
        <f t="shared" si="269"/>
        <v>0</v>
      </c>
      <c r="AW471" s="1959">
        <f t="shared" si="270"/>
        <v>0</v>
      </c>
      <c r="AX471" s="1959">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59">
        <f t="shared" si="269"/>
        <v>0</v>
      </c>
      <c r="AW472" s="1959">
        <f t="shared" si="270"/>
        <v>0</v>
      </c>
      <c r="AX472" s="1959">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59">
        <f t="shared" si="269"/>
        <v>0</v>
      </c>
      <c r="AW473" s="1959">
        <f t="shared" si="270"/>
        <v>0</v>
      </c>
      <c r="AX473" s="1959">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59">
        <f t="shared" si="269"/>
        <v>0</v>
      </c>
      <c r="AW474" s="1959">
        <f t="shared" si="270"/>
        <v>0</v>
      </c>
      <c r="AX474" s="1959">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59">
        <f t="shared" si="269"/>
        <v>0</v>
      </c>
      <c r="AW475" s="1959">
        <f t="shared" si="270"/>
        <v>0</v>
      </c>
      <c r="AX475" s="1959">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59">
        <f t="shared" si="269"/>
        <v>0</v>
      </c>
      <c r="AW476" s="1959">
        <f t="shared" si="270"/>
        <v>0</v>
      </c>
      <c r="AX476" s="1959">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59">
        <f t="shared" si="269"/>
        <v>0</v>
      </c>
      <c r="AW477" s="1959">
        <f t="shared" si="270"/>
        <v>0</v>
      </c>
      <c r="AX477" s="1959">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59">
        <f t="shared" si="269"/>
        <v>0</v>
      </c>
      <c r="AW478" s="1959">
        <f t="shared" si="270"/>
        <v>0</v>
      </c>
      <c r="AX478" s="1959">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59">
        <f t="shared" si="269"/>
        <v>0</v>
      </c>
      <c r="AW479" s="1959">
        <f t="shared" si="270"/>
        <v>0</v>
      </c>
      <c r="AX479" s="1959">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59">
        <f t="shared" si="269"/>
        <v>0</v>
      </c>
      <c r="AW480" s="1959">
        <f t="shared" si="270"/>
        <v>0</v>
      </c>
      <c r="AX480" s="1959">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6"/>
      <c r="C481" s="1387"/>
      <c r="D481" s="78"/>
      <c r="E481" s="85">
        <f t="shared" ref="E481:E504" si="319">IF($C$3="是",ROUND($A$3*G481/$B$3,2),ROUND($A$3*(G481-AT481)/$B$3,2))</f>
        <v>0</v>
      </c>
      <c r="F481" s="86"/>
      <c r="G481" s="87">
        <f t="shared" si="294"/>
        <v>0</v>
      </c>
      <c r="H481" s="88">
        <f t="shared" si="295"/>
        <v>0</v>
      </c>
      <c r="I481" s="1389"/>
      <c r="J481" s="89"/>
      <c r="K481" s="138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0"/>
      <c r="AG481" s="90"/>
      <c r="AH481" s="90"/>
      <c r="AI481" s="90"/>
      <c r="AJ481" s="90"/>
      <c r="AK481" s="90"/>
      <c r="AL481" s="90"/>
      <c r="AM481" s="90"/>
      <c r="AN481" s="1358"/>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6"/>
      <c r="C482" s="1387"/>
      <c r="D482" s="78"/>
      <c r="E482" s="85">
        <f t="shared" si="319"/>
        <v>0</v>
      </c>
      <c r="F482" s="86"/>
      <c r="G482" s="87">
        <f t="shared" si="294"/>
        <v>0</v>
      </c>
      <c r="H482" s="88">
        <f t="shared" si="295"/>
        <v>0</v>
      </c>
      <c r="I482" s="1389"/>
      <c r="J482" s="89"/>
      <c r="K482" s="1389"/>
      <c r="L482" s="89"/>
      <c r="M482" s="1358"/>
      <c r="N482" s="89"/>
      <c r="O482" s="89"/>
      <c r="P482" s="89"/>
      <c r="Q482" s="89"/>
      <c r="R482" s="89"/>
      <c r="S482" s="89"/>
      <c r="T482" s="89"/>
      <c r="U482" s="89"/>
      <c r="V482" s="89"/>
      <c r="W482" s="89"/>
      <c r="X482" s="89"/>
      <c r="Y482" s="89"/>
      <c r="Z482" s="89"/>
      <c r="AA482" s="89"/>
      <c r="AB482" s="89"/>
      <c r="AC482" s="85">
        <f t="shared" si="296"/>
        <v>0</v>
      </c>
      <c r="AD482" s="1358"/>
      <c r="AE482" s="90"/>
      <c r="AF482" s="1390"/>
      <c r="AG482" s="90"/>
      <c r="AH482" s="90"/>
      <c r="AI482" s="90"/>
      <c r="AJ482" s="90"/>
      <c r="AK482" s="90"/>
      <c r="AL482" s="1358"/>
      <c r="AM482" s="90"/>
      <c r="AN482" s="1358"/>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6"/>
      <c r="C483" s="1387"/>
      <c r="D483" s="78"/>
      <c r="E483" s="85">
        <f t="shared" si="319"/>
        <v>0</v>
      </c>
      <c r="F483" s="86"/>
      <c r="G483" s="87">
        <f t="shared" si="294"/>
        <v>0</v>
      </c>
      <c r="H483" s="88">
        <f t="shared" si="295"/>
        <v>0</v>
      </c>
      <c r="I483" s="1389"/>
      <c r="J483" s="89"/>
      <c r="K483" s="1389"/>
      <c r="L483" s="89"/>
      <c r="M483" s="1358"/>
      <c r="N483" s="89"/>
      <c r="O483" s="89"/>
      <c r="P483" s="89"/>
      <c r="Q483" s="89"/>
      <c r="R483" s="89"/>
      <c r="S483" s="89"/>
      <c r="T483" s="89"/>
      <c r="U483" s="89"/>
      <c r="V483" s="89"/>
      <c r="W483" s="89"/>
      <c r="X483" s="89"/>
      <c r="Y483" s="89"/>
      <c r="Z483" s="89"/>
      <c r="AA483" s="89"/>
      <c r="AB483" s="89"/>
      <c r="AC483" s="85">
        <f t="shared" si="296"/>
        <v>0</v>
      </c>
      <c r="AD483" s="90"/>
      <c r="AE483" s="90"/>
      <c r="AF483" s="1390"/>
      <c r="AG483" s="90"/>
      <c r="AH483" s="90"/>
      <c r="AI483" s="90"/>
      <c r="AJ483" s="90"/>
      <c r="AK483" s="90"/>
      <c r="AL483" s="1358"/>
      <c r="AM483" s="90"/>
      <c r="AN483" s="1358"/>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6"/>
      <c r="C484" s="1387"/>
      <c r="D484" s="78"/>
      <c r="E484" s="85">
        <f t="shared" si="319"/>
        <v>0</v>
      </c>
      <c r="F484" s="86"/>
      <c r="G484" s="87">
        <f t="shared" si="294"/>
        <v>0</v>
      </c>
      <c r="H484" s="88">
        <f t="shared" si="295"/>
        <v>0</v>
      </c>
      <c r="I484" s="1389"/>
      <c r="J484" s="89"/>
      <c r="K484" s="1389"/>
      <c r="L484" s="89"/>
      <c r="M484" s="89"/>
      <c r="N484" s="89"/>
      <c r="O484" s="1358"/>
      <c r="P484" s="89"/>
      <c r="Q484" s="89"/>
      <c r="R484" s="89"/>
      <c r="S484" s="89"/>
      <c r="T484" s="89"/>
      <c r="U484" s="89"/>
      <c r="V484" s="89"/>
      <c r="W484" s="89"/>
      <c r="X484" s="89"/>
      <c r="Y484" s="89"/>
      <c r="Z484" s="89"/>
      <c r="AA484" s="89"/>
      <c r="AB484" s="89"/>
      <c r="AC484" s="85">
        <f t="shared" si="296"/>
        <v>0</v>
      </c>
      <c r="AD484" s="90"/>
      <c r="AE484" s="90"/>
      <c r="AF484" s="1390"/>
      <c r="AG484" s="90"/>
      <c r="AH484" s="90"/>
      <c r="AI484" s="90"/>
      <c r="AJ484" s="90"/>
      <c r="AK484" s="90"/>
      <c r="AL484" s="90"/>
      <c r="AM484" s="90"/>
      <c r="AN484" s="1358"/>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6"/>
      <c r="C485" s="1387"/>
      <c r="D485" s="78"/>
      <c r="E485" s="85">
        <f t="shared" si="319"/>
        <v>0</v>
      </c>
      <c r="F485" s="86"/>
      <c r="G485" s="87">
        <f t="shared" si="294"/>
        <v>0</v>
      </c>
      <c r="H485" s="88">
        <f t="shared" si="295"/>
        <v>0</v>
      </c>
      <c r="I485" s="1389"/>
      <c r="J485" s="89"/>
      <c r="K485" s="138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0"/>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6"/>
      <c r="C486" s="1387"/>
      <c r="D486" s="78"/>
      <c r="E486" s="85">
        <f t="shared" si="319"/>
        <v>0</v>
      </c>
      <c r="F486" s="86"/>
      <c r="G486" s="87">
        <f t="shared" si="294"/>
        <v>0</v>
      </c>
      <c r="H486" s="88">
        <f t="shared" si="295"/>
        <v>0</v>
      </c>
      <c r="I486" s="1389"/>
      <c r="J486" s="89"/>
      <c r="K486" s="138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0"/>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6"/>
      <c r="C487" s="1387"/>
      <c r="D487" s="78"/>
      <c r="E487" s="85">
        <f t="shared" si="319"/>
        <v>0</v>
      </c>
      <c r="F487" s="86"/>
      <c r="G487" s="87">
        <f t="shared" si="294"/>
        <v>0</v>
      </c>
      <c r="H487" s="88">
        <f t="shared" si="295"/>
        <v>0</v>
      </c>
      <c r="I487" s="1389"/>
      <c r="J487" s="89"/>
      <c r="K487" s="138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0"/>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6"/>
      <c r="C488" s="1387"/>
      <c r="D488" s="78"/>
      <c r="E488" s="85">
        <f t="shared" si="319"/>
        <v>0</v>
      </c>
      <c r="F488" s="86"/>
      <c r="G488" s="87">
        <f t="shared" si="294"/>
        <v>0</v>
      </c>
      <c r="H488" s="88">
        <f t="shared" si="295"/>
        <v>0</v>
      </c>
      <c r="I488" s="1389"/>
      <c r="J488" s="89"/>
      <c r="K488" s="138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89"/>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88"/>
      <c r="C489" s="1389"/>
      <c r="D489" s="78"/>
      <c r="E489" s="85">
        <f t="shared" si="319"/>
        <v>0</v>
      </c>
      <c r="F489" s="86"/>
      <c r="G489" s="87">
        <f t="shared" si="294"/>
        <v>0</v>
      </c>
      <c r="H489" s="88">
        <f t="shared" si="295"/>
        <v>0</v>
      </c>
      <c r="I489" s="1389"/>
      <c r="J489" s="89"/>
      <c r="K489" s="138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89"/>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6"/>
      <c r="C490" s="1387"/>
      <c r="D490" s="78"/>
      <c r="E490" s="85">
        <f t="shared" si="319"/>
        <v>0</v>
      </c>
      <c r="F490" s="86"/>
      <c r="G490" s="87">
        <f t="shared" si="294"/>
        <v>0</v>
      </c>
      <c r="H490" s="88">
        <f t="shared" si="295"/>
        <v>0</v>
      </c>
      <c r="I490" s="1389"/>
      <c r="J490" s="89"/>
      <c r="K490" s="138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89"/>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6"/>
      <c r="C491" s="1387"/>
      <c r="D491" s="78"/>
      <c r="E491" s="85">
        <f t="shared" si="319"/>
        <v>0</v>
      </c>
      <c r="F491" s="86"/>
      <c r="G491" s="87">
        <f t="shared" si="294"/>
        <v>0</v>
      </c>
      <c r="H491" s="88">
        <f t="shared" si="295"/>
        <v>0</v>
      </c>
      <c r="I491" s="1389"/>
      <c r="J491" s="89"/>
      <c r="K491" s="138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89"/>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6"/>
      <c r="C492" s="1387"/>
      <c r="D492" s="78"/>
      <c r="E492" s="85">
        <f t="shared" si="319"/>
        <v>0</v>
      </c>
      <c r="F492" s="86"/>
      <c r="G492" s="87">
        <f t="shared" si="294"/>
        <v>0</v>
      </c>
      <c r="H492" s="88">
        <f t="shared" si="295"/>
        <v>0</v>
      </c>
      <c r="I492" s="1389"/>
      <c r="J492" s="89"/>
      <c r="K492" s="138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89"/>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6"/>
      <c r="C493" s="1387"/>
      <c r="D493" s="78"/>
      <c r="E493" s="85">
        <f t="shared" si="319"/>
        <v>0</v>
      </c>
      <c r="F493" s="86"/>
      <c r="G493" s="87">
        <f t="shared" si="294"/>
        <v>0</v>
      </c>
      <c r="H493" s="88">
        <f t="shared" si="295"/>
        <v>0</v>
      </c>
      <c r="I493" s="1389"/>
      <c r="J493" s="89"/>
      <c r="K493" s="138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89"/>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6"/>
      <c r="C494" s="1387"/>
      <c r="D494" s="78"/>
      <c r="E494" s="85">
        <f t="shared" si="319"/>
        <v>0</v>
      </c>
      <c r="F494" s="86"/>
      <c r="G494" s="87">
        <f t="shared" si="294"/>
        <v>0</v>
      </c>
      <c r="H494" s="88">
        <f t="shared" si="295"/>
        <v>0</v>
      </c>
      <c r="I494" s="1389"/>
      <c r="J494" s="89"/>
      <c r="K494" s="138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89"/>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6"/>
      <c r="C495" s="1387"/>
      <c r="D495" s="78"/>
      <c r="E495" s="85">
        <f t="shared" si="319"/>
        <v>0</v>
      </c>
      <c r="F495" s="86"/>
      <c r="G495" s="87">
        <f t="shared" si="294"/>
        <v>0</v>
      </c>
      <c r="H495" s="88">
        <f t="shared" si="295"/>
        <v>0</v>
      </c>
      <c r="I495" s="1389"/>
      <c r="J495" s="89"/>
      <c r="K495" s="138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89"/>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6"/>
      <c r="C496" s="1387"/>
      <c r="D496" s="78"/>
      <c r="E496" s="85">
        <f t="shared" si="319"/>
        <v>0</v>
      </c>
      <c r="F496" s="86"/>
      <c r="G496" s="87">
        <f t="shared" si="294"/>
        <v>0</v>
      </c>
      <c r="H496" s="88">
        <f t="shared" si="295"/>
        <v>0</v>
      </c>
      <c r="I496" s="1389"/>
      <c r="J496" s="89"/>
      <c r="K496" s="138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89"/>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6"/>
      <c r="C497" s="1387"/>
      <c r="D497" s="78"/>
      <c r="E497" s="85">
        <f t="shared" si="319"/>
        <v>0</v>
      </c>
      <c r="F497" s="86"/>
      <c r="G497" s="87">
        <f t="shared" si="294"/>
        <v>0</v>
      </c>
      <c r="H497" s="88">
        <f t="shared" si="295"/>
        <v>0</v>
      </c>
      <c r="I497" s="1389"/>
      <c r="J497" s="89"/>
      <c r="K497" s="138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89"/>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6"/>
      <c r="C498" s="1387"/>
      <c r="D498" s="78"/>
      <c r="E498" s="85">
        <f t="shared" si="319"/>
        <v>0</v>
      </c>
      <c r="F498" s="86"/>
      <c r="G498" s="87">
        <f t="shared" si="294"/>
        <v>0</v>
      </c>
      <c r="H498" s="88">
        <f t="shared" si="295"/>
        <v>0</v>
      </c>
      <c r="I498" s="1389"/>
      <c r="J498" s="89"/>
      <c r="K498" s="138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89"/>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6"/>
      <c r="C499" s="1387"/>
      <c r="D499" s="78"/>
      <c r="E499" s="85">
        <f t="shared" si="319"/>
        <v>0</v>
      </c>
      <c r="F499" s="86"/>
      <c r="G499" s="87">
        <f t="shared" si="294"/>
        <v>0</v>
      </c>
      <c r="H499" s="88">
        <f t="shared" si="295"/>
        <v>0</v>
      </c>
      <c r="I499" s="1389"/>
      <c r="J499" s="89"/>
      <c r="K499" s="138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89"/>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6"/>
      <c r="C500" s="1387"/>
      <c r="D500" s="78"/>
      <c r="E500" s="85">
        <f t="shared" si="319"/>
        <v>0</v>
      </c>
      <c r="F500" s="86"/>
      <c r="G500" s="87">
        <f t="shared" si="294"/>
        <v>0</v>
      </c>
      <c r="H500" s="88">
        <f t="shared" si="295"/>
        <v>0</v>
      </c>
      <c r="I500" s="1389"/>
      <c r="J500" s="89"/>
      <c r="K500" s="138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89"/>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6"/>
      <c r="C501" s="1387"/>
      <c r="D501" s="78"/>
      <c r="E501" s="85">
        <f t="shared" si="319"/>
        <v>0</v>
      </c>
      <c r="F501" s="86"/>
      <c r="G501" s="87">
        <f t="shared" si="294"/>
        <v>0</v>
      </c>
      <c r="H501" s="88">
        <f t="shared" si="295"/>
        <v>0</v>
      </c>
      <c r="I501" s="1389"/>
      <c r="J501" s="89"/>
      <c r="K501" s="138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89"/>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6"/>
      <c r="C502" s="1387"/>
      <c r="D502" s="78"/>
      <c r="E502" s="85">
        <f t="shared" si="319"/>
        <v>0</v>
      </c>
      <c r="F502" s="86"/>
      <c r="G502" s="87">
        <f t="shared" si="294"/>
        <v>0</v>
      </c>
      <c r="H502" s="88">
        <f t="shared" si="295"/>
        <v>0</v>
      </c>
      <c r="I502" s="1389"/>
      <c r="J502" s="89"/>
      <c r="K502" s="138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89"/>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6"/>
      <c r="C503" s="1387"/>
      <c r="D503" s="78"/>
      <c r="E503" s="85">
        <f t="shared" si="319"/>
        <v>0</v>
      </c>
      <c r="F503" s="86"/>
      <c r="G503" s="87">
        <f t="shared" si="294"/>
        <v>0</v>
      </c>
      <c r="H503" s="88">
        <f t="shared" si="295"/>
        <v>0</v>
      </c>
      <c r="I503" s="1389"/>
      <c r="J503" s="89"/>
      <c r="K503" s="138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89"/>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6"/>
      <c r="C504" s="1387"/>
      <c r="D504" s="78"/>
      <c r="E504" s="85">
        <f t="shared" si="319"/>
        <v>0</v>
      </c>
      <c r="F504" s="86"/>
      <c r="G504" s="87">
        <f t="shared" si="294"/>
        <v>0</v>
      </c>
      <c r="H504" s="88">
        <f t="shared" si="295"/>
        <v>0</v>
      </c>
      <c r="I504" s="1389"/>
      <c r="J504" s="89"/>
      <c r="K504" s="138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89"/>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6"/>
      <c r="C505" s="1387"/>
      <c r="D505" s="78"/>
      <c r="E505" s="85">
        <f t="shared" ref="E505:E536" si="323">IF($C$3="是",ROUND($A$3*G505/$B$3,2),ROUND($A$3*(G505-AT505)/$B$3,2))</f>
        <v>0</v>
      </c>
      <c r="F505" s="86"/>
      <c r="G505" s="87">
        <f t="shared" si="294"/>
        <v>0</v>
      </c>
      <c r="H505" s="88">
        <f t="shared" si="295"/>
        <v>0</v>
      </c>
      <c r="I505" s="1389"/>
      <c r="J505" s="89"/>
      <c r="K505" s="138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89"/>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6"/>
      <c r="C506" s="1387"/>
      <c r="D506" s="78"/>
      <c r="E506" s="85">
        <f t="shared" si="323"/>
        <v>0</v>
      </c>
      <c r="F506" s="86"/>
      <c r="G506" s="87">
        <f t="shared" si="294"/>
        <v>0</v>
      </c>
      <c r="H506" s="88">
        <f t="shared" si="295"/>
        <v>0</v>
      </c>
      <c r="I506" s="1389"/>
      <c r="J506" s="89"/>
      <c r="K506" s="138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89"/>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6"/>
      <c r="C507" s="1387"/>
      <c r="D507" s="78"/>
      <c r="E507" s="85">
        <f t="shared" si="323"/>
        <v>0</v>
      </c>
      <c r="F507" s="86"/>
      <c r="G507" s="87">
        <f t="shared" si="294"/>
        <v>0</v>
      </c>
      <c r="H507" s="88">
        <f t="shared" si="295"/>
        <v>0</v>
      </c>
      <c r="I507" s="1389"/>
      <c r="J507" s="89"/>
      <c r="K507" s="138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87"/>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6"/>
      <c r="C508" s="1387"/>
      <c r="D508" s="78"/>
      <c r="E508" s="85">
        <f t="shared" si="323"/>
        <v>0</v>
      </c>
      <c r="F508" s="86"/>
      <c r="G508" s="87">
        <f t="shared" si="294"/>
        <v>0</v>
      </c>
      <c r="H508" s="88">
        <f t="shared" si="295"/>
        <v>0</v>
      </c>
      <c r="I508" s="1387"/>
      <c r="J508" s="89"/>
      <c r="K508" s="138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87"/>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6"/>
      <c r="C509" s="1387"/>
      <c r="D509" s="78"/>
      <c r="E509" s="85">
        <f t="shared" si="323"/>
        <v>0</v>
      </c>
      <c r="F509" s="86"/>
      <c r="G509" s="87">
        <f t="shared" si="294"/>
        <v>0</v>
      </c>
      <c r="H509" s="88">
        <f t="shared" si="295"/>
        <v>0</v>
      </c>
      <c r="I509" s="1387"/>
      <c r="J509" s="89"/>
      <c r="K509" s="138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87"/>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6"/>
      <c r="C510" s="1387"/>
      <c r="D510" s="78"/>
      <c r="E510" s="85">
        <f t="shared" si="323"/>
        <v>0</v>
      </c>
      <c r="F510" s="86"/>
      <c r="G510" s="87">
        <f t="shared" ref="G510:G537" si="327">H510+AC510+AT510</f>
        <v>0</v>
      </c>
      <c r="H510" s="88">
        <f t="shared" ref="H510:H537" si="328">SUMIF(I$12:AB$12,"总值",I510:AB510)</f>
        <v>0</v>
      </c>
      <c r="I510" s="1387"/>
      <c r="J510" s="89"/>
      <c r="K510" s="138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87"/>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6"/>
      <c r="C511" s="1387"/>
      <c r="D511" s="78"/>
      <c r="E511" s="85">
        <f t="shared" si="323"/>
        <v>0</v>
      </c>
      <c r="F511" s="86"/>
      <c r="G511" s="87">
        <f t="shared" si="327"/>
        <v>0</v>
      </c>
      <c r="H511" s="88">
        <f t="shared" si="328"/>
        <v>0</v>
      </c>
      <c r="I511" s="1387"/>
      <c r="J511" s="89"/>
      <c r="K511" s="138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87"/>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6"/>
      <c r="C512" s="1387"/>
      <c r="D512" s="78"/>
      <c r="E512" s="85">
        <f t="shared" si="323"/>
        <v>0</v>
      </c>
      <c r="F512" s="86"/>
      <c r="G512" s="87">
        <f t="shared" si="327"/>
        <v>0</v>
      </c>
      <c r="H512" s="88">
        <f t="shared" si="328"/>
        <v>0</v>
      </c>
      <c r="I512" s="1387"/>
      <c r="J512" s="89"/>
      <c r="K512" s="138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87"/>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6"/>
      <c r="C513" s="1387"/>
      <c r="D513" s="78"/>
      <c r="E513" s="85">
        <f t="shared" si="323"/>
        <v>0</v>
      </c>
      <c r="F513" s="86"/>
      <c r="G513" s="87">
        <f t="shared" si="327"/>
        <v>0</v>
      </c>
      <c r="H513" s="88">
        <f t="shared" si="328"/>
        <v>0</v>
      </c>
      <c r="I513" s="1387"/>
      <c r="J513" s="89"/>
      <c r="K513" s="138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87"/>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6"/>
      <c r="C514" s="1387"/>
      <c r="D514" s="78"/>
      <c r="E514" s="85">
        <f t="shared" si="323"/>
        <v>0</v>
      </c>
      <c r="F514" s="86"/>
      <c r="G514" s="87">
        <f t="shared" si="327"/>
        <v>0</v>
      </c>
      <c r="H514" s="88">
        <f t="shared" si="328"/>
        <v>0</v>
      </c>
      <c r="I514" s="1387"/>
      <c r="J514" s="89"/>
      <c r="K514" s="138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87"/>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88"/>
      <c r="C515" s="1389"/>
      <c r="D515" s="78"/>
      <c r="E515" s="85">
        <f t="shared" si="323"/>
        <v>0</v>
      </c>
      <c r="F515" s="86"/>
      <c r="G515" s="87">
        <f t="shared" si="327"/>
        <v>0</v>
      </c>
      <c r="H515" s="88">
        <f t="shared" si="328"/>
        <v>0</v>
      </c>
      <c r="I515" s="1387"/>
      <c r="J515" s="89"/>
      <c r="K515" s="1387"/>
      <c r="L515" s="89"/>
      <c r="M515" s="1387"/>
      <c r="N515" s="89"/>
      <c r="O515" s="89"/>
      <c r="P515" s="89"/>
      <c r="Q515" s="89"/>
      <c r="R515" s="89"/>
      <c r="S515" s="89"/>
      <c r="T515" s="89"/>
      <c r="U515" s="89"/>
      <c r="V515" s="89"/>
      <c r="W515" s="89"/>
      <c r="X515" s="89"/>
      <c r="Y515" s="89"/>
      <c r="Z515" s="89"/>
      <c r="AA515" s="89"/>
      <c r="AB515" s="89"/>
      <c r="AC515" s="85">
        <f t="shared" si="329"/>
        <v>0</v>
      </c>
      <c r="AD515" s="90"/>
      <c r="AE515" s="90"/>
      <c r="AF515" s="1387"/>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N35"/>
  <sheetViews>
    <sheetView topLeftCell="A7" workbookViewId="0">
      <selection activeCell="L23" sqref="L23:N35"/>
    </sheetView>
  </sheetViews>
  <sheetFormatPr defaultColWidth="9" defaultRowHeight="13.5"/>
  <cols>
    <col min="1" max="3" width="9" style="3184"/>
    <col min="4" max="4" width="16.5" style="3184" customWidth="1"/>
    <col min="5" max="7" width="9.5" style="3184" bestFit="1" customWidth="1"/>
    <col min="8" max="12" width="9" style="3184"/>
    <col min="13" max="13" width="17.25" style="3184" bestFit="1" customWidth="1"/>
    <col min="14" max="16384" width="9" style="3184"/>
  </cols>
  <sheetData>
    <row r="6" spans="3:7">
      <c r="C6" s="3663" t="s">
        <v>2996</v>
      </c>
      <c r="D6" s="3663"/>
      <c r="E6" s="3183" t="s">
        <v>2997</v>
      </c>
      <c r="F6" s="3183" t="s">
        <v>2998</v>
      </c>
      <c r="G6" s="3183" t="s">
        <v>2999</v>
      </c>
    </row>
    <row r="7" spans="3:7">
      <c r="C7" s="3663" t="s">
        <v>3000</v>
      </c>
      <c r="D7" s="3663"/>
      <c r="E7" s="3185">
        <v>29475.73</v>
      </c>
      <c r="F7" s="3185">
        <v>13641.1</v>
      </c>
      <c r="G7" s="3185">
        <f>E7-F7</f>
        <v>15834.63</v>
      </c>
    </row>
    <row r="8" spans="3:7">
      <c r="C8" s="3663" t="s">
        <v>3001</v>
      </c>
      <c r="D8" s="3663"/>
      <c r="E8" s="3185">
        <v>50549.98</v>
      </c>
      <c r="F8" s="3185">
        <v>24657.98</v>
      </c>
      <c r="G8" s="3185">
        <f t="shared" ref="G8:G20" si="0">E8-F8</f>
        <v>25892.000000000004</v>
      </c>
    </row>
    <row r="9" spans="3:7">
      <c r="C9" s="3663" t="s">
        <v>3002</v>
      </c>
      <c r="D9" s="3183" t="s">
        <v>3003</v>
      </c>
      <c r="E9" s="3185">
        <v>27900.15</v>
      </c>
      <c r="F9" s="3185">
        <v>3594.41</v>
      </c>
      <c r="G9" s="3185">
        <f t="shared" si="0"/>
        <v>24305.74</v>
      </c>
    </row>
    <row r="10" spans="3:7">
      <c r="C10" s="3663"/>
      <c r="D10" s="3183" t="s">
        <v>3004</v>
      </c>
      <c r="E10" s="3185">
        <v>7001.46</v>
      </c>
      <c r="F10" s="3185">
        <v>7001.46</v>
      </c>
      <c r="G10" s="3185">
        <f t="shared" si="0"/>
        <v>0</v>
      </c>
    </row>
    <row r="11" spans="3:7">
      <c r="C11" s="3663"/>
      <c r="D11" s="3183" t="s">
        <v>3005</v>
      </c>
      <c r="E11" s="3185">
        <v>48.03</v>
      </c>
      <c r="F11" s="3185">
        <v>0</v>
      </c>
      <c r="G11" s="3185">
        <f t="shared" si="0"/>
        <v>48.03</v>
      </c>
    </row>
    <row r="12" spans="3:7">
      <c r="C12" s="3663"/>
      <c r="D12" s="3183" t="s">
        <v>3006</v>
      </c>
      <c r="E12" s="3185">
        <v>43.99</v>
      </c>
      <c r="F12" s="3185">
        <v>0</v>
      </c>
      <c r="G12" s="3185">
        <f t="shared" si="0"/>
        <v>43.99</v>
      </c>
    </row>
    <row r="13" spans="3:7">
      <c r="C13" s="3663"/>
      <c r="D13" s="3183" t="s">
        <v>3007</v>
      </c>
      <c r="E13" s="3185">
        <v>102.48</v>
      </c>
      <c r="F13" s="3185">
        <v>0</v>
      </c>
      <c r="G13" s="3185">
        <f t="shared" si="0"/>
        <v>102.48</v>
      </c>
    </row>
    <row r="14" spans="3:7">
      <c r="C14" s="3663"/>
      <c r="D14" s="3183" t="s">
        <v>3008</v>
      </c>
      <c r="E14" s="3185">
        <v>1133.2</v>
      </c>
      <c r="F14" s="3185">
        <v>1133.2</v>
      </c>
      <c r="G14" s="3185">
        <f t="shared" si="0"/>
        <v>0</v>
      </c>
    </row>
    <row r="15" spans="3:7">
      <c r="C15" s="3663"/>
      <c r="D15" s="3183" t="s">
        <v>3009</v>
      </c>
      <c r="E15" s="3185">
        <v>11</v>
      </c>
      <c r="F15" s="3185">
        <v>11</v>
      </c>
      <c r="G15" s="3185">
        <f t="shared" si="0"/>
        <v>0</v>
      </c>
    </row>
    <row r="16" spans="3:7">
      <c r="C16" s="3667" t="s">
        <v>3539</v>
      </c>
      <c r="D16" s="3668"/>
      <c r="E16" s="3185">
        <f>SUM(E9:E15)</f>
        <v>36240.31</v>
      </c>
      <c r="F16" s="3185">
        <f>SUM(F9:F15)</f>
        <v>11740.07</v>
      </c>
      <c r="G16" s="3185">
        <f>E16-F16</f>
        <v>24500.239999999998</v>
      </c>
    </row>
    <row r="17" spans="3:14">
      <c r="C17" s="3664" t="s">
        <v>3010</v>
      </c>
      <c r="D17" s="3183" t="s">
        <v>3011</v>
      </c>
      <c r="E17" s="3185">
        <v>1084.8599999999999</v>
      </c>
      <c r="F17" s="3185">
        <v>0</v>
      </c>
      <c r="G17" s="3185">
        <f t="shared" si="0"/>
        <v>1084.8599999999999</v>
      </c>
    </row>
    <row r="18" spans="3:14">
      <c r="C18" s="3665"/>
      <c r="D18" s="3183" t="s">
        <v>3012</v>
      </c>
      <c r="E18" s="3185">
        <v>347.83</v>
      </c>
      <c r="F18" s="3185">
        <v>40.93</v>
      </c>
      <c r="G18" s="3185">
        <f t="shared" si="0"/>
        <v>306.89999999999998</v>
      </c>
    </row>
    <row r="19" spans="3:14">
      <c r="C19" s="3665"/>
      <c r="D19" s="3183" t="s">
        <v>3013</v>
      </c>
      <c r="E19" s="3185">
        <v>11357.88</v>
      </c>
      <c r="F19" s="3185">
        <v>0</v>
      </c>
      <c r="G19" s="3185">
        <f t="shared" si="0"/>
        <v>11357.88</v>
      </c>
    </row>
    <row r="20" spans="3:14">
      <c r="C20" s="3666"/>
      <c r="D20" s="3183" t="s">
        <v>3014</v>
      </c>
      <c r="E20" s="3185">
        <v>1519.1</v>
      </c>
      <c r="F20" s="3185">
        <v>0</v>
      </c>
      <c r="G20" s="3185">
        <f t="shared" si="0"/>
        <v>1519.1</v>
      </c>
    </row>
    <row r="21" spans="3:14">
      <c r="C21" s="3662" t="s">
        <v>3539</v>
      </c>
      <c r="D21" s="3662"/>
      <c r="E21" s="3185">
        <f>SUM(E17:E20)</f>
        <v>14309.67</v>
      </c>
      <c r="F21" s="3185">
        <f>SUM(F17:F20)</f>
        <v>40.93</v>
      </c>
      <c r="G21" s="3185">
        <f>E21-F21</f>
        <v>14268.74</v>
      </c>
    </row>
    <row r="23" spans="3:14">
      <c r="L23" s="3667" t="s">
        <v>2996</v>
      </c>
      <c r="M23" s="3947"/>
      <c r="N23" s="3668"/>
    </row>
    <row r="24" spans="3:14">
      <c r="L24" s="3663" t="s">
        <v>2946</v>
      </c>
      <c r="M24" s="3663"/>
      <c r="N24" s="3185">
        <v>29475.73</v>
      </c>
    </row>
    <row r="25" spans="3:14">
      <c r="L25" s="3663" t="s">
        <v>3001</v>
      </c>
      <c r="M25" s="3663"/>
      <c r="N25" s="3185">
        <f>SUM(N26:N35)</f>
        <v>49030.879999999997</v>
      </c>
    </row>
    <row r="26" spans="3:14">
      <c r="L26" s="3663" t="s">
        <v>3002</v>
      </c>
      <c r="M26" s="3183" t="s">
        <v>3003</v>
      </c>
      <c r="N26" s="3185">
        <v>27900.15</v>
      </c>
    </row>
    <row r="27" spans="3:14">
      <c r="L27" s="3663"/>
      <c r="M27" s="3183" t="s">
        <v>3004</v>
      </c>
      <c r="N27" s="3185">
        <v>7001.46</v>
      </c>
    </row>
    <row r="28" spans="3:14">
      <c r="L28" s="3663"/>
      <c r="M28" s="3183" t="s">
        <v>3005</v>
      </c>
      <c r="N28" s="3185">
        <v>48.03</v>
      </c>
    </row>
    <row r="29" spans="3:14">
      <c r="L29" s="3663"/>
      <c r="M29" s="3183" t="s">
        <v>3006</v>
      </c>
      <c r="N29" s="3185">
        <v>43.99</v>
      </c>
    </row>
    <row r="30" spans="3:14">
      <c r="L30" s="3663"/>
      <c r="M30" s="3183" t="s">
        <v>3007</v>
      </c>
      <c r="N30" s="3185">
        <v>102.48</v>
      </c>
    </row>
    <row r="31" spans="3:14">
      <c r="L31" s="3663"/>
      <c r="M31" s="3183" t="s">
        <v>3008</v>
      </c>
      <c r="N31" s="3185">
        <v>1133.2</v>
      </c>
    </row>
    <row r="32" spans="3:14">
      <c r="L32" s="3663"/>
      <c r="M32" s="3183" t="s">
        <v>3009</v>
      </c>
      <c r="N32" s="3185">
        <v>11</v>
      </c>
    </row>
    <row r="33" spans="12:14">
      <c r="L33" s="3663" t="s">
        <v>3010</v>
      </c>
      <c r="M33" s="3183" t="s">
        <v>3011</v>
      </c>
      <c r="N33" s="3185">
        <v>1084.8599999999999</v>
      </c>
    </row>
    <row r="34" spans="12:14">
      <c r="L34" s="3663"/>
      <c r="M34" s="3183" t="s">
        <v>3012</v>
      </c>
      <c r="N34" s="3185">
        <v>347.83</v>
      </c>
    </row>
    <row r="35" spans="12:14">
      <c r="L35" s="3663"/>
      <c r="M35" s="3183" t="s">
        <v>3013</v>
      </c>
      <c r="N35" s="3185">
        <v>11357.88</v>
      </c>
    </row>
  </sheetData>
  <mergeCells count="12">
    <mergeCell ref="L33:L35"/>
    <mergeCell ref="L23:N23"/>
    <mergeCell ref="L24:M24"/>
    <mergeCell ref="L25:M25"/>
    <mergeCell ref="L26:L32"/>
    <mergeCell ref="C21:D21"/>
    <mergeCell ref="C6:D6"/>
    <mergeCell ref="C7:D7"/>
    <mergeCell ref="C8:D8"/>
    <mergeCell ref="C9:C15"/>
    <mergeCell ref="C17:C20"/>
    <mergeCell ref="C16:D1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1" sqref="E21"/>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8" width="13.375" style="1965" customWidth="1"/>
    <col min="19" max="19" width="15" style="1965" customWidth="1"/>
    <col min="20" max="16384" width="9.25" style="1965"/>
  </cols>
  <sheetData>
    <row r="1" spans="1:16" ht="18.75">
      <c r="A1" s="102" t="s">
        <v>202</v>
      </c>
      <c r="B1" s="1964"/>
      <c r="C1" s="1964"/>
      <c r="D1" s="1964"/>
      <c r="E1" s="1964"/>
      <c r="F1" s="1964"/>
      <c r="G1" s="1964"/>
      <c r="H1" s="1964"/>
      <c r="I1" s="1964"/>
      <c r="J1" s="1964"/>
      <c r="K1" s="1964"/>
      <c r="L1" s="1964"/>
    </row>
    <row r="2" spans="1:16" ht="15">
      <c r="A2" s="3678" t="s">
        <v>203</v>
      </c>
      <c r="B2" s="3678"/>
      <c r="C2" s="3678"/>
      <c r="D2" s="1955" t="s">
        <v>204</v>
      </c>
      <c r="E2" s="104" t="s">
        <v>205</v>
      </c>
      <c r="F2" s="1964"/>
      <c r="G2" s="1192"/>
      <c r="H2" s="1193"/>
      <c r="I2" s="1194" t="s">
        <v>854</v>
      </c>
      <c r="J2" s="1964"/>
      <c r="K2" s="1964"/>
      <c r="L2" s="1964"/>
    </row>
    <row r="3" spans="1:16" ht="15.75" thickBot="1">
      <c r="A3" s="3679" t="s">
        <v>206</v>
      </c>
      <c r="B3" s="3679"/>
      <c r="C3" s="3679"/>
      <c r="D3" s="105">
        <f>'数据-基础表'!AY6</f>
        <v>29475.73</v>
      </c>
      <c r="E3" s="105">
        <f>'数据-基础表'!AZ5</f>
        <v>49030.880000000005</v>
      </c>
      <c r="F3" s="1964"/>
      <c r="G3" s="278" t="s">
        <v>855</v>
      </c>
      <c r="H3" s="273" t="s">
        <v>856</v>
      </c>
      <c r="I3" s="1956">
        <f>ROUND('数据-基础表'!B3/'数据-基础表'!A3,2)</f>
        <v>1.66</v>
      </c>
      <c r="J3" s="1964"/>
      <c r="K3" s="1964"/>
      <c r="L3" s="1964"/>
    </row>
    <row r="4" spans="1:16" ht="15">
      <c r="A4" s="3680"/>
      <c r="B4" s="3681"/>
      <c r="C4" s="3682"/>
      <c r="D4" s="106" t="s">
        <v>204</v>
      </c>
      <c r="E4" s="107" t="s">
        <v>205</v>
      </c>
      <c r="F4" s="1964"/>
      <c r="G4" s="1195"/>
      <c r="H4" s="273" t="s">
        <v>857</v>
      </c>
      <c r="I4" s="1956">
        <f>ROUND(SUMIF('数据-基础表'!I9:AS9,"地上",'数据-基础表'!I5:AS5)/'数据-基础表'!A3,2)</f>
        <v>1.28</v>
      </c>
      <c r="J4" s="1964"/>
      <c r="K4" s="1964"/>
      <c r="L4" s="1964"/>
    </row>
    <row r="5" spans="1:16">
      <c r="A5" s="108" t="s">
        <v>207</v>
      </c>
      <c r="B5" s="3683" t="s">
        <v>230</v>
      </c>
      <c r="C5" s="3683"/>
      <c r="D5" s="109">
        <f>ROUND($D$3*E5/$E$3,2)</f>
        <v>20981.68</v>
      </c>
      <c r="E5" s="110">
        <f>SUMIF('数据-基础表'!$11:$11,"住宅",'数据-基础表'!$5:$5)</f>
        <v>34901.61</v>
      </c>
      <c r="F5" s="1964"/>
      <c r="G5" s="278" t="s">
        <v>858</v>
      </c>
      <c r="H5" s="273" t="s">
        <v>856</v>
      </c>
      <c r="I5" s="1956">
        <f>ROUND(E31/D31,2)</f>
        <v>1.58</v>
      </c>
      <c r="J5" s="1964"/>
      <c r="K5" s="1964"/>
      <c r="L5" s="1964"/>
    </row>
    <row r="6" spans="1:16" ht="15" thickBot="1">
      <c r="A6" s="111"/>
      <c r="B6" s="3683" t="s">
        <v>208</v>
      </c>
      <c r="C6" s="3683"/>
      <c r="D6" s="109">
        <f>ROUND($D$3*E6/$E$3,2)</f>
        <v>8494.0499999999993</v>
      </c>
      <c r="E6" s="110">
        <f>E3-E5</f>
        <v>14129.270000000004</v>
      </c>
      <c r="F6" s="1964"/>
      <c r="G6" s="1195"/>
      <c r="H6" s="273" t="s">
        <v>857</v>
      </c>
      <c r="I6" s="1956">
        <f>ROUND(F31/D31,2)</f>
        <v>1.21</v>
      </c>
      <c r="J6" s="1964"/>
      <c r="K6" s="1964"/>
      <c r="L6" s="1964"/>
    </row>
    <row r="7" spans="1:16" ht="15">
      <c r="A7" s="3675"/>
      <c r="B7" s="3676"/>
      <c r="C7" s="3677"/>
      <c r="D7" s="106" t="s">
        <v>204</v>
      </c>
      <c r="E7" s="112" t="s">
        <v>231</v>
      </c>
      <c r="F7" s="1964"/>
      <c r="G7" s="1150" t="s">
        <v>1642</v>
      </c>
      <c r="H7" s="1151"/>
      <c r="I7" s="1827">
        <v>1.2</v>
      </c>
      <c r="J7" s="1964"/>
      <c r="K7" s="1964"/>
      <c r="L7" s="1964"/>
    </row>
    <row r="8" spans="1:16">
      <c r="A8" s="108" t="s">
        <v>209</v>
      </c>
      <c r="B8" s="113" t="s">
        <v>210</v>
      </c>
      <c r="C8" s="109" t="s">
        <v>211</v>
      </c>
      <c r="D8" s="109">
        <f t="shared" ref="D8:D15" si="0">ROUND($D$3*E8/$E$3,2)</f>
        <v>21010.560000000001</v>
      </c>
      <c r="E8" s="114">
        <f>SUMIF('数据-基础表'!BB10:BK10,"地上",'数据-基础表'!BB5:BK5)</f>
        <v>34949.64</v>
      </c>
      <c r="F8" s="1964"/>
      <c r="G8" s="1966"/>
      <c r="H8" s="1966"/>
      <c r="I8" s="1964"/>
      <c r="J8" s="1964"/>
      <c r="K8" s="1964"/>
      <c r="L8" s="1964"/>
    </row>
    <row r="9" spans="1:16">
      <c r="A9" s="115"/>
      <c r="B9" s="116"/>
      <c r="C9" s="109" t="s">
        <v>212</v>
      </c>
      <c r="D9" s="109">
        <f t="shared" si="0"/>
        <v>0</v>
      </c>
      <c r="E9" s="117">
        <v>0</v>
      </c>
      <c r="F9" s="1964"/>
      <c r="G9" s="1966"/>
      <c r="H9" s="1966"/>
      <c r="I9" s="1964"/>
      <c r="J9" s="1964"/>
      <c r="K9" s="1964"/>
      <c r="L9" s="1964"/>
    </row>
    <row r="10" spans="1:16">
      <c r="A10" s="115"/>
      <c r="B10" s="116"/>
      <c r="C10" s="109" t="s">
        <v>213</v>
      </c>
      <c r="D10" s="109">
        <f t="shared" si="0"/>
        <v>0</v>
      </c>
      <c r="E10" s="114">
        <f>SUMPRODUCT(('数据-基础表'!BB10:BK10="地下")*('数据-基础表'!BB11:BK11="商业")*('数据-基础表'!BB5:BK5))</f>
        <v>0</v>
      </c>
      <c r="F10" s="1964"/>
      <c r="G10" s="1966"/>
      <c r="H10" s="1966"/>
      <c r="I10" s="1964"/>
      <c r="J10" s="1964"/>
      <c r="K10" s="1964"/>
      <c r="L10" s="1964"/>
    </row>
    <row r="11" spans="1:16">
      <c r="A11" s="115"/>
      <c r="B11" s="116"/>
      <c r="C11" s="2311" t="s">
        <v>2322</v>
      </c>
      <c r="D11" s="109">
        <f t="shared" si="0"/>
        <v>0</v>
      </c>
      <c r="E11" s="114">
        <f>SUMPRODUCT(('数据-基础表'!BB10:BK10="地下")*('数据-基础表'!BB11:BK11="办公")*('数据-基础表'!BB5:BK5))+'数据-基础表'!AJ5</f>
        <v>0</v>
      </c>
      <c r="F11" s="1964"/>
      <c r="G11" s="1966"/>
      <c r="H11" s="1966"/>
      <c r="I11" s="1964"/>
      <c r="J11" s="1964"/>
      <c r="K11" s="1964"/>
      <c r="L11" s="1964"/>
    </row>
    <row r="12" spans="1:16">
      <c r="A12" s="115"/>
      <c r="B12" s="116"/>
      <c r="C12" s="109" t="s">
        <v>214</v>
      </c>
      <c r="D12" s="109">
        <f t="shared" si="0"/>
        <v>0</v>
      </c>
      <c r="E12" s="114">
        <f>SUMPRODUCT(('数据-基础表'!BB10:BK10="地下")*('数据-基础表'!BB11:BK11="仓储")*('数据-基础表'!BB5:BK5))</f>
        <v>0</v>
      </c>
      <c r="F12" s="1964"/>
      <c r="G12" s="1966"/>
      <c r="H12" s="1966"/>
      <c r="I12" s="1964"/>
      <c r="J12" s="1964"/>
      <c r="K12" s="1964"/>
      <c r="L12" s="1964"/>
    </row>
    <row r="13" spans="1:16">
      <c r="A13" s="115"/>
      <c r="B13" s="116"/>
      <c r="C13" s="2311" t="s">
        <v>2329</v>
      </c>
      <c r="D13" s="109">
        <f t="shared" si="0"/>
        <v>6827.98</v>
      </c>
      <c r="E13" s="114">
        <f>SUMPRODUCT(('数据-基础表'!BB10:BK10="地下")*('数据-基础表'!BB11:BK11="车库")*('数据-基础表'!BB5:BK5))</f>
        <v>11357.88</v>
      </c>
      <c r="F13" s="1964"/>
      <c r="G13" s="1966"/>
      <c r="H13" s="1966"/>
      <c r="I13" s="1964"/>
      <c r="J13" s="1964"/>
      <c r="K13" s="1964"/>
      <c r="L13" s="1964"/>
    </row>
    <row r="14" spans="1:16">
      <c r="A14" s="115"/>
      <c r="B14" s="116"/>
      <c r="C14" s="109" t="s">
        <v>232</v>
      </c>
      <c r="D14" s="109">
        <f t="shared" si="0"/>
        <v>0</v>
      </c>
      <c r="E14" s="114">
        <f>SUMPRODUCT(('数据-基础表'!BB10:BK10="地下")*('数据-基础表'!BB11:BK11="车库—商业")*('数据-基础表'!BB5:BK5))</f>
        <v>0</v>
      </c>
      <c r="F14" s="1964"/>
      <c r="G14" s="1966"/>
      <c r="H14" s="1966"/>
      <c r="I14" s="1964"/>
      <c r="J14" s="1964"/>
      <c r="K14" s="1964"/>
      <c r="L14" s="1964"/>
    </row>
    <row r="15" spans="1:16" ht="15" thickBot="1">
      <c r="A15" s="115"/>
      <c r="B15" s="116"/>
      <c r="C15" s="109" t="s">
        <v>233</v>
      </c>
      <c r="D15" s="109">
        <f t="shared" si="0"/>
        <v>0</v>
      </c>
      <c r="E15" s="114">
        <f>SUMPRODUCT(('数据-基础表'!BB10:BK10="地下")*('数据-基础表'!BB11:BK11="车库—办公")*('数据-基础表'!BB5:BK5))</f>
        <v>0</v>
      </c>
      <c r="F15" s="1964"/>
      <c r="G15" s="1966"/>
      <c r="H15" s="1966"/>
      <c r="I15" s="1964"/>
      <c r="J15" s="1964"/>
      <c r="K15" s="1964"/>
      <c r="L15" s="1964"/>
    </row>
    <row r="16" spans="1:16" ht="15.75" thickBot="1">
      <c r="A16" s="111"/>
      <c r="B16" s="116"/>
      <c r="C16" s="113" t="s">
        <v>215</v>
      </c>
      <c r="D16" s="113">
        <f>SUM(D8:D15)</f>
        <v>27838.54</v>
      </c>
      <c r="E16" s="118">
        <f>SUM(E8:E15)</f>
        <v>46307.519999999997</v>
      </c>
      <c r="F16" s="1964"/>
      <c r="G16" s="1966"/>
      <c r="H16" s="966" t="s">
        <v>219</v>
      </c>
      <c r="I16" s="967"/>
      <c r="J16" s="1964"/>
      <c r="K16" s="3669" t="s">
        <v>2560</v>
      </c>
      <c r="L16" s="3670"/>
      <c r="M16" s="3670"/>
      <c r="N16" s="3670"/>
      <c r="O16" s="3670"/>
      <c r="P16" s="3671"/>
    </row>
    <row r="17" spans="1:19" ht="15">
      <c r="A17" s="119" t="s">
        <v>216</v>
      </c>
      <c r="B17" s="120" t="s">
        <v>217</v>
      </c>
      <c r="C17" s="2278" t="s">
        <v>2308</v>
      </c>
      <c r="D17" s="106" t="s">
        <v>204</v>
      </c>
      <c r="E17" s="122" t="s">
        <v>205</v>
      </c>
      <c r="F17" s="123"/>
      <c r="G17" s="1359"/>
      <c r="H17" s="968" t="s">
        <v>218</v>
      </c>
      <c r="I17" s="969" t="s">
        <v>3545</v>
      </c>
      <c r="J17" s="1964"/>
      <c r="K17" s="3672" t="s">
        <v>2561</v>
      </c>
      <c r="L17" s="3673"/>
      <c r="M17" s="3674"/>
      <c r="N17" s="3672" t="s">
        <v>2562</v>
      </c>
      <c r="O17" s="3673"/>
      <c r="P17" s="3674"/>
      <c r="R17" s="2279" t="s">
        <v>2307</v>
      </c>
      <c r="S17" s="142"/>
    </row>
    <row r="18" spans="1:19" ht="15">
      <c r="A18" s="115"/>
      <c r="B18" s="126"/>
      <c r="C18" s="127"/>
      <c r="D18" s="2601"/>
      <c r="E18" s="128" t="s">
        <v>220</v>
      </c>
      <c r="F18" s="129" t="s">
        <v>221</v>
      </c>
      <c r="G18" s="1360" t="s">
        <v>222</v>
      </c>
      <c r="H18" s="970" t="s">
        <v>223</v>
      </c>
      <c r="I18" s="971" t="s">
        <v>224</v>
      </c>
      <c r="J18" s="1964"/>
      <c r="K18" s="2564" t="s">
        <v>2563</v>
      </c>
      <c r="L18" s="2565" t="s">
        <v>2564</v>
      </c>
      <c r="M18" s="2566" t="s">
        <v>2565</v>
      </c>
      <c r="N18" s="2564" t="s">
        <v>2563</v>
      </c>
      <c r="O18" s="2565" t="s">
        <v>2564</v>
      </c>
      <c r="P18" s="2566" t="s">
        <v>2565</v>
      </c>
      <c r="R18" s="2280" t="s">
        <v>2305</v>
      </c>
      <c r="S18" s="2280" t="s">
        <v>2306</v>
      </c>
    </row>
    <row r="19" spans="1:19">
      <c r="A19" s="131"/>
      <c r="B19" s="113" t="s">
        <v>225</v>
      </c>
      <c r="C19" s="2971" t="s">
        <v>3020</v>
      </c>
      <c r="D19" s="3587">
        <f>ROUND(D3*F19/F27,2)</f>
        <v>23530.35</v>
      </c>
      <c r="E19" s="132">
        <f t="shared" ref="E19:E26" si="1">SUM(F19:G19)</f>
        <v>27900.15</v>
      </c>
      <c r="F19" s="133">
        <f>'数据-基础表'!I13+'数据-基础表'!I18</f>
        <v>27900.15</v>
      </c>
      <c r="G19" s="1361"/>
      <c r="H19" s="3588">
        <v>0</v>
      </c>
      <c r="I19" s="114">
        <f>IF($I$17="自定义",P19,M19)</f>
        <v>1189.24</v>
      </c>
      <c r="J19" s="1964"/>
      <c r="K19" s="2567">
        <f t="shared" ref="K19:K26" si="2">ROUND(E$28*E19/E$27,2)</f>
        <v>896.32</v>
      </c>
      <c r="L19" s="273">
        <f t="shared" ref="L19:L26" si="3">ROUND(IF(COUNTIF(C19,"*住宅*")&gt;0,E$29*E19/E$32,0),2)</f>
        <v>0</v>
      </c>
      <c r="M19" s="2568">
        <f>K19+L19</f>
        <v>896.32</v>
      </c>
      <c r="N19" s="2569">
        <f>ROUND(F28*F19/(F19+F20),2)</f>
        <v>1189.24</v>
      </c>
      <c r="O19" s="2570"/>
      <c r="P19" s="2571">
        <f>N19+O19</f>
        <v>1189.24</v>
      </c>
      <c r="R19" s="273">
        <f t="shared" ref="R19:S26" si="4">D19+H19</f>
        <v>23530.35</v>
      </c>
      <c r="S19" s="2281">
        <f t="shared" si="4"/>
        <v>29089.390000000003</v>
      </c>
    </row>
    <row r="20" spans="1:19">
      <c r="A20" s="136"/>
      <c r="B20" s="113" t="s">
        <v>226</v>
      </c>
      <c r="C20" s="2971" t="s">
        <v>3537</v>
      </c>
      <c r="D20" s="3587">
        <f>ROUND(D3*F20/F27,2)</f>
        <v>5904.87</v>
      </c>
      <c r="E20" s="132">
        <f t="shared" si="1"/>
        <v>7001.46</v>
      </c>
      <c r="F20" s="133">
        <f>'数据-基础表'!I14</f>
        <v>7001.46</v>
      </c>
      <c r="G20" s="1361"/>
      <c r="H20" s="3588">
        <v>0</v>
      </c>
      <c r="I20" s="114">
        <f t="shared" ref="I20:I26" si="5">IF($I$17="自定义",P20,M20)</f>
        <v>298.43999999999983</v>
      </c>
      <c r="J20" s="1964"/>
      <c r="K20" s="2567">
        <f t="shared" si="2"/>
        <v>224.93</v>
      </c>
      <c r="L20" s="273">
        <f t="shared" si="3"/>
        <v>0</v>
      </c>
      <c r="M20" s="2568">
        <f t="shared" ref="M20:M26" si="6">K20+L20</f>
        <v>224.93</v>
      </c>
      <c r="N20" s="2569">
        <f>F28-N19</f>
        <v>298.43999999999983</v>
      </c>
      <c r="O20" s="2570"/>
      <c r="P20" s="2571">
        <f t="shared" ref="P20:P26" si="7">N20+O20</f>
        <v>298.43999999999983</v>
      </c>
      <c r="R20" s="273">
        <f t="shared" si="4"/>
        <v>5904.87</v>
      </c>
      <c r="S20" s="2281">
        <f t="shared" si="4"/>
        <v>7299.9</v>
      </c>
    </row>
    <row r="21" spans="1:19">
      <c r="A21" s="136"/>
      <c r="B21" s="113" t="s">
        <v>226</v>
      </c>
      <c r="C21" s="2971" t="s">
        <v>3021</v>
      </c>
      <c r="D21" s="3587">
        <f>D3-D19-D20</f>
        <v>40.510000000001128</v>
      </c>
      <c r="E21" s="132">
        <f t="shared" si="1"/>
        <v>48.03</v>
      </c>
      <c r="F21" s="133">
        <f>'数据-基础表'!H19</f>
        <v>48.03</v>
      </c>
      <c r="G21" s="1361"/>
      <c r="H21" s="972">
        <f t="shared" ref="H21:H26" si="8">ROUND($D$3*I21/$E$3,2)</f>
        <v>0</v>
      </c>
      <c r="I21" s="114">
        <f t="shared" si="5"/>
        <v>0</v>
      </c>
      <c r="J21" s="1964"/>
      <c r="K21" s="2567">
        <f t="shared" si="2"/>
        <v>1.54</v>
      </c>
      <c r="L21" s="273">
        <f t="shared" si="3"/>
        <v>0</v>
      </c>
      <c r="M21" s="2568">
        <f t="shared" si="6"/>
        <v>1.54</v>
      </c>
      <c r="N21" s="2569"/>
      <c r="O21" s="2570"/>
      <c r="P21" s="2571">
        <f t="shared" si="7"/>
        <v>0</v>
      </c>
      <c r="R21" s="273">
        <f t="shared" si="4"/>
        <v>40.510000000001128</v>
      </c>
      <c r="S21" s="2281">
        <f t="shared" si="4"/>
        <v>48.03</v>
      </c>
    </row>
    <row r="22" spans="1:19">
      <c r="A22" s="136"/>
      <c r="B22" s="113" t="s">
        <v>226</v>
      </c>
      <c r="C22" s="3187" t="s">
        <v>3022</v>
      </c>
      <c r="D22" s="3587">
        <v>0</v>
      </c>
      <c r="E22" s="132">
        <f t="shared" si="1"/>
        <v>11357.88</v>
      </c>
      <c r="F22" s="138"/>
      <c r="G22" s="1362">
        <f>'数据-基础表'!H24</f>
        <v>11357.88</v>
      </c>
      <c r="H22" s="972">
        <f t="shared" si="8"/>
        <v>0</v>
      </c>
      <c r="I22" s="114">
        <f t="shared" si="5"/>
        <v>0</v>
      </c>
      <c r="J22" s="1964"/>
      <c r="K22" s="2567">
        <f t="shared" si="2"/>
        <v>364.88</v>
      </c>
      <c r="L22" s="273">
        <f t="shared" si="3"/>
        <v>0</v>
      </c>
      <c r="M22" s="2568">
        <f t="shared" si="6"/>
        <v>364.88</v>
      </c>
      <c r="N22" s="2569"/>
      <c r="O22" s="2570"/>
      <c r="P22" s="2571">
        <f t="shared" si="7"/>
        <v>0</v>
      </c>
      <c r="R22" s="273">
        <f t="shared" si="4"/>
        <v>0</v>
      </c>
      <c r="S22" s="2281">
        <f t="shared" si="4"/>
        <v>11357.88</v>
      </c>
    </row>
    <row r="23" spans="1:19">
      <c r="A23" s="136"/>
      <c r="B23" s="113" t="s">
        <v>226</v>
      </c>
      <c r="C23" s="137"/>
      <c r="D23" s="109">
        <f>ROUND($D$3*E23/$E$3,2)</f>
        <v>0</v>
      </c>
      <c r="E23" s="132">
        <f>SUM(F23:G23)</f>
        <v>0</v>
      </c>
      <c r="F23" s="138"/>
      <c r="G23" s="1362"/>
      <c r="H23" s="972">
        <f>ROUND($D$3*I23/$E$3,2)</f>
        <v>0</v>
      </c>
      <c r="I23" s="114">
        <f t="shared" si="5"/>
        <v>0</v>
      </c>
      <c r="J23" s="1964"/>
      <c r="K23" s="2567">
        <f t="shared" si="2"/>
        <v>0</v>
      </c>
      <c r="L23" s="273">
        <f t="shared" si="3"/>
        <v>0</v>
      </c>
      <c r="M23" s="2568">
        <f t="shared" si="6"/>
        <v>0</v>
      </c>
      <c r="N23" s="2569"/>
      <c r="O23" s="2570"/>
      <c r="P23" s="2571">
        <f t="shared" si="7"/>
        <v>0</v>
      </c>
      <c r="R23" s="273">
        <f t="shared" si="4"/>
        <v>0</v>
      </c>
      <c r="S23" s="2281">
        <f t="shared" si="4"/>
        <v>0</v>
      </c>
    </row>
    <row r="24" spans="1:19">
      <c r="A24" s="136"/>
      <c r="B24" s="113" t="s">
        <v>226</v>
      </c>
      <c r="C24" s="137"/>
      <c r="D24" s="109">
        <f>ROUND($D$3*E24/$E$3,2)</f>
        <v>0</v>
      </c>
      <c r="E24" s="132">
        <f>SUM(F24:G24)</f>
        <v>0</v>
      </c>
      <c r="F24" s="138"/>
      <c r="G24" s="1362"/>
      <c r="H24" s="972">
        <f>ROUND($D$3*I24/$E$3,2)</f>
        <v>0</v>
      </c>
      <c r="I24" s="114">
        <f t="shared" si="5"/>
        <v>0</v>
      </c>
      <c r="J24" s="1964"/>
      <c r="K24" s="2567">
        <f t="shared" si="2"/>
        <v>0</v>
      </c>
      <c r="L24" s="273">
        <f t="shared" si="3"/>
        <v>0</v>
      </c>
      <c r="M24" s="2568">
        <f t="shared" si="6"/>
        <v>0</v>
      </c>
      <c r="N24" s="2569"/>
      <c r="O24" s="2570"/>
      <c r="P24" s="2571">
        <f t="shared" si="7"/>
        <v>0</v>
      </c>
      <c r="R24" s="273">
        <f t="shared" si="4"/>
        <v>0</v>
      </c>
      <c r="S24" s="2281">
        <f t="shared" si="4"/>
        <v>0</v>
      </c>
    </row>
    <row r="25" spans="1:19">
      <c r="A25" s="136"/>
      <c r="B25" s="113" t="s">
        <v>226</v>
      </c>
      <c r="C25" s="137"/>
      <c r="D25" s="109">
        <f t="shared" ref="D25:D26" si="9">ROUND($D$3*E25/$E$3,2)</f>
        <v>0</v>
      </c>
      <c r="E25" s="132">
        <f t="shared" si="1"/>
        <v>0</v>
      </c>
      <c r="F25" s="138"/>
      <c r="G25" s="1362"/>
      <c r="H25" s="108">
        <f t="shared" si="8"/>
        <v>0</v>
      </c>
      <c r="I25" s="114">
        <f t="shared" si="5"/>
        <v>0</v>
      </c>
      <c r="J25" s="1964"/>
      <c r="K25" s="2567">
        <f t="shared" si="2"/>
        <v>0</v>
      </c>
      <c r="L25" s="273">
        <f t="shared" si="3"/>
        <v>0</v>
      </c>
      <c r="M25" s="2568">
        <f t="shared" si="6"/>
        <v>0</v>
      </c>
      <c r="N25" s="2569"/>
      <c r="O25" s="2570"/>
      <c r="P25" s="2571">
        <f t="shared" si="7"/>
        <v>0</v>
      </c>
      <c r="R25" s="273">
        <f t="shared" si="4"/>
        <v>0</v>
      </c>
      <c r="S25" s="2281">
        <f t="shared" si="4"/>
        <v>0</v>
      </c>
    </row>
    <row r="26" spans="1:19">
      <c r="A26" s="136"/>
      <c r="B26" s="113" t="s">
        <v>226</v>
      </c>
      <c r="C26" s="140"/>
      <c r="D26" s="109">
        <f t="shared" si="9"/>
        <v>0</v>
      </c>
      <c r="E26" s="132">
        <f t="shared" si="1"/>
        <v>0</v>
      </c>
      <c r="F26" s="138"/>
      <c r="G26" s="1362"/>
      <c r="H26" s="108">
        <f t="shared" si="8"/>
        <v>0</v>
      </c>
      <c r="I26" s="114">
        <f t="shared" si="5"/>
        <v>0</v>
      </c>
      <c r="J26" s="1964"/>
      <c r="K26" s="2572">
        <f t="shared" si="2"/>
        <v>0</v>
      </c>
      <c r="L26" s="278">
        <f t="shared" si="3"/>
        <v>0</v>
      </c>
      <c r="M26" s="144">
        <f t="shared" si="6"/>
        <v>0</v>
      </c>
      <c r="N26" s="2573"/>
      <c r="O26" s="2574"/>
      <c r="P26" s="2575">
        <f t="shared" si="7"/>
        <v>0</v>
      </c>
      <c r="R26" s="273">
        <f t="shared" si="4"/>
        <v>0</v>
      </c>
      <c r="S26" s="2281">
        <f t="shared" si="4"/>
        <v>0</v>
      </c>
    </row>
    <row r="27" spans="1:19" ht="15.75" thickBot="1">
      <c r="A27" s="136"/>
      <c r="B27" s="109"/>
      <c r="C27" s="125" t="s">
        <v>215</v>
      </c>
      <c r="D27" s="132">
        <f>SUM(D19:D26)</f>
        <v>29475.73</v>
      </c>
      <c r="E27" s="141">
        <f>IF(SUM(E19:E26)='数据-基础表'!BA5,SUM(E19:E26),IF(F27="地上面积有误","面积有误","地下面积有误"))</f>
        <v>46307.519999999997</v>
      </c>
      <c r="F27" s="132">
        <f>IF(SUM(F19:F26)=E8,SUM(F19:F26),"地上面积有误")</f>
        <v>34949.64</v>
      </c>
      <c r="G27" s="110">
        <f>SUM(G19:G26)</f>
        <v>11357.88</v>
      </c>
      <c r="H27" s="973">
        <f>SUM(H19:H26)</f>
        <v>0</v>
      </c>
      <c r="I27" s="974">
        <f>SUM(I19:I26)</f>
        <v>1487.6799999999998</v>
      </c>
      <c r="J27" s="1964"/>
      <c r="K27" s="2576">
        <f>SUM(K19:K26)</f>
        <v>1487.67</v>
      </c>
      <c r="L27" s="2577">
        <f>SUM(L19:L26)</f>
        <v>0</v>
      </c>
      <c r="M27" s="2578">
        <f>SUM(M19:M26)</f>
        <v>1487.67</v>
      </c>
      <c r="N27" s="2576">
        <f t="shared" ref="N27:O27" si="10">SUM(N19:N26)</f>
        <v>1487.6799999999998</v>
      </c>
      <c r="O27" s="2577">
        <f t="shared" si="10"/>
        <v>0</v>
      </c>
      <c r="P27" s="2579">
        <f>SUM(P19:P26)</f>
        <v>1487.6799999999998</v>
      </c>
      <c r="R27" s="2285">
        <f>IF(SUM(R19:R26)=$D$3,SUM(R19:R26),SUM(R19:R26)&amp;"误差"&amp;ROUND(SUM(R19:R26)-$D$3,2))</f>
        <v>29475.73</v>
      </c>
      <c r="S27" s="273" t="str">
        <f>IF(SUM(S19:S26)=$E$3,SUM(S19:S26),SUM(S19:S26)&amp;"误差"&amp;ROUND(SUM(S19:S26)-E3,2))</f>
        <v>47795.2误差-1235.68</v>
      </c>
    </row>
    <row r="28" spans="1:19">
      <c r="A28" s="136"/>
      <c r="B28" s="113" t="s">
        <v>227</v>
      </c>
      <c r="C28" s="134" t="s">
        <v>228</v>
      </c>
      <c r="D28" s="109">
        <f>ROUND($D$3*E28/$E$3,2)</f>
        <v>894.34</v>
      </c>
      <c r="E28" s="132">
        <f>SUM(F28:G28)</f>
        <v>1487.6799999999998</v>
      </c>
      <c r="F28" s="142">
        <f>'数据-基础表'!BQ5+'数据-基础表'!BS5</f>
        <v>1487.6799999999998</v>
      </c>
      <c r="G28" s="143">
        <f>'数据-基础表'!BR5+'数据-基础表'!BT5</f>
        <v>0</v>
      </c>
      <c r="H28" s="1964"/>
      <c r="I28" s="1964"/>
      <c r="J28" s="1964"/>
      <c r="K28" s="1964"/>
      <c r="L28" s="1964"/>
    </row>
    <row r="29" spans="1:19">
      <c r="A29" s="136"/>
      <c r="B29" s="113" t="s">
        <v>227</v>
      </c>
      <c r="C29" s="2293" t="s">
        <v>2315</v>
      </c>
      <c r="D29" s="109">
        <f>ROUND($D$3*E29/$E$3,2)</f>
        <v>742.85</v>
      </c>
      <c r="E29" s="132">
        <f>SUM(F29:G29)</f>
        <v>1235.68</v>
      </c>
      <c r="F29" s="142">
        <f>'数据-基础表'!BM5+'数据-基础表'!BO5</f>
        <v>1235.68</v>
      </c>
      <c r="G29" s="144">
        <f>'数据-基础表'!BN5+'数据-基础表'!BP5</f>
        <v>0</v>
      </c>
      <c r="H29" s="1964"/>
      <c r="I29" s="1964"/>
      <c r="J29" s="1964"/>
      <c r="K29" s="1964"/>
      <c r="L29" s="1964"/>
    </row>
    <row r="30" spans="1:19">
      <c r="A30" s="136"/>
      <c r="B30" s="109"/>
      <c r="C30" s="145" t="s">
        <v>215</v>
      </c>
      <c r="D30" s="132">
        <f>SUM(D28:D29)</f>
        <v>1637.19</v>
      </c>
      <c r="E30" s="132">
        <f>SUM(E28:E29)</f>
        <v>2723.3599999999997</v>
      </c>
      <c r="F30" s="132">
        <f>SUM(F28:F29)</f>
        <v>2723.3599999999997</v>
      </c>
      <c r="G30" s="110">
        <f>SUM(G28:G29)</f>
        <v>0</v>
      </c>
      <c r="H30" s="1964"/>
      <c r="I30" s="1964"/>
      <c r="J30" s="1964"/>
      <c r="K30" s="1964"/>
      <c r="L30" s="1964"/>
    </row>
    <row r="31" spans="1:19" ht="32.25" customHeight="1" thickBot="1">
      <c r="A31" s="1363"/>
      <c r="B31" s="1364" t="s">
        <v>229</v>
      </c>
      <c r="C31" s="2310" t="s">
        <v>2317</v>
      </c>
      <c r="D31" s="1365">
        <f>D27+D30</f>
        <v>31112.92</v>
      </c>
      <c r="E31" s="1365">
        <f>E27+E30</f>
        <v>49030.879999999997</v>
      </c>
      <c r="F31" s="1366">
        <f>F27+F30</f>
        <v>37673</v>
      </c>
      <c r="G31" s="1367">
        <f>G27+G30</f>
        <v>11357.88</v>
      </c>
      <c r="H31" s="1964"/>
      <c r="I31" s="1964"/>
      <c r="J31" s="1964"/>
      <c r="K31" s="1964"/>
      <c r="L31" s="1964"/>
    </row>
    <row r="32" spans="1:19">
      <c r="A32" s="1964"/>
      <c r="B32" s="2322" t="s">
        <v>2316</v>
      </c>
      <c r="C32" s="2606"/>
      <c r="D32" s="1195"/>
      <c r="E32" s="1195">
        <f>SUMIF(C19:C26,"*住宅*",E19:E26)</f>
        <v>0</v>
      </c>
      <c r="F32" s="1195"/>
      <c r="G32" s="1195"/>
    </row>
    <row r="33" spans="4:4">
      <c r="D33" s="19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L11" sqref="L11"/>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6" t="s">
        <v>234</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7" t="s">
        <v>235</v>
      </c>
      <c r="B2" s="2318">
        <f>项目基本情况!D3</f>
        <v>43764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48" t="s">
        <v>861</v>
      </c>
      <c r="B4" s="150"/>
      <c r="C4" s="151"/>
      <c r="D4" s="1202"/>
      <c r="E4" s="1203" t="s">
        <v>862</v>
      </c>
      <c r="F4" s="151"/>
      <c r="G4" s="151"/>
      <c r="H4" s="151"/>
      <c r="I4" s="151"/>
      <c r="J4" s="152"/>
      <c r="K4" s="1204"/>
      <c r="L4" s="1205"/>
      <c r="M4" s="151"/>
      <c r="N4" s="1203" t="s">
        <v>863</v>
      </c>
      <c r="O4" s="151"/>
      <c r="P4" s="151"/>
      <c r="Q4" s="151"/>
      <c r="R4" s="151"/>
      <c r="S4" s="152"/>
      <c r="T4" s="975" t="str">
        <f>'数据-汇总表'!I17</f>
        <v>自定义</v>
      </c>
      <c r="U4" s="150" t="s">
        <v>864</v>
      </c>
      <c r="V4" s="151"/>
      <c r="W4" s="151"/>
      <c r="X4" s="151"/>
      <c r="Y4" s="152"/>
      <c r="Z4" s="121" t="s">
        <v>865</v>
      </c>
      <c r="AA4" s="121"/>
      <c r="AB4" s="121"/>
      <c r="AC4" s="121"/>
      <c r="AD4" s="121"/>
      <c r="AE4" s="119" t="s">
        <v>866</v>
      </c>
      <c r="AF4" s="121"/>
      <c r="AG4" s="153"/>
      <c r="AH4" s="150"/>
      <c r="AI4" s="151"/>
      <c r="AJ4" s="151"/>
      <c r="AK4" s="151"/>
      <c r="AL4" s="151"/>
      <c r="AM4" s="152"/>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54">
      <c r="A5" s="2284" t="s">
        <v>2319</v>
      </c>
      <c r="B5" s="154" t="s">
        <v>236</v>
      </c>
      <c r="C5" s="155" t="s">
        <v>237</v>
      </c>
      <c r="D5" s="156" t="s">
        <v>238</v>
      </c>
      <c r="E5" s="157" t="s">
        <v>239</v>
      </c>
      <c r="F5" s="158" t="s">
        <v>240</v>
      </c>
      <c r="G5" s="157" t="s">
        <v>241</v>
      </c>
      <c r="H5" s="157" t="s">
        <v>859</v>
      </c>
      <c r="I5" s="157" t="s">
        <v>860</v>
      </c>
      <c r="J5" s="159" t="s">
        <v>242</v>
      </c>
      <c r="K5" s="160" t="s">
        <v>243</v>
      </c>
      <c r="L5" s="161" t="s">
        <v>244</v>
      </c>
      <c r="M5" s="162" t="s">
        <v>245</v>
      </c>
      <c r="N5" s="1213" t="s">
        <v>2822</v>
      </c>
      <c r="O5" s="161" t="s">
        <v>246</v>
      </c>
      <c r="P5" s="163" t="s">
        <v>247</v>
      </c>
      <c r="Q5" s="164" t="s">
        <v>248</v>
      </c>
      <c r="R5" s="165" t="s">
        <v>249</v>
      </c>
      <c r="S5" s="2580" t="s">
        <v>2566</v>
      </c>
      <c r="T5" s="166" t="s">
        <v>250</v>
      </c>
      <c r="U5" s="167" t="s">
        <v>251</v>
      </c>
      <c r="V5" s="157" t="s">
        <v>252</v>
      </c>
      <c r="W5" s="157" t="s">
        <v>253</v>
      </c>
      <c r="X5" s="1799"/>
      <c r="Y5" s="168" t="s">
        <v>254</v>
      </c>
      <c r="Z5" s="169" t="s">
        <v>255</v>
      </c>
      <c r="AA5" s="157" t="s">
        <v>252</v>
      </c>
      <c r="AB5" s="157" t="s">
        <v>253</v>
      </c>
      <c r="AC5" s="1800"/>
      <c r="AD5" s="170" t="s">
        <v>254</v>
      </c>
      <c r="AE5" s="1" t="s">
        <v>867</v>
      </c>
      <c r="AF5" s="157" t="s">
        <v>256</v>
      </c>
      <c r="AG5" s="168" t="s">
        <v>257</v>
      </c>
      <c r="AH5" s="1800" t="s">
        <v>2318</v>
      </c>
      <c r="AI5" s="169" t="s">
        <v>2288</v>
      </c>
      <c r="AJ5" s="169" t="s">
        <v>258</v>
      </c>
      <c r="AK5" s="157" t="s">
        <v>259</v>
      </c>
      <c r="AL5" s="157" t="s">
        <v>260</v>
      </c>
      <c r="AM5" s="170" t="s">
        <v>261</v>
      </c>
      <c r="AN5" s="2350" t="s">
        <v>2368</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洋房</v>
      </c>
      <c r="B6" s="2317" t="str">
        <f>IF(A6=0,"","经营性")</f>
        <v>经营性</v>
      </c>
      <c r="C6" s="171" t="s">
        <v>920</v>
      </c>
      <c r="D6" s="2288">
        <f>SUMIF(项目基本情况!D$15:I$15,C6,项目基本情况!D$18:I$18)</f>
        <v>70</v>
      </c>
      <c r="E6" s="2289">
        <f>IF(B6="","",SUMIF(项目基本情况!D$15:I$15,C6,项目基本情况!D$17:I$17))</f>
        <v>67403</v>
      </c>
      <c r="F6" s="172">
        <f>SUMIF(项目基本情况!D$15:I$15,C6,项目基本情况!D$19:I$19)</f>
        <v>64.760000000000005</v>
      </c>
      <c r="G6" s="173">
        <f>IF(ISERROR(ROUND(POWER(1+H6,D6-F6)*(POWER(1+H6,F6)-1)/(POWER(1+H6,D6)-1),3)),0,ROUND(POWER(1+H6,D6-F6)*(POWER(1+H6,F6)-1)/(POWER(1+H6,D6)-1),3))</f>
        <v>0.98799999999999999</v>
      </c>
      <c r="H6" s="2972">
        <v>4.4999999999999998E-2</v>
      </c>
      <c r="I6" s="2972">
        <v>0.05</v>
      </c>
      <c r="J6" s="174">
        <v>8.5000000000000006E-2</v>
      </c>
      <c r="K6" s="177">
        <f>SUMIF('数据-汇总表'!C$19:C$33,'数据-取费表'!A6,'数据-汇总表'!E$19:E$33)</f>
        <v>27900.15</v>
      </c>
      <c r="L6" s="2973">
        <v>3000</v>
      </c>
      <c r="M6" s="175">
        <f t="shared" ref="M6:M14" si="0">ROUND(K6*L6/10000,0)</f>
        <v>8370</v>
      </c>
      <c r="N6" s="2974">
        <v>0</v>
      </c>
      <c r="O6" s="175">
        <f>IF($N$5="成新度","——",ROUND(M6*N6,0))</f>
        <v>0</v>
      </c>
      <c r="P6" s="176">
        <f>IF($N$5="成新度","——",M6-O6)</f>
        <v>8370</v>
      </c>
      <c r="Q6" s="2975">
        <v>0.3</v>
      </c>
      <c r="R6" s="177">
        <f>SUMIF('数据-汇总表'!C$19:C$33,A6,'数据-汇总表'!R$19:R$33)</f>
        <v>23530.35</v>
      </c>
      <c r="S6" s="130">
        <f>IF('数据-汇总表'!$I$17="按面积比例",SUMIF('数据-汇总表'!C$19:C$33,A6,'数据-汇总表'!K$19:K$33),SUMIF('数据-汇总表'!C$19:C$33,A6,'数据-汇总表'!N$19:N$33))</f>
        <v>1189.24</v>
      </c>
      <c r="T6" s="2214">
        <f>ROUND(S6*L14/10000,0)</f>
        <v>238</v>
      </c>
      <c r="U6" s="178"/>
      <c r="V6" s="179"/>
      <c r="W6" s="179"/>
      <c r="X6" s="2301"/>
      <c r="Y6" s="180"/>
      <c r="Z6" s="181"/>
      <c r="AA6" s="174"/>
      <c r="AB6" s="174"/>
      <c r="AC6" s="2304"/>
      <c r="AD6" s="182"/>
      <c r="AE6" s="970">
        <f ca="1">IF(AN6="",0,SUMIF(INDIRECT("'"&amp;AN6&amp;"'"&amp;"!E:E"),$AE$5,INDIRECT("'"&amp;AN6&amp;"'"&amp;"!F:F")))</f>
        <v>0</v>
      </c>
      <c r="AF6" s="139"/>
      <c r="AG6" s="1207">
        <f>IF(AF6="",0,AE6-AF6)</f>
        <v>0</v>
      </c>
      <c r="AH6" s="139"/>
      <c r="AI6" s="185"/>
      <c r="AJ6" s="186"/>
      <c r="AK6" s="187"/>
      <c r="AL6" s="188"/>
      <c r="AM6" s="2986"/>
      <c r="AN6" s="2351"/>
      <c r="AO6" s="1980"/>
      <c r="AP6" s="1198">
        <f>ROUND(1-1/(1+H6)^F6,3)</f>
        <v>0.94199999999999995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t="str">
        <f>'数据-汇总表'!C20</f>
        <v>叠墅</v>
      </c>
      <c r="B7" s="2317" t="str">
        <f t="shared" ref="B7:B13" si="1">IF(A7=0,"","经营性")</f>
        <v>经营性</v>
      </c>
      <c r="C7" s="171" t="s">
        <v>920</v>
      </c>
      <c r="D7" s="2288">
        <f>SUMIF(项目基本情况!D$15:I$15,C7,项目基本情况!D$18:I$18)</f>
        <v>70</v>
      </c>
      <c r="E7" s="2289">
        <f>IF(B7="","",SUMIF(项目基本情况!D$15:I$15,C7,项目基本情况!D$17:I$17))</f>
        <v>67403</v>
      </c>
      <c r="F7" s="172">
        <f>SUMIF(项目基本情况!D$15:I$15,C7,项目基本情况!D$19:I$19)</f>
        <v>64.760000000000005</v>
      </c>
      <c r="G7" s="173">
        <f t="shared" ref="G7:G11" si="2">IF(ISERROR(ROUND(POWER(1+H7,D7-F7)*(POWER(1+H7,F7)-1)/(POWER(1+H7,D7)-1),3)),0,ROUND(POWER(1+H7,D7-F7)*(POWER(1+H7,F7)-1)/(POWER(1+H7,D7)-1),3))</f>
        <v>0.98799999999999999</v>
      </c>
      <c r="H7" s="2972">
        <v>4.4999999999999998E-2</v>
      </c>
      <c r="I7" s="2972">
        <v>0.05</v>
      </c>
      <c r="J7" s="174">
        <v>8.5000000000000006E-2</v>
      </c>
      <c r="K7" s="177">
        <f>SUMIF('数据-汇总表'!C$19:C$33,'数据-取费表'!A7,'数据-汇总表'!E$19:E$33)</f>
        <v>7001.46</v>
      </c>
      <c r="L7" s="2973">
        <v>3200</v>
      </c>
      <c r="M7" s="175">
        <f t="shared" si="0"/>
        <v>2240</v>
      </c>
      <c r="N7" s="2974">
        <v>0</v>
      </c>
      <c r="O7" s="175">
        <f t="shared" ref="O7:O14" si="3">IF($N$5="成新度","——",ROUND(M7*N7,0))</f>
        <v>0</v>
      </c>
      <c r="P7" s="176">
        <f t="shared" ref="P7:P14" si="4">IF($N$5="成新度","——",M7-O7)</f>
        <v>2240</v>
      </c>
      <c r="Q7" s="2975">
        <v>0.4</v>
      </c>
      <c r="R7" s="177">
        <f>SUMIF('数据-汇总表'!C$19:C$33,A7,'数据-汇总表'!R$19:R$33)</f>
        <v>5904.87</v>
      </c>
      <c r="S7" s="130">
        <f>IF('数据-汇总表'!$I$17="按面积比例",SUMIF('数据-汇总表'!C$19:C$33,A7,'数据-汇总表'!K$19:K$33),SUMIF('数据-汇总表'!C$19:C$33,A7,'数据-汇总表'!N$19:N$33))</f>
        <v>298.43999999999983</v>
      </c>
      <c r="T7" s="2214">
        <f>ROUND(S7*L14/10000,0)</f>
        <v>60</v>
      </c>
      <c r="U7" s="178"/>
      <c r="V7" s="179"/>
      <c r="W7" s="179"/>
      <c r="X7" s="2301"/>
      <c r="Y7" s="180"/>
      <c r="Z7" s="181"/>
      <c r="AA7" s="174"/>
      <c r="AB7" s="174"/>
      <c r="AC7" s="2304"/>
      <c r="AD7" s="182"/>
      <c r="AE7" s="970">
        <f t="shared" ref="AE7:AE13" ca="1" si="5">IF(AN7="",0,SUMIF(INDIRECT("'"&amp;AN7&amp;"'"&amp;"!E:E"),$AE$5,INDIRECT("'"&amp;AN7&amp;"'"&amp;"!F:F")))</f>
        <v>0</v>
      </c>
      <c r="AF7" s="139"/>
      <c r="AG7" s="1207">
        <f t="shared" ref="AG7:AG13" si="6">IF(AF7="",0,AE7-AF7)</f>
        <v>0</v>
      </c>
      <c r="AH7" s="139"/>
      <c r="AI7" s="185"/>
      <c r="AJ7" s="186"/>
      <c r="AK7" s="187"/>
      <c r="AL7" s="188"/>
      <c r="AM7" s="2349"/>
      <c r="AN7" s="2351"/>
      <c r="AO7" s="1980"/>
      <c r="AP7" s="1198">
        <f t="shared" ref="AP7:AP13" si="7">ROUND(1-1/(1+H7)^F7,3)</f>
        <v>0.94199999999999995</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t="str">
        <f>'数据-汇总表'!C21</f>
        <v>商业</v>
      </c>
      <c r="B8" s="2317" t="str">
        <f t="shared" si="1"/>
        <v>经营性</v>
      </c>
      <c r="C8" s="171" t="s">
        <v>3016</v>
      </c>
      <c r="D8" s="2288">
        <f>SUMIF(项目基本情况!D$15:I$15,C8,项目基本情况!D$18:I$18)</f>
        <v>40</v>
      </c>
      <c r="E8" s="2289">
        <f>IF(B8="","",SUMIF(项目基本情况!D$15:I$15,C8,项目基本情况!D$17:I$17))</f>
        <v>56445</v>
      </c>
      <c r="F8" s="172">
        <f>SUMIF(项目基本情况!D$15:I$15,C8,项目基本情况!D$19:I$19)</f>
        <v>34.74</v>
      </c>
      <c r="G8" s="173">
        <f t="shared" si="2"/>
        <v>0.95199999999999996</v>
      </c>
      <c r="H8" s="2972">
        <v>0.05</v>
      </c>
      <c r="I8" s="2972">
        <v>5.5E-2</v>
      </c>
      <c r="J8" s="174">
        <v>8.5000000000000006E-2</v>
      </c>
      <c r="K8" s="177">
        <f>SUMIF('数据-汇总表'!C$19:C$33,'数据-取费表'!A8,'数据-汇总表'!E$19:E$33)</f>
        <v>48.03</v>
      </c>
      <c r="L8" s="2973">
        <v>2500</v>
      </c>
      <c r="M8" s="175">
        <f>ROUND(K8*L8/10000,0)</f>
        <v>12</v>
      </c>
      <c r="N8" s="2974">
        <v>0</v>
      </c>
      <c r="O8" s="175">
        <f t="shared" si="3"/>
        <v>0</v>
      </c>
      <c r="P8" s="176">
        <f t="shared" si="4"/>
        <v>12</v>
      </c>
      <c r="Q8" s="2975">
        <v>0.1</v>
      </c>
      <c r="R8" s="177">
        <f>SUMIF('数据-汇总表'!C$19:C$33,A8,'数据-汇总表'!R$19:R$33)</f>
        <v>40.510000000001128</v>
      </c>
      <c r="S8" s="130">
        <f>IF('数据-汇总表'!$I$17="按面积比例",SUMIF('数据-汇总表'!C$19:C$33,A8,'数据-汇总表'!K$19:K$33),SUMIF('数据-汇总表'!C$19:C$33,A8,'数据-汇总表'!N$19:N$33))</f>
        <v>0</v>
      </c>
      <c r="T8" s="2214"/>
      <c r="U8" s="178">
        <v>2</v>
      </c>
      <c r="V8" s="179">
        <v>1.4999999999999999E-2</v>
      </c>
      <c r="W8" s="3576">
        <v>0.1</v>
      </c>
      <c r="X8" s="2301"/>
      <c r="Y8" s="180"/>
      <c r="Z8" s="181"/>
      <c r="AA8" s="174"/>
      <c r="AB8" s="174"/>
      <c r="AC8" s="2304"/>
      <c r="AD8" s="182"/>
      <c r="AE8" s="970">
        <f t="shared" ca="1" si="5"/>
        <v>32.74</v>
      </c>
      <c r="AF8" s="139"/>
      <c r="AG8" s="1207">
        <f t="shared" si="6"/>
        <v>0</v>
      </c>
      <c r="AH8" s="139"/>
      <c r="AI8" s="185">
        <v>365</v>
      </c>
      <c r="AJ8" s="186"/>
      <c r="AK8" s="187">
        <v>1.4999999999999999E-2</v>
      </c>
      <c r="AL8" s="188">
        <v>1.5E-3</v>
      </c>
      <c r="AM8" s="2349">
        <v>0.01</v>
      </c>
      <c r="AN8" s="2351" t="s">
        <v>3513</v>
      </c>
      <c r="AO8" s="1980"/>
      <c r="AP8" s="1198">
        <f t="shared" si="7"/>
        <v>0.81599999999999995</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t="str">
        <f>'数据-汇总表'!C22</f>
        <v>车库</v>
      </c>
      <c r="B9" s="2317" t="str">
        <f t="shared" si="1"/>
        <v>经营性</v>
      </c>
      <c r="C9" s="171" t="s">
        <v>3019</v>
      </c>
      <c r="D9" s="2288">
        <f>SUMIF(项目基本情况!D$15:I$15,C9,项目基本情况!D$18:I$18)</f>
        <v>40</v>
      </c>
      <c r="E9" s="2289">
        <f>IF(B9="","",SUMIF(项目基本情况!D$15:I$15,C9,项目基本情况!D$17:I$17))</f>
        <v>60098</v>
      </c>
      <c r="F9" s="172">
        <f>SUMIF(项目基本情况!D$15:I$15,C9,项目基本情况!D$19:I$19)</f>
        <v>40</v>
      </c>
      <c r="G9" s="173">
        <f t="shared" si="2"/>
        <v>1</v>
      </c>
      <c r="H9" s="3582">
        <v>0.04</v>
      </c>
      <c r="I9" s="174">
        <v>4.4999999999999998E-2</v>
      </c>
      <c r="J9" s="174">
        <v>8.5000000000000006E-2</v>
      </c>
      <c r="K9" s="177">
        <f>SUMIF('数据-汇总表'!C$19:C$33,'数据-取费表'!A9,'数据-汇总表'!E$19:E$33)</f>
        <v>11357.88</v>
      </c>
      <c r="L9" s="191">
        <v>2000</v>
      </c>
      <c r="M9" s="175">
        <f t="shared" si="0"/>
        <v>2272</v>
      </c>
      <c r="N9" s="192">
        <v>0</v>
      </c>
      <c r="O9" s="175">
        <f t="shared" si="3"/>
        <v>0</v>
      </c>
      <c r="P9" s="176">
        <f t="shared" si="4"/>
        <v>2272</v>
      </c>
      <c r="Q9" s="190">
        <v>0.03</v>
      </c>
      <c r="R9" s="177">
        <f>SUMIF('数据-汇总表'!C$19:C$33,A9,'数据-汇总表'!R$19:R$33)</f>
        <v>0</v>
      </c>
      <c r="S9" s="130">
        <f>IF('数据-汇总表'!$I$17="按面积比例",SUMIF('数据-汇总表'!C$19:C$33,A9,'数据-汇总表'!K$19:K$33),SUMIF('数据-汇总表'!C$19:C$33,A9,'数据-汇总表'!N$19:N$33))</f>
        <v>0</v>
      </c>
      <c r="T9" s="2214"/>
      <c r="U9" s="178">
        <v>0.5</v>
      </c>
      <c r="V9" s="179">
        <v>1.4999999999999999E-2</v>
      </c>
      <c r="W9" s="179">
        <v>0.1</v>
      </c>
      <c r="X9" s="2301"/>
      <c r="Y9" s="180"/>
      <c r="Z9" s="181"/>
      <c r="AA9" s="174"/>
      <c r="AB9" s="174"/>
      <c r="AC9" s="2304"/>
      <c r="AD9" s="182"/>
      <c r="AE9" s="970">
        <f t="shared" ca="1" si="5"/>
        <v>38</v>
      </c>
      <c r="AF9" s="139"/>
      <c r="AG9" s="1207">
        <f t="shared" si="6"/>
        <v>0</v>
      </c>
      <c r="AH9" s="139"/>
      <c r="AI9" s="185">
        <v>365</v>
      </c>
      <c r="AJ9" s="186"/>
      <c r="AK9" s="187">
        <v>1.4999999999999999E-2</v>
      </c>
      <c r="AL9" s="188">
        <v>1.5E-3</v>
      </c>
      <c r="AM9" s="2349">
        <v>0.01</v>
      </c>
      <c r="AN9" s="2351" t="s">
        <v>3514</v>
      </c>
      <c r="AO9" s="1980"/>
      <c r="AP9" s="1198">
        <f t="shared" si="7"/>
        <v>0.79200000000000004</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1"/>
      <c r="D10" s="2288">
        <f>SUMIF(项目基本情况!D$15:I$15,C10,项目基本情况!D$18:I$18)</f>
        <v>0</v>
      </c>
      <c r="E10" s="22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14"/>
      <c r="U10" s="178"/>
      <c r="V10" s="179"/>
      <c r="W10" s="179"/>
      <c r="X10" s="2301"/>
      <c r="Y10" s="180"/>
      <c r="Z10" s="181"/>
      <c r="AA10" s="174"/>
      <c r="AB10" s="174"/>
      <c r="AC10" s="2304"/>
      <c r="AD10" s="182"/>
      <c r="AE10" s="970">
        <f t="shared" ca="1" si="5"/>
        <v>0</v>
      </c>
      <c r="AF10" s="139"/>
      <c r="AG10" s="1207">
        <f t="shared" si="6"/>
        <v>0</v>
      </c>
      <c r="AH10" s="139"/>
      <c r="AI10" s="185"/>
      <c r="AJ10" s="186"/>
      <c r="AK10" s="187"/>
      <c r="AL10" s="188"/>
      <c r="AM10" s="2349"/>
      <c r="AN10" s="2351"/>
      <c r="AO10" s="1980"/>
      <c r="AP10" s="1198">
        <f t="shared" si="7"/>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1"/>
      <c r="D11" s="2288">
        <f>SUMIF(项目基本情况!D$15:I$15,C11,项目基本情况!D$18:I$18)</f>
        <v>0</v>
      </c>
      <c r="E11" s="22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14"/>
      <c r="U11" s="183"/>
      <c r="V11" s="174"/>
      <c r="W11" s="174"/>
      <c r="X11" s="2304"/>
      <c r="Y11" s="180"/>
      <c r="Z11" s="193"/>
      <c r="AA11" s="174"/>
      <c r="AB11" s="174"/>
      <c r="AC11" s="2304"/>
      <c r="AD11" s="182"/>
      <c r="AE11" s="970">
        <f t="shared" ca="1" si="5"/>
        <v>0</v>
      </c>
      <c r="AF11" s="139"/>
      <c r="AG11" s="1207">
        <f t="shared" si="6"/>
        <v>0</v>
      </c>
      <c r="AH11" s="139"/>
      <c r="AI11" s="185"/>
      <c r="AJ11" s="186"/>
      <c r="AK11" s="194"/>
      <c r="AL11" s="195"/>
      <c r="AM11" s="1798"/>
      <c r="AN11" s="2351"/>
      <c r="AO11" s="1980"/>
      <c r="AP11" s="1198">
        <f t="shared" si="7"/>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1"/>
      <c r="D12" s="2288">
        <f>SUMIF(项目基本情况!D$15:I$15,C12,项目基本情况!D$18:I$18)</f>
        <v>0</v>
      </c>
      <c r="E12" s="22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14"/>
      <c r="U12" s="183"/>
      <c r="V12" s="174"/>
      <c r="W12" s="174"/>
      <c r="X12" s="2304"/>
      <c r="Y12" s="180"/>
      <c r="Z12" s="193"/>
      <c r="AA12" s="174"/>
      <c r="AB12" s="174"/>
      <c r="AC12" s="2304"/>
      <c r="AD12" s="182"/>
      <c r="AE12" s="970">
        <f t="shared" ca="1" si="5"/>
        <v>0</v>
      </c>
      <c r="AF12" s="139"/>
      <c r="AG12" s="1207">
        <f t="shared" si="6"/>
        <v>0</v>
      </c>
      <c r="AH12" s="139"/>
      <c r="AI12" s="185"/>
      <c r="AJ12" s="186"/>
      <c r="AK12" s="194"/>
      <c r="AL12" s="195"/>
      <c r="AM12" s="1798"/>
      <c r="AN12" s="2351"/>
      <c r="AO12" s="1980"/>
      <c r="AP12" s="1198">
        <f t="shared" si="7"/>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1"/>
      <c r="D13" s="2288">
        <f>SUMIF(项目基本情况!D$15:I$15,C13,项目基本情况!D$18:I$18)</f>
        <v>0</v>
      </c>
      <c r="E13" s="22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14"/>
      <c r="U13" s="178"/>
      <c r="V13" s="179"/>
      <c r="W13" s="179"/>
      <c r="X13" s="2301"/>
      <c r="Y13" s="180"/>
      <c r="Z13" s="181"/>
      <c r="AA13" s="174"/>
      <c r="AB13" s="174"/>
      <c r="AC13" s="2304"/>
      <c r="AD13" s="182"/>
      <c r="AE13" s="970">
        <f t="shared" ca="1" si="5"/>
        <v>0</v>
      </c>
      <c r="AF13" s="139"/>
      <c r="AG13" s="1207">
        <f t="shared" si="6"/>
        <v>0</v>
      </c>
      <c r="AH13" s="139"/>
      <c r="AI13" s="185"/>
      <c r="AJ13" s="186"/>
      <c r="AK13" s="187"/>
      <c r="AL13" s="188"/>
      <c r="AM13" s="2349"/>
      <c r="AN13" s="2351"/>
      <c r="AO13" s="1980"/>
      <c r="AP13" s="1198">
        <f t="shared" si="7"/>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2309</v>
      </c>
      <c r="B14" s="2286" t="s">
        <v>1676</v>
      </c>
      <c r="C14" s="2287" t="s">
        <v>2309</v>
      </c>
      <c r="D14" s="2288"/>
      <c r="E14" s="2289"/>
      <c r="F14" s="172"/>
      <c r="G14" s="173"/>
      <c r="H14" s="2290"/>
      <c r="I14" s="2290"/>
      <c r="J14" s="2290"/>
      <c r="K14" s="177">
        <f>SUMIF('数据-汇总表'!C$19:C$33,'数据-取费表'!A14,'数据-汇总表'!E$19:E$33)</f>
        <v>1487.6799999999998</v>
      </c>
      <c r="L14" s="191">
        <v>2000</v>
      </c>
      <c r="M14" s="175">
        <f t="shared" si="0"/>
        <v>298</v>
      </c>
      <c r="N14" s="192">
        <v>0</v>
      </c>
      <c r="O14" s="175">
        <f t="shared" si="3"/>
        <v>0</v>
      </c>
      <c r="P14" s="176">
        <f t="shared" si="4"/>
        <v>298</v>
      </c>
      <c r="Q14" s="2298"/>
      <c r="R14" s="177"/>
      <c r="S14" s="130"/>
      <c r="T14" s="2297"/>
      <c r="U14" s="972"/>
      <c r="V14" s="2300"/>
      <c r="W14" s="2300"/>
      <c r="X14" s="2301"/>
      <c r="Y14" s="2302"/>
      <c r="Z14" s="134"/>
      <c r="AA14" s="2303"/>
      <c r="AB14" s="2303"/>
      <c r="AC14" s="2304"/>
      <c r="AD14" s="2301"/>
      <c r="AE14" s="970"/>
      <c r="AF14" s="2276"/>
      <c r="AG14" s="1207"/>
      <c r="AH14" s="2276"/>
      <c r="AI14" s="1554"/>
      <c r="AJ14" s="1554"/>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2311</v>
      </c>
      <c r="B15" s="2286" t="s">
        <v>1676</v>
      </c>
      <c r="C15" s="2287" t="s">
        <v>2310</v>
      </c>
      <c r="D15" s="2288"/>
      <c r="E15" s="2289"/>
      <c r="F15" s="172"/>
      <c r="G15" s="173"/>
      <c r="H15" s="2290"/>
      <c r="I15" s="2290"/>
      <c r="J15" s="2290"/>
      <c r="K15" s="177">
        <f>SUMIF('数据-汇总表'!C$19:C$33,'数据-取费表'!A15,'数据-汇总表'!E$19:E$33)</f>
        <v>1235.68</v>
      </c>
      <c r="L15" s="2296"/>
      <c r="M15" s="175"/>
      <c r="N15" s="2299"/>
      <c r="O15" s="175"/>
      <c r="P15" s="176"/>
      <c r="Q15" s="2298"/>
      <c r="R15" s="177"/>
      <c r="S15" s="130"/>
      <c r="T15" s="2297"/>
      <c r="U15" s="972"/>
      <c r="V15" s="2300"/>
      <c r="W15" s="2300"/>
      <c r="X15" s="2301"/>
      <c r="Y15" s="2302"/>
      <c r="Z15" s="134"/>
      <c r="AA15" s="2303"/>
      <c r="AB15" s="2303"/>
      <c r="AC15" s="2304"/>
      <c r="AD15" s="2301"/>
      <c r="AE15" s="970"/>
      <c r="AF15" s="2276"/>
      <c r="AG15" s="1207"/>
      <c r="AH15" s="2276"/>
      <c r="AI15" s="1554"/>
      <c r="AJ15" s="1554"/>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6" t="s">
        <v>262</v>
      </c>
      <c r="B16" s="197"/>
      <c r="C16" s="198"/>
      <c r="D16" s="199"/>
      <c r="E16" s="197"/>
      <c r="F16" s="197"/>
      <c r="G16" s="200">
        <f>ROUND(SUMPRODUCT(G6:G13,K6:K13)/SUMPRODUCT((G6:G13&gt;0)*(K6:K13)),3)</f>
        <v>0.99099999999999999</v>
      </c>
      <c r="H16" s="201">
        <f>ROUND(SUMPRODUCT(H6:H13,K6:K13)/SUMPRODUCT((H6:H13&gt;0)*(K6:K13)),3)</f>
        <v>4.3999999999999997E-2</v>
      </c>
      <c r="I16" s="202"/>
      <c r="J16" s="202"/>
      <c r="K16" s="203">
        <f>SUM(K6:K15)</f>
        <v>49030.879999999997</v>
      </c>
      <c r="L16" s="204">
        <f>ROUND(M16*10000/SUM(K6:K14),0)</f>
        <v>2760</v>
      </c>
      <c r="M16" s="204">
        <f>SUM(M6:M14)</f>
        <v>13192</v>
      </c>
      <c r="N16" s="205">
        <f>ROUND(SUMPRODUCT(M6:M14,N6:N14)/M16,3)</f>
        <v>0</v>
      </c>
      <c r="O16" s="204">
        <f>SUM(O6:O14)</f>
        <v>0</v>
      </c>
      <c r="P16" s="204">
        <f>SUM(P6:P14)</f>
        <v>13192</v>
      </c>
      <c r="Q16" s="206">
        <f>ROUND(SUMPRODUCT(Q6:Q13,K6:K13)/SUMPRODUCT((Q6:Q13&gt;0)*(K6:K13)),2)</f>
        <v>0.25</v>
      </c>
      <c r="R16" s="2291">
        <f>SUM(R6:R13)</f>
        <v>29475.73</v>
      </c>
      <c r="S16" s="207">
        <f>SUM(S6:S13)</f>
        <v>1487.6799999999998</v>
      </c>
      <c r="T16" s="208">
        <f>IF(SUMIF(T6:T13,"&lt;9E307")=M14,SUMIF(T6:T13,"&lt;9E307"),"有误，请检查")</f>
        <v>298</v>
      </c>
      <c r="U16" s="209"/>
      <c r="V16" s="210"/>
      <c r="W16" s="210"/>
      <c r="X16" s="213"/>
      <c r="Y16" s="211"/>
      <c r="Z16" s="212"/>
      <c r="AA16" s="210"/>
      <c r="AB16" s="210"/>
      <c r="AC16" s="213"/>
      <c r="AD16" s="213"/>
      <c r="AE16" s="209"/>
      <c r="AF16" s="210"/>
      <c r="AG16" s="211"/>
      <c r="AH16" s="210"/>
      <c r="AI16" s="212"/>
      <c r="AJ16" s="212"/>
      <c r="AK16" s="210"/>
      <c r="AL16" s="210"/>
      <c r="AM16" s="211"/>
      <c r="AN16" s="1980"/>
      <c r="AO16" s="1980"/>
      <c r="AP16" s="1198">
        <f>ROUND(SUMPRODUCT(AP6:AP13,K6:K13)/SUMPRODUCT((AP6:AP13&gt;0)*(K6:K13)),3)</f>
        <v>0.90500000000000003</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48" t="s">
        <v>263</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5" t="s">
        <v>264</v>
      </c>
      <c r="B19" s="216">
        <v>0</v>
      </c>
      <c r="C19" s="2323" t="s">
        <v>2331</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7" t="s">
        <v>265</v>
      </c>
      <c r="B20" s="218">
        <v>2</v>
      </c>
      <c r="C20" s="2323" t="s">
        <v>2330</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19" t="s">
        <v>266</v>
      </c>
      <c r="B21" s="218">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7" t="s">
        <v>267</v>
      </c>
      <c r="B22" s="220">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19" t="s">
        <v>268</v>
      </c>
      <c r="B23" s="220">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1" t="s">
        <v>269</v>
      </c>
      <c r="B24" s="222">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7" t="s">
        <v>270</v>
      </c>
      <c r="B26" s="223"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4" t="s">
        <v>2333</v>
      </c>
      <c r="B27" s="225">
        <v>220</v>
      </c>
      <c r="C27" s="2326" t="s">
        <v>2337</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6" t="s">
        <v>2334</v>
      </c>
      <c r="B28" s="227">
        <v>220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29" t="s">
        <v>2332</v>
      </c>
      <c r="B29" s="230">
        <v>1079</v>
      </c>
      <c r="C29" s="1535" t="s">
        <v>2335</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3" t="s">
        <v>273</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6" t="s">
        <v>274</v>
      </c>
      <c r="B31" s="228">
        <f>B30-B32</f>
        <v>100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5" t="s">
        <v>275</v>
      </c>
      <c r="B32" s="1370">
        <v>100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4" t="s">
        <v>278</v>
      </c>
      <c r="B33" s="1371">
        <v>0.04</v>
      </c>
      <c r="C33" s="2324" t="s">
        <v>2887</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6" t="s">
        <v>279</v>
      </c>
      <c r="B34" s="3583">
        <v>0.05</v>
      </c>
      <c r="C34" s="2324" t="s">
        <v>2888</v>
      </c>
      <c r="D34" s="1973" t="s">
        <v>868</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6" t="s">
        <v>276</v>
      </c>
      <c r="B35" s="227">
        <v>200</v>
      </c>
      <c r="C35" s="2324" t="s">
        <v>2889</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29" t="s">
        <v>277</v>
      </c>
      <c r="B36" s="232">
        <v>1.4999999999999999E-2</v>
      </c>
      <c r="C36" s="2324" t="s">
        <v>2890</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3" t="s">
        <v>280</v>
      </c>
      <c r="B37" s="234">
        <v>0.02</v>
      </c>
      <c r="C37" s="2324" t="s">
        <v>2891</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6" t="s">
        <v>281</v>
      </c>
      <c r="B38" s="231">
        <v>0.02</v>
      </c>
      <c r="C38" s="2324" t="s">
        <v>2891</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2450</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2451</v>
      </c>
      <c r="B40" s="2440">
        <f ca="1">存贷款利率!E2</f>
        <v>4.7500000000000001E-2</v>
      </c>
      <c r="C40" s="2324" t="s">
        <v>2336</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4" t="s">
        <v>282</v>
      </c>
      <c r="B41" s="236">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283</v>
      </c>
      <c r="B42" s="238">
        <v>0.05</v>
      </c>
      <c r="C42" s="3046">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284</v>
      </c>
      <c r="B43" s="239">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7" t="s">
        <v>285</v>
      </c>
      <c r="B44" s="240">
        <v>7.0000000000000007E-2</v>
      </c>
      <c r="C44" s="2324" t="s">
        <v>2892</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7" t="s">
        <v>286</v>
      </c>
      <c r="B45" s="238">
        <v>0.03</v>
      </c>
      <c r="C45" s="2326" t="s">
        <v>2893</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7" t="s">
        <v>287</v>
      </c>
      <c r="B46" s="238">
        <v>0.02</v>
      </c>
      <c r="C46" s="2326" t="s">
        <v>2894</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1" t="s">
        <v>288</v>
      </c>
      <c r="B47" s="242"/>
      <c r="C47" s="3020" t="s">
        <v>2895</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3" t="s">
        <v>289</v>
      </c>
      <c r="B48" s="244">
        <v>0.03</v>
      </c>
      <c r="C48" s="3021" t="s">
        <v>2896</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5" t="s">
        <v>290</v>
      </c>
      <c r="B49" s="238">
        <v>5.0000000000000001E-4</v>
      </c>
      <c r="C49" s="3021" t="s">
        <v>2897</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5" t="s">
        <v>291</v>
      </c>
      <c r="B50" s="246">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29" t="s">
        <v>292</v>
      </c>
      <c r="B51" s="247">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5" t="s">
        <v>293</v>
      </c>
      <c r="B52" s="248">
        <f>SUMIF(A54:A63,B53,B54:B63)</f>
        <v>2</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6" t="s">
        <v>294</v>
      </c>
      <c r="B53" s="249" t="s">
        <v>1406</v>
      </c>
      <c r="C53" s="3022" t="s">
        <v>2898</v>
      </c>
      <c r="D53" s="3023" t="s">
        <v>2899</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25" t="s">
        <v>2900</v>
      </c>
      <c r="B54" s="3188">
        <v>18</v>
      </c>
      <c r="C54" s="1974">
        <v>30</v>
      </c>
      <c r="D54" s="3024"/>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25" t="s">
        <v>2901</v>
      </c>
      <c r="B55" s="3188">
        <v>15</v>
      </c>
      <c r="C55" s="1974">
        <v>24</v>
      </c>
      <c r="D55" s="3024"/>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25" t="s">
        <v>2902</v>
      </c>
      <c r="B56" s="3188">
        <v>12</v>
      </c>
      <c r="C56" s="1974">
        <v>18</v>
      </c>
      <c r="D56" s="3024"/>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25" t="s">
        <v>2903</v>
      </c>
      <c r="B57" s="3188">
        <v>9</v>
      </c>
      <c r="C57" s="1974">
        <v>12</v>
      </c>
      <c r="D57" s="3024"/>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25" t="s">
        <v>2904</v>
      </c>
      <c r="B58" s="3188">
        <v>6</v>
      </c>
      <c r="C58" s="1974">
        <v>3</v>
      </c>
      <c r="D58" s="3024"/>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25" t="s">
        <v>2905</v>
      </c>
      <c r="B59" s="3188">
        <v>2</v>
      </c>
      <c r="C59" s="1974">
        <v>1.5</v>
      </c>
      <c r="D59" s="3024"/>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25" t="s">
        <v>2906</v>
      </c>
      <c r="B60" s="184"/>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25" t="s">
        <v>2907</v>
      </c>
      <c r="B61" s="184"/>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25" t="s">
        <v>2908</v>
      </c>
      <c r="B62" s="184"/>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6" t="s">
        <v>2909</v>
      </c>
      <c r="B63" s="250"/>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1"/>
      <c r="D64" s="1979"/>
      <c r="K64" s="55"/>
      <c r="L64" s="55"/>
    </row>
    <row r="65" spans="1:12" s="1978" customFormat="1">
      <c r="A65" s="251"/>
      <c r="D65" s="1979"/>
      <c r="K65" s="55"/>
      <c r="L65" s="55"/>
    </row>
    <row r="66" spans="1:12" s="1978" customFormat="1">
      <c r="A66" s="251"/>
      <c r="D66" s="1979"/>
      <c r="K66" s="55"/>
      <c r="L66" s="55"/>
    </row>
    <row r="67" spans="1:12" s="1978" customFormat="1">
      <c r="A67" s="251"/>
      <c r="D67" s="1979"/>
      <c r="K67" s="55"/>
      <c r="L67" s="55"/>
    </row>
    <row r="68" spans="1:12" s="1978" customFormat="1">
      <c r="A68" s="251"/>
      <c r="D68" s="1979"/>
      <c r="K68" s="55"/>
      <c r="L68" s="55"/>
    </row>
    <row r="69" spans="1:12" s="1978" customFormat="1">
      <c r="A69" s="251"/>
      <c r="D69" s="1979"/>
      <c r="K69" s="55"/>
      <c r="L69" s="55"/>
    </row>
    <row r="70" spans="1:12" s="1978" customFormat="1">
      <c r="A70" s="251"/>
      <c r="D70" s="1979"/>
      <c r="K70" s="55"/>
      <c r="L70" s="55"/>
    </row>
    <row r="71" spans="1:12" s="1978" customFormat="1">
      <c r="A71" s="251"/>
      <c r="D71" s="1979"/>
      <c r="K71" s="55"/>
      <c r="L71" s="55"/>
    </row>
    <row r="72" spans="1:12" s="1978" customFormat="1">
      <c r="A72" s="251"/>
      <c r="D72" s="1979"/>
      <c r="K72" s="55"/>
      <c r="L72" s="55"/>
    </row>
    <row r="73" spans="1:12" s="1978" customFormat="1">
      <c r="A73" s="251"/>
      <c r="D73" s="1979"/>
      <c r="K73" s="55"/>
      <c r="L73" s="55"/>
    </row>
    <row r="74" spans="1:12" s="1978" customFormat="1">
      <c r="A74" s="251"/>
      <c r="D74" s="1979"/>
      <c r="K74" s="55"/>
      <c r="L74" s="55"/>
    </row>
    <row r="75" spans="1:12" s="1978" customFormat="1">
      <c r="A75" s="251"/>
      <c r="D75" s="1979"/>
      <c r="K75" s="55"/>
      <c r="L75" s="55"/>
    </row>
    <row r="76" spans="1:12" s="1978" customFormat="1">
      <c r="A76" s="251"/>
      <c r="D76" s="1979"/>
      <c r="K76" s="55"/>
      <c r="L76" s="55"/>
    </row>
    <row r="77" spans="1:12" s="1978" customFormat="1">
      <c r="A77" s="251"/>
      <c r="D77" s="1979"/>
      <c r="K77" s="55"/>
      <c r="L77" s="55"/>
    </row>
    <row r="78" spans="1:12" s="1978" customFormat="1">
      <c r="A78" s="251"/>
      <c r="D78" s="1979"/>
      <c r="K78" s="55"/>
      <c r="L78" s="55"/>
    </row>
    <row r="79" spans="1:12" s="1978" customFormat="1">
      <c r="A79" s="251"/>
      <c r="D79" s="1979"/>
      <c r="K79" s="55"/>
      <c r="L79" s="55"/>
    </row>
    <row r="80" spans="1:12" s="1978" customFormat="1">
      <c r="A80" s="251"/>
      <c r="D80" s="1979"/>
      <c r="K80" s="55"/>
      <c r="L80" s="55"/>
    </row>
    <row r="81" spans="1:12" s="1978" customFormat="1">
      <c r="A81" s="251"/>
      <c r="D81" s="1979"/>
      <c r="K81" s="55"/>
      <c r="L81" s="55"/>
    </row>
    <row r="82" spans="1:12" s="1978" customFormat="1">
      <c r="A82" s="251"/>
      <c r="D82" s="1979"/>
      <c r="K82" s="55"/>
      <c r="L82" s="55"/>
    </row>
    <row r="83" spans="1:12" s="1978" customFormat="1">
      <c r="A83" s="251"/>
      <c r="D83" s="1979"/>
      <c r="K83" s="55"/>
      <c r="L83" s="55"/>
    </row>
    <row r="84" spans="1:12" s="1978" customFormat="1">
      <c r="A84" s="251"/>
      <c r="D84" s="1979"/>
      <c r="K84" s="55"/>
      <c r="L84" s="55"/>
    </row>
    <row r="85" spans="1:12" s="1978" customFormat="1">
      <c r="A85" s="251"/>
      <c r="D85" s="1979"/>
      <c r="K85" s="55"/>
      <c r="L85" s="55"/>
    </row>
    <row r="86" spans="1:12" s="1978" customFormat="1">
      <c r="A86" s="251"/>
      <c r="D86" s="1979"/>
      <c r="K86" s="55"/>
      <c r="L86" s="55"/>
    </row>
    <row r="87" spans="1:12" s="1978" customFormat="1">
      <c r="A87" s="251"/>
      <c r="D87" s="1979"/>
      <c r="K87" s="55"/>
      <c r="L87" s="55"/>
    </row>
    <row r="88" spans="1:12" s="1978" customFormat="1">
      <c r="A88" s="251"/>
      <c r="D88" s="1979"/>
      <c r="K88" s="55"/>
      <c r="L88" s="55"/>
    </row>
    <row r="89" spans="1:12" s="1978" customFormat="1">
      <c r="A89" s="251"/>
      <c r="D89" s="1979"/>
      <c r="K89" s="55"/>
      <c r="L89" s="55"/>
    </row>
    <row r="90" spans="1:12" s="1978" customFormat="1">
      <c r="A90" s="251"/>
      <c r="D90" s="1979"/>
      <c r="K90" s="55"/>
      <c r="L90" s="55"/>
    </row>
    <row r="91" spans="1:12" s="1978" customFormat="1">
      <c r="A91" s="251"/>
      <c r="D91" s="1979"/>
      <c r="K91" s="55"/>
      <c r="L91" s="55"/>
    </row>
    <row r="92" spans="1:12" s="1978" customFormat="1">
      <c r="A92" s="251"/>
      <c r="D92" s="1979"/>
      <c r="K92" s="55"/>
      <c r="L92" s="55"/>
    </row>
    <row r="93" spans="1:12" s="1978" customFormat="1">
      <c r="A93" s="251"/>
      <c r="D93" s="1979"/>
      <c r="K93" s="55"/>
      <c r="L93" s="55"/>
    </row>
    <row r="94" spans="1:12" s="1978" customFormat="1">
      <c r="A94" s="251"/>
      <c r="D94" s="1979"/>
      <c r="K94" s="55"/>
      <c r="L94" s="55"/>
    </row>
    <row r="95" spans="1:12" s="1978" customFormat="1">
      <c r="A95" s="251"/>
      <c r="D95" s="1979"/>
      <c r="K95" s="55"/>
      <c r="L95" s="55"/>
    </row>
    <row r="96" spans="1:12" s="1978" customFormat="1">
      <c r="A96" s="251"/>
      <c r="D96" s="1979"/>
      <c r="K96" s="55"/>
      <c r="L96" s="55"/>
    </row>
    <row r="97" spans="1:12" s="1978" customFormat="1">
      <c r="A97" s="251"/>
      <c r="D97" s="1979"/>
      <c r="K97" s="55"/>
      <c r="L97" s="55"/>
    </row>
    <row r="98" spans="1:12" s="1978" customFormat="1">
      <c r="A98" s="251"/>
      <c r="D98" s="1979"/>
      <c r="K98" s="55"/>
      <c r="L98" s="55"/>
    </row>
    <row r="99" spans="1:12" s="1978" customFormat="1">
      <c r="A99" s="251"/>
      <c r="D99" s="1979"/>
      <c r="K99" s="55"/>
      <c r="L99" s="55"/>
    </row>
    <row r="100" spans="1:12" s="1978" customFormat="1">
      <c r="A100" s="251"/>
      <c r="D100" s="1979"/>
      <c r="K100" s="55"/>
      <c r="L100" s="55"/>
    </row>
    <row r="101" spans="1:12" s="1978" customFormat="1">
      <c r="A101" s="251"/>
      <c r="D101" s="1979"/>
      <c r="K101" s="55"/>
      <c r="L101" s="55"/>
    </row>
    <row r="102" spans="1:12" s="1978" customFormat="1">
      <c r="A102" s="251"/>
      <c r="D102" s="1979"/>
      <c r="K102" s="55"/>
      <c r="L102" s="55"/>
    </row>
    <row r="103" spans="1:12" s="1978" customFormat="1">
      <c r="A103" s="251"/>
      <c r="D103" s="1979"/>
      <c r="K103" s="55"/>
      <c r="L103" s="55"/>
    </row>
    <row r="104" spans="1:12" s="1978" customFormat="1">
      <c r="A104" s="251"/>
      <c r="D104" s="1979"/>
      <c r="K104" s="55"/>
      <c r="L104" s="55"/>
    </row>
    <row r="105" spans="1:12" s="1978" customFormat="1">
      <c r="A105" s="251"/>
      <c r="D105" s="1979"/>
      <c r="K105" s="55"/>
      <c r="L105" s="55"/>
    </row>
    <row r="106" spans="1:12" s="1978" customFormat="1">
      <c r="A106" s="251"/>
      <c r="D106" s="1979"/>
      <c r="K106" s="55"/>
      <c r="L106" s="55"/>
    </row>
    <row r="107" spans="1:12" s="1978" customFormat="1">
      <c r="A107" s="251"/>
      <c r="D107" s="1979"/>
      <c r="K107" s="55"/>
      <c r="L107" s="55"/>
    </row>
    <row r="108" spans="1:12" s="1978" customFormat="1">
      <c r="A108" s="251"/>
      <c r="D108" s="1979"/>
      <c r="K108" s="55"/>
      <c r="L108" s="55"/>
    </row>
    <row r="109" spans="1:12" s="1978" customFormat="1">
      <c r="A109" s="251"/>
      <c r="D109" s="1979"/>
      <c r="K109" s="55"/>
      <c r="L109" s="55"/>
    </row>
    <row r="110" spans="1:12" s="1978" customFormat="1">
      <c r="A110" s="251"/>
      <c r="D110" s="1979"/>
      <c r="K110" s="55"/>
      <c r="L110" s="55"/>
    </row>
    <row r="111" spans="1:12" s="1978" customFormat="1">
      <c r="A111" s="251"/>
      <c r="D111" s="1979"/>
      <c r="K111" s="55"/>
      <c r="L111" s="55"/>
    </row>
    <row r="112" spans="1:12" s="1978" customFormat="1">
      <c r="A112" s="251"/>
      <c r="D112" s="1979"/>
      <c r="K112" s="55"/>
      <c r="L112" s="55"/>
    </row>
    <row r="113" spans="1:12" s="1978" customFormat="1">
      <c r="A113" s="251"/>
      <c r="D113" s="1979"/>
      <c r="K113" s="55"/>
      <c r="L113" s="55"/>
    </row>
    <row r="114" spans="1:12" s="1978" customFormat="1">
      <c r="A114" s="251"/>
      <c r="D114" s="1979"/>
      <c r="K114" s="55"/>
      <c r="L114" s="55"/>
    </row>
    <row r="115" spans="1:12" s="1978" customFormat="1">
      <c r="A115" s="251"/>
      <c r="D115" s="1979"/>
      <c r="K115" s="55"/>
      <c r="L115" s="55"/>
    </row>
    <row r="116" spans="1:12" s="1978" customFormat="1">
      <c r="A116" s="251"/>
      <c r="D116" s="1979"/>
      <c r="K116" s="55"/>
      <c r="L116" s="55"/>
    </row>
    <row r="117" spans="1:12" s="1978" customFormat="1">
      <c r="A117" s="251"/>
      <c r="D117" s="1979"/>
      <c r="K117" s="55"/>
      <c r="L117" s="55"/>
    </row>
    <row r="118" spans="1:12" s="1978" customFormat="1">
      <c r="A118" s="251"/>
      <c r="D118" s="1979"/>
      <c r="K118" s="55"/>
      <c r="L118" s="55"/>
    </row>
    <row r="119" spans="1:12" s="1978" customFormat="1">
      <c r="A119" s="251"/>
      <c r="D119" s="1979"/>
      <c r="K119" s="55"/>
      <c r="L119" s="55"/>
    </row>
    <row r="120" spans="1:12" s="1978" customFormat="1">
      <c r="A120" s="251"/>
      <c r="D120" s="1979"/>
      <c r="K120" s="55"/>
      <c r="L120" s="55"/>
    </row>
    <row r="121" spans="1:12" s="1978" customFormat="1">
      <c r="A121" s="251"/>
      <c r="D121" s="1979"/>
      <c r="K121" s="55"/>
      <c r="L121" s="55"/>
    </row>
    <row r="122" spans="1:12" s="1978" customFormat="1">
      <c r="A122" s="251"/>
      <c r="D122" s="1979"/>
      <c r="K122" s="55"/>
      <c r="L122" s="55"/>
    </row>
    <row r="123" spans="1:12" s="1978" customFormat="1">
      <c r="A123" s="251"/>
      <c r="D123" s="1979"/>
      <c r="K123" s="55"/>
      <c r="L123" s="55"/>
    </row>
    <row r="124" spans="1:12" s="1978" customFormat="1">
      <c r="A124" s="251"/>
      <c r="D124" s="1979"/>
      <c r="K124" s="55"/>
      <c r="L124" s="55"/>
    </row>
    <row r="125" spans="1:12" s="1978" customFormat="1">
      <c r="A125" s="251"/>
      <c r="D125" s="1979"/>
      <c r="K125" s="55"/>
      <c r="L125" s="55"/>
    </row>
    <row r="126" spans="1:12" s="1978" customFormat="1">
      <c r="A126" s="251"/>
      <c r="D126" s="1979"/>
      <c r="K126" s="55"/>
      <c r="L126" s="55"/>
    </row>
    <row r="127" spans="1:12" s="1978" customFormat="1">
      <c r="A127" s="251"/>
      <c r="D127" s="1979"/>
      <c r="K127" s="55"/>
      <c r="L127" s="55"/>
    </row>
    <row r="128" spans="1:12" s="1978" customFormat="1">
      <c r="A128" s="251"/>
      <c r="D128" s="1979"/>
      <c r="K128" s="55"/>
      <c r="L128" s="55"/>
    </row>
    <row r="129" spans="1:12" s="1978" customFormat="1">
      <c r="A129" s="251"/>
      <c r="D129" s="1979"/>
      <c r="K129" s="55"/>
      <c r="L129" s="55"/>
    </row>
    <row r="130" spans="1:12" s="1978" customFormat="1">
      <c r="A130" s="251"/>
      <c r="D130" s="1979"/>
      <c r="K130" s="55"/>
      <c r="L130" s="55"/>
    </row>
    <row r="131" spans="1:12" s="1978" customFormat="1">
      <c r="A131" s="251"/>
      <c r="D131" s="1979"/>
      <c r="K131" s="55"/>
      <c r="L131" s="55"/>
    </row>
    <row r="132" spans="1:12" s="1978" customFormat="1">
      <c r="A132" s="251"/>
      <c r="D132" s="1979"/>
      <c r="K132" s="55"/>
      <c r="L132" s="55"/>
    </row>
    <row r="133" spans="1:12" s="1978" customFormat="1">
      <c r="A133" s="251"/>
      <c r="D133" s="1979"/>
      <c r="K133" s="55"/>
      <c r="L133" s="55"/>
    </row>
    <row r="134" spans="1:12" s="1978" customFormat="1">
      <c r="A134" s="251"/>
      <c r="D134" s="1979"/>
      <c r="K134" s="55"/>
      <c r="L134" s="55"/>
    </row>
    <row r="135" spans="1:12" s="1978" customFormat="1">
      <c r="A135" s="251"/>
      <c r="D135" s="1979"/>
      <c r="K135" s="55"/>
      <c r="L135" s="55"/>
    </row>
    <row r="136" spans="1:12" s="1978" customFormat="1">
      <c r="A136" s="251"/>
      <c r="D136" s="1979"/>
      <c r="K136" s="55"/>
      <c r="L136" s="55"/>
    </row>
    <row r="137" spans="1:12" s="1978" customFormat="1">
      <c r="A137" s="251"/>
      <c r="D137" s="1979"/>
      <c r="K137" s="55"/>
      <c r="L137" s="55"/>
    </row>
    <row r="138" spans="1:12" s="1978" customFormat="1">
      <c r="A138" s="251"/>
      <c r="D138" s="1979"/>
      <c r="K138" s="55"/>
      <c r="L138" s="55"/>
    </row>
    <row r="139" spans="1:12" s="1978" customFormat="1">
      <c r="A139" s="251"/>
      <c r="D139" s="1979"/>
      <c r="K139" s="55"/>
      <c r="L139" s="55"/>
    </row>
    <row r="140" spans="1:12" s="1978" customFormat="1">
      <c r="A140" s="251"/>
      <c r="D140" s="1979"/>
      <c r="K140" s="55"/>
      <c r="L140" s="55"/>
    </row>
    <row r="141" spans="1:12" s="1978" customFormat="1">
      <c r="A141" s="251"/>
      <c r="D141" s="1979"/>
      <c r="K141" s="55"/>
      <c r="L141" s="55"/>
    </row>
    <row r="142" spans="1:12" s="1978" customFormat="1">
      <c r="A142" s="251"/>
      <c r="D142" s="1979"/>
      <c r="K142" s="55"/>
      <c r="L142" s="55"/>
    </row>
    <row r="143" spans="1:12" s="1978" customFormat="1">
      <c r="A143" s="251"/>
      <c r="D143" s="1979"/>
      <c r="K143" s="55"/>
      <c r="L143" s="55"/>
    </row>
    <row r="144" spans="1:12" s="1978" customFormat="1">
      <c r="A144" s="251"/>
      <c r="D144" s="1979"/>
      <c r="K144" s="55"/>
      <c r="L144" s="55"/>
    </row>
    <row r="145" spans="1:12" s="1978" customFormat="1">
      <c r="A145" s="251"/>
      <c r="D145" s="1979"/>
      <c r="K145" s="55"/>
      <c r="L145" s="55"/>
    </row>
    <row r="146" spans="1:12" s="1978" customFormat="1">
      <c r="A146" s="251"/>
      <c r="D146" s="1979"/>
      <c r="K146" s="55"/>
      <c r="L146" s="55"/>
    </row>
    <row r="147" spans="1:12" s="1978" customFormat="1">
      <c r="A147" s="251"/>
      <c r="D147" s="1979"/>
      <c r="K147" s="55"/>
      <c r="L147" s="55"/>
    </row>
    <row r="148" spans="1:12" s="1978" customFormat="1">
      <c r="A148" s="251"/>
      <c r="D148" s="1979"/>
      <c r="K148" s="55"/>
      <c r="L148" s="55"/>
    </row>
    <row r="149" spans="1:12" s="1978" customFormat="1">
      <c r="A149" s="251"/>
      <c r="D149" s="1979"/>
      <c r="K149" s="55"/>
      <c r="L149" s="55"/>
    </row>
    <row r="150" spans="1:12" s="1978" customFormat="1">
      <c r="A150" s="251"/>
      <c r="D150" s="1979"/>
      <c r="K150" s="55"/>
      <c r="L150" s="55"/>
    </row>
    <row r="151" spans="1:12" s="1978" customFormat="1">
      <c r="A151" s="251"/>
      <c r="D151" s="1979"/>
      <c r="K151" s="55"/>
      <c r="L151" s="55"/>
    </row>
    <row r="152" spans="1:12" s="1978" customFormat="1">
      <c r="A152" s="251"/>
      <c r="D152" s="1979"/>
      <c r="K152" s="55"/>
      <c r="L152" s="55"/>
    </row>
    <row r="153" spans="1:12" s="1978" customFormat="1">
      <c r="A153" s="251"/>
      <c r="D153" s="1979"/>
      <c r="K153" s="55"/>
      <c r="L153" s="55"/>
    </row>
    <row r="154" spans="1:12" s="1978" customFormat="1">
      <c r="A154" s="251"/>
      <c r="D154" s="1979"/>
      <c r="K154" s="55"/>
      <c r="L154" s="55"/>
    </row>
    <row r="155" spans="1:12" s="1978" customFormat="1">
      <c r="A155" s="251"/>
      <c r="D155" s="1979"/>
      <c r="K155" s="55"/>
      <c r="L155" s="55"/>
    </row>
    <row r="156" spans="1:12" s="1978" customFormat="1">
      <c r="A156" s="251"/>
      <c r="D156" s="1979"/>
      <c r="K156" s="55"/>
      <c r="L156" s="55"/>
    </row>
    <row r="157" spans="1:12" s="1978" customFormat="1">
      <c r="A157" s="251"/>
      <c r="D157" s="1979"/>
      <c r="K157" s="55"/>
      <c r="L157" s="55"/>
    </row>
    <row r="158" spans="1:12" s="1978" customFormat="1">
      <c r="A158" s="251"/>
      <c r="D158" s="1979"/>
      <c r="K158" s="55"/>
      <c r="L158" s="55"/>
    </row>
    <row r="159" spans="1:12" s="1978" customFormat="1">
      <c r="A159" s="251"/>
      <c r="D159" s="1979"/>
      <c r="K159" s="55"/>
      <c r="L159" s="55"/>
    </row>
    <row r="160" spans="1:12" s="1978" customFormat="1">
      <c r="A160" s="251"/>
      <c r="D160" s="1979"/>
      <c r="K160" s="55"/>
      <c r="L160" s="55"/>
    </row>
    <row r="161" spans="1:12" s="1978" customFormat="1">
      <c r="A161" s="251"/>
      <c r="D161" s="1979"/>
      <c r="K161" s="55"/>
      <c r="L161" s="55"/>
    </row>
    <row r="162" spans="1:12" s="1978" customFormat="1">
      <c r="A162" s="251"/>
      <c r="D162" s="1979"/>
      <c r="K162" s="55"/>
      <c r="L162" s="55"/>
    </row>
    <row r="163" spans="1:12" s="1978" customFormat="1">
      <c r="A163" s="251"/>
      <c r="D163" s="1979"/>
      <c r="K163" s="55"/>
      <c r="L163" s="55"/>
    </row>
    <row r="164" spans="1:12" s="1978" customFormat="1">
      <c r="A164" s="251"/>
      <c r="D164" s="1979"/>
      <c r="K164" s="55"/>
      <c r="L164" s="55"/>
    </row>
    <row r="165" spans="1:12" s="1978" customFormat="1">
      <c r="A165" s="251"/>
      <c r="D165" s="1979"/>
      <c r="K165" s="55"/>
      <c r="L165" s="55"/>
    </row>
    <row r="166" spans="1:12" s="1978" customFormat="1">
      <c r="A166" s="251"/>
      <c r="D166" s="1979"/>
      <c r="K166" s="55"/>
      <c r="L166" s="55"/>
    </row>
    <row r="167" spans="1:12" s="1978" customFormat="1">
      <c r="A167" s="251"/>
      <c r="D167" s="1979"/>
      <c r="K167" s="55"/>
      <c r="L167" s="55"/>
    </row>
    <row r="168" spans="1:12" s="1978" customFormat="1">
      <c r="A168" s="251"/>
      <c r="D168" s="1979"/>
      <c r="K168" s="55"/>
      <c r="L168" s="55"/>
    </row>
    <row r="169" spans="1:12" s="1978" customFormat="1">
      <c r="A169" s="251"/>
      <c r="D169" s="1979"/>
      <c r="K169" s="55"/>
      <c r="L169" s="55"/>
    </row>
    <row r="170" spans="1:12" s="1978" customFormat="1">
      <c r="A170" s="251"/>
      <c r="D170" s="1979"/>
      <c r="K170" s="55"/>
      <c r="L170" s="55"/>
    </row>
    <row r="171" spans="1:12" s="1978" customFormat="1">
      <c r="A171" s="251"/>
      <c r="D171" s="1979"/>
      <c r="K171" s="55"/>
      <c r="L171" s="55"/>
    </row>
    <row r="172" spans="1:12" s="1978" customFormat="1">
      <c r="A172" s="251"/>
      <c r="D172" s="1979"/>
      <c r="K172" s="55"/>
      <c r="L172" s="55"/>
    </row>
    <row r="173" spans="1:12" s="1978" customFormat="1">
      <c r="A173" s="251"/>
      <c r="D173" s="1979"/>
      <c r="K173" s="55"/>
      <c r="L173" s="55"/>
    </row>
    <row r="174" spans="1:12" s="1978" customFormat="1">
      <c r="A174" s="251"/>
      <c r="D174" s="1979"/>
      <c r="K174" s="55"/>
      <c r="L174" s="55"/>
    </row>
    <row r="175" spans="1:12" s="1978" customFormat="1">
      <c r="A175" s="251"/>
      <c r="D175" s="1979"/>
      <c r="K175" s="55"/>
      <c r="L175" s="55"/>
    </row>
    <row r="176" spans="1:12" s="1978" customFormat="1">
      <c r="A176" s="251"/>
      <c r="D176" s="1979"/>
      <c r="K176" s="55"/>
      <c r="L176" s="55"/>
    </row>
    <row r="177" spans="1:12" s="1978" customFormat="1">
      <c r="A177" s="251"/>
      <c r="D177" s="1979"/>
      <c r="K177" s="55"/>
      <c r="L177" s="55"/>
    </row>
    <row r="178" spans="1:12" s="1978" customFormat="1">
      <c r="A178" s="251"/>
      <c r="D178" s="1979"/>
      <c r="K178" s="55"/>
      <c r="L178" s="55"/>
    </row>
    <row r="179" spans="1:12" s="1978" customFormat="1">
      <c r="A179" s="251"/>
      <c r="D179" s="1979"/>
      <c r="K179" s="55"/>
      <c r="L179" s="55"/>
    </row>
    <row r="180" spans="1:12" s="1978" customFormat="1">
      <c r="A180" s="251"/>
      <c r="D180" s="1979"/>
      <c r="K180" s="55"/>
      <c r="L180" s="55"/>
    </row>
    <row r="181" spans="1:12" s="1978" customFormat="1">
      <c r="A181" s="251"/>
      <c r="D181" s="1979"/>
      <c r="K181" s="55"/>
      <c r="L181" s="55"/>
    </row>
    <row r="182" spans="1:12" s="1978" customFormat="1">
      <c r="A182" s="251"/>
      <c r="D182" s="1979"/>
      <c r="K182" s="55"/>
      <c r="L182" s="55"/>
    </row>
    <row r="183" spans="1:12" s="1978" customFormat="1">
      <c r="A183" s="251"/>
      <c r="D183" s="1979"/>
      <c r="K183" s="55"/>
      <c r="L183" s="55"/>
    </row>
    <row r="184" spans="1:12" s="1978" customFormat="1">
      <c r="A184" s="251"/>
      <c r="D184" s="1979"/>
      <c r="K184" s="55"/>
      <c r="L184" s="55"/>
    </row>
    <row r="185" spans="1:12" s="1978" customFormat="1">
      <c r="A185" s="251"/>
      <c r="D185" s="1979"/>
      <c r="K185" s="55"/>
      <c r="L185" s="55"/>
    </row>
    <row r="186" spans="1:12" s="1978" customFormat="1">
      <c r="A186" s="251"/>
      <c r="D186" s="1979"/>
      <c r="K186" s="55"/>
      <c r="L186" s="55"/>
    </row>
    <row r="187" spans="1:12" s="1978" customFormat="1">
      <c r="A187" s="251"/>
      <c r="D187" s="1979"/>
      <c r="K187" s="55"/>
      <c r="L187" s="55"/>
    </row>
    <row r="188" spans="1:12" s="1978" customFormat="1">
      <c r="A188" s="251"/>
      <c r="D188" s="1979"/>
      <c r="K188" s="55"/>
      <c r="L188" s="55"/>
    </row>
    <row r="189" spans="1:12" s="1978" customFormat="1">
      <c r="A189" s="251"/>
      <c r="D189" s="1979"/>
      <c r="K189" s="55"/>
      <c r="L189" s="55"/>
    </row>
    <row r="190" spans="1:12" s="1978" customFormat="1">
      <c r="A190" s="251"/>
      <c r="D190" s="1979"/>
      <c r="K190" s="55"/>
      <c r="L190" s="55"/>
    </row>
    <row r="191" spans="1:12" s="1978" customFormat="1">
      <c r="A191" s="251"/>
      <c r="D191" s="1979"/>
      <c r="K191" s="55"/>
      <c r="L191" s="55"/>
    </row>
    <row r="192" spans="1:12" s="1978" customFormat="1">
      <c r="A192" s="251"/>
      <c r="D192" s="1979"/>
      <c r="K192" s="55"/>
      <c r="L192" s="55"/>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684" t="s">
        <v>1660</v>
      </c>
      <c r="B1" s="3685"/>
      <c r="C1" s="3685"/>
      <c r="D1" s="3685"/>
      <c r="E1" s="3685"/>
      <c r="F1" s="3685"/>
      <c r="G1" s="3685"/>
      <c r="H1" s="1982"/>
      <c r="I1" s="1983"/>
      <c r="J1" s="1984"/>
      <c r="K1" s="1982"/>
      <c r="L1" s="1983"/>
      <c r="M1" s="1984"/>
      <c r="N1" s="1982"/>
      <c r="O1" s="1983"/>
      <c r="P1" s="1984"/>
      <c r="Q1" s="1985"/>
      <c r="R1" s="1986"/>
    </row>
    <row r="2" spans="1:18" ht="14.25" thickBot="1">
      <c r="A2" s="1215"/>
      <c r="B2" s="1216"/>
      <c r="C2" s="1217" t="s">
        <v>1661</v>
      </c>
      <c r="D2" s="1218"/>
      <c r="E2" s="1219"/>
      <c r="F2" s="1220"/>
      <c r="G2" s="1217" t="s">
        <v>1662</v>
      </c>
      <c r="H2" s="1988"/>
      <c r="I2" s="1988"/>
      <c r="J2" s="1988"/>
      <c r="K2" s="1988"/>
      <c r="L2" s="1988"/>
      <c r="M2" s="1988"/>
      <c r="N2" s="1988"/>
      <c r="O2" s="1988"/>
      <c r="P2" s="1988"/>
      <c r="Q2" s="1988"/>
      <c r="R2" s="1988"/>
    </row>
    <row r="3" spans="1:18" ht="54">
      <c r="A3" s="1221" t="s">
        <v>1663</v>
      </c>
      <c r="B3" s="1222" t="s">
        <v>1650</v>
      </c>
      <c r="C3" s="3027" t="s">
        <v>2916</v>
      </c>
      <c r="D3" s="1989"/>
      <c r="E3" s="1223" t="s">
        <v>1663</v>
      </c>
      <c r="F3" s="1224" t="s">
        <v>1651</v>
      </c>
      <c r="G3" s="3031" t="s">
        <v>2915</v>
      </c>
      <c r="H3" s="1988"/>
      <c r="I3" s="1988"/>
      <c r="J3" s="1988"/>
      <c r="K3" s="1988"/>
      <c r="L3" s="1988"/>
      <c r="M3" s="1988"/>
      <c r="N3" s="1988"/>
      <c r="O3" s="1988"/>
      <c r="P3" s="1988"/>
      <c r="Q3" s="1988"/>
      <c r="R3" s="1988"/>
    </row>
    <row r="4" spans="1:18" ht="41.25">
      <c r="A4" s="1223"/>
      <c r="B4" s="1225" t="s">
        <v>1664</v>
      </c>
      <c r="C4" s="3028" t="s">
        <v>2917</v>
      </c>
      <c r="D4" s="1989"/>
      <c r="E4" s="1226"/>
      <c r="F4" s="1227" t="s">
        <v>1665</v>
      </c>
      <c r="G4" s="3029" t="s">
        <v>2912</v>
      </c>
      <c r="H4" s="1988"/>
      <c r="I4" s="1988"/>
      <c r="J4" s="1988"/>
      <c r="K4" s="1988"/>
      <c r="L4" s="1988"/>
      <c r="M4" s="1988"/>
      <c r="N4" s="1988"/>
      <c r="O4" s="1988"/>
      <c r="P4" s="1988"/>
      <c r="Q4" s="1988"/>
      <c r="R4" s="1988"/>
    </row>
    <row r="5" spans="1:18" ht="41.25">
      <c r="A5" s="1223"/>
      <c r="B5" s="1225" t="s">
        <v>1666</v>
      </c>
      <c r="C5" s="3028" t="s">
        <v>2918</v>
      </c>
      <c r="D5" s="1989"/>
      <c r="E5" s="1226"/>
      <c r="F5" s="1225" t="s">
        <v>2540</v>
      </c>
      <c r="G5" s="3029" t="s">
        <v>2913</v>
      </c>
      <c r="H5" s="1988"/>
      <c r="I5" s="1988"/>
      <c r="J5" s="1988"/>
      <c r="K5" s="1988"/>
      <c r="L5" s="1988"/>
      <c r="M5" s="1988"/>
      <c r="N5" s="1988"/>
      <c r="O5" s="1988"/>
      <c r="P5" s="1988"/>
      <c r="Q5" s="1988"/>
      <c r="R5" s="1988"/>
    </row>
    <row r="6" spans="1:18" ht="54">
      <c r="A6" s="1223"/>
      <c r="B6" s="1225" t="s">
        <v>1652</v>
      </c>
      <c r="C6" s="3029" t="s">
        <v>2912</v>
      </c>
      <c r="D6" s="1989"/>
      <c r="E6" s="1226"/>
      <c r="F6" s="1225" t="s">
        <v>2541</v>
      </c>
      <c r="G6" s="3029" t="s">
        <v>2910</v>
      </c>
      <c r="H6" s="1988"/>
      <c r="I6" s="1988"/>
      <c r="J6" s="1988"/>
      <c r="K6" s="1988"/>
      <c r="L6" s="1988"/>
      <c r="M6" s="1988"/>
      <c r="N6" s="1988"/>
      <c r="O6" s="1988"/>
      <c r="P6" s="1988"/>
      <c r="Q6" s="1988"/>
      <c r="R6" s="1988"/>
    </row>
    <row r="7" spans="1:18" ht="41.25" thickBot="1">
      <c r="A7" s="1223"/>
      <c r="B7" s="1225" t="s">
        <v>2540</v>
      </c>
      <c r="C7" s="3029" t="s">
        <v>2913</v>
      </c>
      <c r="D7" s="1990"/>
      <c r="E7" s="1228"/>
      <c r="F7" s="1229" t="s">
        <v>1667</v>
      </c>
      <c r="G7" s="3032" t="s">
        <v>2914</v>
      </c>
      <c r="H7" s="1988"/>
      <c r="I7" s="1988"/>
      <c r="J7" s="1988"/>
      <c r="K7" s="1988"/>
      <c r="L7" s="1988"/>
      <c r="M7" s="1988"/>
      <c r="N7" s="1988"/>
      <c r="O7" s="1988"/>
      <c r="P7" s="1988"/>
      <c r="Q7" s="1988"/>
      <c r="R7" s="1988"/>
    </row>
    <row r="8" spans="1:18" ht="27">
      <c r="A8" s="1223"/>
      <c r="B8" s="1225" t="s">
        <v>2541</v>
      </c>
      <c r="C8" s="3029" t="s">
        <v>2910</v>
      </c>
      <c r="D8" s="1990"/>
      <c r="E8" s="1990"/>
      <c r="F8" s="1536"/>
      <c r="G8" s="1536"/>
      <c r="H8" s="1988"/>
      <c r="I8" s="1988"/>
      <c r="J8" s="1988"/>
      <c r="K8" s="1988"/>
      <c r="L8" s="1988"/>
      <c r="M8" s="1988"/>
      <c r="N8" s="1988"/>
      <c r="O8" s="1988"/>
      <c r="P8" s="1988"/>
      <c r="Q8" s="1988"/>
      <c r="R8" s="1988"/>
    </row>
    <row r="9" spans="1:18" ht="40.5">
      <c r="A9" s="1223"/>
      <c r="B9" s="1225" t="s">
        <v>1653</v>
      </c>
      <c r="C9" s="3028" t="s">
        <v>2911</v>
      </c>
      <c r="D9" s="1989"/>
      <c r="E9" s="1990"/>
      <c r="F9" s="1536"/>
      <c r="G9" s="1536"/>
      <c r="H9" s="1988"/>
      <c r="I9" s="1988"/>
      <c r="J9" s="1988"/>
      <c r="K9" s="1988"/>
      <c r="L9" s="1988"/>
      <c r="M9" s="1988"/>
      <c r="N9" s="1988"/>
      <c r="O9" s="1988"/>
      <c r="P9" s="1988"/>
      <c r="Q9" s="1988"/>
      <c r="R9" s="1988"/>
    </row>
    <row r="10" spans="1:18" s="1996" customFormat="1" ht="15" thickBot="1">
      <c r="A10" s="1230"/>
      <c r="B10" s="1231" t="s">
        <v>1668</v>
      </c>
      <c r="C10" s="3030"/>
      <c r="D10" s="1989"/>
      <c r="E10" s="1989"/>
      <c r="F10" s="1536"/>
      <c r="G10" s="1536"/>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1669</v>
      </c>
      <c r="B13" s="2537"/>
      <c r="C13" s="2537"/>
      <c r="D13" s="1218"/>
      <c r="E13" s="2537"/>
      <c r="F13" s="2537"/>
      <c r="G13" s="2537"/>
    </row>
    <row r="14" spans="1:18" ht="14.25" thickBot="1">
      <c r="A14" s="1232"/>
      <c r="B14" s="1233"/>
      <c r="C14" s="1234" t="s">
        <v>1661</v>
      </c>
      <c r="D14" s="1989"/>
      <c r="E14" s="1235"/>
      <c r="F14" s="1235"/>
      <c r="G14" s="1217" t="s">
        <v>1662</v>
      </c>
    </row>
    <row r="15" spans="1:18" ht="54">
      <c r="A15" s="2547" t="s">
        <v>1654</v>
      </c>
      <c r="B15" s="1236" t="s">
        <v>1650</v>
      </c>
      <c r="C15" s="1237" t="str">
        <f>C3</f>
        <v>估价对象周边居住用地比例、居住小区规模和社区发展完善程度，综合评价居住社区成熟度一般</v>
      </c>
      <c r="D15" s="1989"/>
      <c r="E15" s="2544" t="s">
        <v>1655</v>
      </c>
      <c r="F15" s="1236" t="s">
        <v>1670</v>
      </c>
      <c r="G15" s="1238" t="str">
        <f>G3</f>
        <v>估价对象位于XX开发区，园区建设成熟度XX，产业集聚程度XX</v>
      </c>
    </row>
    <row r="16" spans="1:18" ht="40.5">
      <c r="A16" s="2548"/>
      <c r="B16" s="1239" t="s">
        <v>1664</v>
      </c>
      <c r="C16" s="1240" t="str">
        <f>C4</f>
        <v>估价对象位于XX商圈，周边商业氛围成熟，人流量大，商业繁华度好</v>
      </c>
      <c r="D16" s="1989"/>
      <c r="E16" s="2545"/>
      <c r="F16" s="1241" t="s">
        <v>1665</v>
      </c>
      <c r="G16" s="1003" t="str">
        <f>G4</f>
        <v>估价对象周边道路状况、公共交通通达情况、停车便捷程度，综合评价交通便捷度较好</v>
      </c>
    </row>
    <row r="17" spans="1:7" ht="40.5">
      <c r="A17" s="2548"/>
      <c r="B17" s="1239" t="s">
        <v>1666</v>
      </c>
      <c r="C17" s="1240" t="str">
        <f>C5</f>
        <v>估价对象位于XX商圈，周边办公楼项目较多，入驻率高，办公集聚程度较好</v>
      </c>
      <c r="D17" s="1990"/>
      <c r="E17" s="2545"/>
      <c r="F17" s="1241" t="s">
        <v>1671</v>
      </c>
      <c r="G17" s="2745"/>
    </row>
    <row r="18" spans="1:7" ht="54">
      <c r="A18" s="2548"/>
      <c r="B18" s="1241" t="s">
        <v>1652</v>
      </c>
      <c r="C18" s="1003" t="str">
        <f>C6</f>
        <v>估价对象周边道路状况、公共交通通达情况、停车便捷程度，综合评价交通便捷度较好</v>
      </c>
      <c r="D18" s="1990"/>
      <c r="E18" s="2545"/>
      <c r="F18" s="1241" t="s">
        <v>1667</v>
      </c>
      <c r="G18" s="1003" t="str">
        <f>G7</f>
        <v>该园区内是否有污染型企业，绿化情况，卫生条件，整体环境状况判断</v>
      </c>
    </row>
    <row r="19" spans="1:7" ht="27">
      <c r="A19" s="2548"/>
      <c r="B19" s="1241" t="s">
        <v>1656</v>
      </c>
      <c r="C19" s="2745"/>
      <c r="D19" s="1989"/>
      <c r="E19" s="2545"/>
      <c r="F19" s="1225" t="s">
        <v>2540</v>
      </c>
      <c r="G19" s="1003" t="str">
        <f>G5</f>
        <v>估价对象所在区域公共配套设施齐备情况</v>
      </c>
    </row>
    <row r="20" spans="1:7" ht="40.5">
      <c r="A20" s="2548"/>
      <c r="B20" s="1241" t="s">
        <v>1657</v>
      </c>
      <c r="C20" s="1240" t="str">
        <f>C9</f>
        <v>区域自然环境：；人文环境；综合评价环境状况一般</v>
      </c>
      <c r="D20" s="1990"/>
      <c r="E20" s="2545"/>
      <c r="F20" s="1225" t="s">
        <v>2541</v>
      </c>
      <c r="G20" s="1003" t="str">
        <f>G6</f>
        <v>估价对象所在区域基础设施水平</v>
      </c>
    </row>
    <row r="21" spans="1:7" ht="27">
      <c r="A21" s="2548"/>
      <c r="B21" s="1225" t="s">
        <v>2540</v>
      </c>
      <c r="C21" s="1003" t="str">
        <f>C7</f>
        <v>估价对象所在区域公共配套设施齐备情况</v>
      </c>
      <c r="D21" s="1989"/>
      <c r="E21" s="2545"/>
      <c r="F21" s="1241" t="s">
        <v>1658</v>
      </c>
      <c r="G21" s="3033"/>
    </row>
    <row r="22" spans="1:7" ht="27">
      <c r="A22" s="2548"/>
      <c r="B22" s="1225" t="s">
        <v>2541</v>
      </c>
      <c r="C22" s="1003" t="str">
        <f>C8</f>
        <v>估价对象所在区域基础设施水平</v>
      </c>
      <c r="D22" s="1989"/>
      <c r="E22" s="2545"/>
      <c r="F22" s="1241" t="s">
        <v>1668</v>
      </c>
      <c r="G22" s="2745"/>
    </row>
    <row r="23" spans="1:7" ht="15" thickBot="1">
      <c r="A23" s="2548"/>
      <c r="B23" s="1241" t="s">
        <v>1658</v>
      </c>
      <c r="C23" s="3033"/>
      <c r="E23" s="2546"/>
      <c r="F23" s="1242" t="s">
        <v>1672</v>
      </c>
      <c r="G23" s="3034"/>
    </row>
    <row r="24" spans="1:7" ht="14.25" thickBot="1">
      <c r="A24" s="2549"/>
      <c r="B24" s="1242" t="s">
        <v>1659</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2991" t="s">
        <v>2838</v>
      </c>
      <c r="B1" s="2991">
        <f>SUM(B14:B23)</f>
        <v>49030.880000000005</v>
      </c>
      <c r="C1" s="2992"/>
      <c r="D1" s="2992"/>
      <c r="E1" s="2992"/>
      <c r="F1" s="2992"/>
    </row>
    <row r="2" spans="1:9" ht="16.5">
      <c r="A2" s="2991" t="s">
        <v>2839</v>
      </c>
      <c r="B2" s="2991">
        <f>SUM(C14:C23)</f>
        <v>29475.73</v>
      </c>
      <c r="C2" s="2992"/>
      <c r="D2" s="2992"/>
      <c r="E2" s="2992"/>
      <c r="F2" s="2992"/>
    </row>
    <row r="3" spans="1:9" ht="16.5">
      <c r="A3" s="2991" t="s">
        <v>2840</v>
      </c>
      <c r="B3" s="2993">
        <f>项目基本情况!D3</f>
        <v>43764</v>
      </c>
      <c r="C3" s="2992"/>
      <c r="D3" s="2992"/>
      <c r="E3" s="2992"/>
      <c r="F3" s="2992"/>
    </row>
    <row r="4" spans="1:9" ht="33">
      <c r="A4" s="2991" t="s">
        <v>2841</v>
      </c>
      <c r="B4" s="2991" t="s">
        <v>2842</v>
      </c>
      <c r="C4" s="2991" t="s">
        <v>2843</v>
      </c>
      <c r="D4" s="2991" t="s">
        <v>2844</v>
      </c>
      <c r="E4" s="2992"/>
      <c r="F4" s="2992"/>
    </row>
    <row r="5" spans="1:9" ht="16.5">
      <c r="A5" s="2991" t="s">
        <v>2845</v>
      </c>
      <c r="B5" s="2991">
        <f ca="1">SUM(D14:D23)</f>
        <v>47204</v>
      </c>
      <c r="C5" s="2991">
        <f ca="1">ROUND(B5*10000/$B$1,0)</f>
        <v>9627</v>
      </c>
      <c r="D5" s="2991">
        <f ca="1">ROUND(B5*10000/$B$2,0)</f>
        <v>16015</v>
      </c>
      <c r="E5" s="2992"/>
      <c r="F5" s="2992"/>
    </row>
    <row r="6" spans="1:9" ht="16.5">
      <c r="A6" s="2991" t="s">
        <v>2846</v>
      </c>
      <c r="B6" s="2991">
        <f ca="1">SUM(G14:G23)</f>
        <v>60182</v>
      </c>
      <c r="C6" s="2991">
        <f t="shared" ref="C6:C8" ca="1" si="0">ROUND(B6*10000/$B$1,0)</f>
        <v>12274</v>
      </c>
      <c r="D6" s="2991">
        <f t="shared" ref="D6:D8" ca="1" si="1">ROUND(B6*10000/$B$2,0)</f>
        <v>20417</v>
      </c>
      <c r="E6" s="2992"/>
      <c r="F6" s="2992"/>
    </row>
    <row r="7" spans="1:9" ht="16.5">
      <c r="A7" s="2991" t="s">
        <v>2847</v>
      </c>
      <c r="B7" s="2991">
        <f>SUM(H14:H23)</f>
        <v>0</v>
      </c>
      <c r="C7" s="2991">
        <f t="shared" si="0"/>
        <v>0</v>
      </c>
      <c r="D7" s="2991">
        <f t="shared" si="1"/>
        <v>0</v>
      </c>
      <c r="E7" s="2992"/>
      <c r="F7" s="2992"/>
    </row>
    <row r="8" spans="1:9" ht="16.5">
      <c r="A8" s="2991" t="s">
        <v>2848</v>
      </c>
      <c r="B8" s="2991">
        <f>SUM(I14:I23)</f>
        <v>0</v>
      </c>
      <c r="C8" s="2991">
        <f t="shared" si="0"/>
        <v>0</v>
      </c>
      <c r="D8" s="2991">
        <f t="shared" si="1"/>
        <v>0</v>
      </c>
      <c r="E8" s="2992"/>
      <c r="F8" s="2992"/>
    </row>
    <row r="9" spans="1:9" ht="16.5">
      <c r="A9" s="2991" t="s">
        <v>2849</v>
      </c>
      <c r="B9" s="2994"/>
      <c r="C9" s="2992"/>
      <c r="D9" s="2992"/>
      <c r="E9" s="2992"/>
      <c r="F9" s="2992"/>
    </row>
    <row r="10" spans="1:9" ht="16.5">
      <c r="A10" s="2991" t="s">
        <v>2850</v>
      </c>
      <c r="B10" s="2994"/>
      <c r="C10" s="2992"/>
      <c r="D10" s="2992"/>
      <c r="E10" s="2992"/>
      <c r="F10" s="2992"/>
    </row>
    <row r="11" spans="1:9" ht="16.5">
      <c r="A11" s="2991" t="s">
        <v>2867</v>
      </c>
      <c r="B11" s="2994"/>
      <c r="C11" s="2992"/>
      <c r="D11" s="2992"/>
      <c r="E11" s="2992"/>
      <c r="F11" s="2992"/>
    </row>
    <row r="12" spans="1:9" ht="16.5">
      <c r="A12" s="2992"/>
      <c r="B12" s="2992"/>
      <c r="C12" s="2992"/>
      <c r="D12" s="2992"/>
      <c r="E12" s="2992"/>
      <c r="F12" s="2992"/>
    </row>
    <row r="13" spans="1:9" ht="33">
      <c r="A13" s="2997" t="s">
        <v>2866</v>
      </c>
      <c r="B13" s="2995" t="s">
        <v>2838</v>
      </c>
      <c r="C13" s="2995" t="s">
        <v>2839</v>
      </c>
      <c r="D13" s="2995" t="s">
        <v>2851</v>
      </c>
      <c r="E13" s="2991" t="s">
        <v>2865</v>
      </c>
      <c r="F13" s="2991" t="s">
        <v>2844</v>
      </c>
      <c r="G13" s="2995" t="s">
        <v>2852</v>
      </c>
      <c r="H13" s="2995" t="s">
        <v>2853</v>
      </c>
      <c r="I13" s="2995" t="s">
        <v>2854</v>
      </c>
    </row>
    <row r="14" spans="1:9" ht="16.5">
      <c r="A14" s="2998" t="s">
        <v>2864</v>
      </c>
      <c r="B14" s="2995">
        <f>结果表!L38</f>
        <v>49030.880000000005</v>
      </c>
      <c r="C14" s="2995">
        <f>结果表!K38</f>
        <v>29475.73</v>
      </c>
      <c r="D14" s="2995">
        <f ca="1">结果表!C42</f>
        <v>47204</v>
      </c>
      <c r="E14" s="2995">
        <f ca="1">ROUND(D14*10000/B14,0)</f>
        <v>9627</v>
      </c>
      <c r="F14" s="2995">
        <f ca="1">ROUND(D14*10000/C14,0)</f>
        <v>16015</v>
      </c>
      <c r="G14" s="2995">
        <f ca="1">结果表!C44</f>
        <v>47204</v>
      </c>
      <c r="H14" s="2995" t="str">
        <f>结果表!C45</f>
        <v>——</v>
      </c>
      <c r="I14" s="2995" t="str">
        <f>结果表!C46</f>
        <v>——</v>
      </c>
    </row>
    <row r="15" spans="1:9" ht="16.5">
      <c r="A15" s="2998" t="s">
        <v>2855</v>
      </c>
      <c r="B15" s="2999"/>
      <c r="C15" s="2999"/>
      <c r="D15" s="2999"/>
      <c r="E15" s="2995" t="e">
        <f t="shared" ref="E15:E23" si="2">ROUND(D15*10000/B15,0)</f>
        <v>#DIV/0!</v>
      </c>
      <c r="F15" s="2995" t="e">
        <f t="shared" ref="F15:F23" si="3">ROUND(D15*10000/C15,0)</f>
        <v>#DIV/0!</v>
      </c>
      <c r="G15" s="2996">
        <f>[2]系统读取表!$G$14</f>
        <v>12978</v>
      </c>
      <c r="H15" s="2996"/>
      <c r="I15" s="2999"/>
    </row>
    <row r="16" spans="1:9" ht="16.5">
      <c r="A16" s="2998" t="s">
        <v>2856</v>
      </c>
      <c r="B16" s="2999"/>
      <c r="C16" s="2999"/>
      <c r="D16" s="2999"/>
      <c r="E16" s="2995" t="e">
        <f t="shared" si="2"/>
        <v>#DIV/0!</v>
      </c>
      <c r="F16" s="2995" t="e">
        <f t="shared" si="3"/>
        <v>#DIV/0!</v>
      </c>
      <c r="G16" s="2996"/>
      <c r="H16" s="2996"/>
      <c r="I16" s="2999"/>
    </row>
    <row r="17" spans="1:9" ht="16.5">
      <c r="A17" s="2998" t="s">
        <v>2857</v>
      </c>
      <c r="B17" s="2999"/>
      <c r="C17" s="2999"/>
      <c r="D17" s="2999"/>
      <c r="E17" s="2995" t="e">
        <f t="shared" si="2"/>
        <v>#DIV/0!</v>
      </c>
      <c r="F17" s="2995" t="e">
        <f t="shared" si="3"/>
        <v>#DIV/0!</v>
      </c>
      <c r="G17" s="2996"/>
      <c r="H17" s="2996"/>
      <c r="I17" s="2999"/>
    </row>
    <row r="18" spans="1:9" ht="16.5">
      <c r="A18" s="2998" t="s">
        <v>2858</v>
      </c>
      <c r="B18" s="2999"/>
      <c r="C18" s="2999"/>
      <c r="D18" s="2999"/>
      <c r="E18" s="2995" t="e">
        <f t="shared" si="2"/>
        <v>#DIV/0!</v>
      </c>
      <c r="F18" s="2995" t="e">
        <f t="shared" si="3"/>
        <v>#DIV/0!</v>
      </c>
      <c r="G18" s="2999"/>
      <c r="H18" s="2999"/>
      <c r="I18" s="2999"/>
    </row>
    <row r="19" spans="1:9" ht="16.5">
      <c r="A19" s="2998" t="s">
        <v>2859</v>
      </c>
      <c r="B19" s="2999"/>
      <c r="C19" s="2999"/>
      <c r="D19" s="2999"/>
      <c r="E19" s="2995" t="e">
        <f t="shared" si="2"/>
        <v>#DIV/0!</v>
      </c>
      <c r="F19" s="2995" t="e">
        <f t="shared" si="3"/>
        <v>#DIV/0!</v>
      </c>
      <c r="G19" s="2999"/>
      <c r="H19" s="2999"/>
      <c r="I19" s="2999"/>
    </row>
    <row r="20" spans="1:9" ht="16.5">
      <c r="A20" s="2998" t="s">
        <v>2860</v>
      </c>
      <c r="B20" s="2999"/>
      <c r="C20" s="2999"/>
      <c r="D20" s="2999"/>
      <c r="E20" s="2995" t="e">
        <f t="shared" si="2"/>
        <v>#DIV/0!</v>
      </c>
      <c r="F20" s="2995" t="e">
        <f t="shared" si="3"/>
        <v>#DIV/0!</v>
      </c>
      <c r="G20" s="2999"/>
      <c r="H20" s="2999"/>
      <c r="I20" s="2999"/>
    </row>
    <row r="21" spans="1:9" ht="16.5">
      <c r="A21" s="2998" t="s">
        <v>2861</v>
      </c>
      <c r="B21" s="2999"/>
      <c r="C21" s="2999"/>
      <c r="D21" s="2999"/>
      <c r="E21" s="2995" t="e">
        <f t="shared" si="2"/>
        <v>#DIV/0!</v>
      </c>
      <c r="F21" s="2995" t="e">
        <f t="shared" si="3"/>
        <v>#DIV/0!</v>
      </c>
      <c r="G21" s="2999"/>
      <c r="H21" s="2999"/>
      <c r="I21" s="2999"/>
    </row>
    <row r="22" spans="1:9" ht="16.5">
      <c r="A22" s="2998" t="s">
        <v>2862</v>
      </c>
      <c r="B22" s="2999"/>
      <c r="C22" s="2999"/>
      <c r="D22" s="2999"/>
      <c r="E22" s="2995" t="e">
        <f t="shared" si="2"/>
        <v>#DIV/0!</v>
      </c>
      <c r="F22" s="2995" t="e">
        <f t="shared" si="3"/>
        <v>#DIV/0!</v>
      </c>
      <c r="G22" s="2999"/>
      <c r="H22" s="2999"/>
      <c r="I22" s="2999"/>
    </row>
    <row r="23" spans="1:9" ht="16.5">
      <c r="A23" s="2998" t="s">
        <v>2863</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64" zoomScaleNormal="100" zoomScaleSheetLayoutView="100" zoomScalePageLayoutView="80" workbookViewId="0">
      <selection activeCell="N93" sqref="N93"/>
    </sheetView>
  </sheetViews>
  <sheetFormatPr defaultColWidth="12.625" defaultRowHeight="21.75" customHeight="1"/>
  <cols>
    <col min="1" max="2" width="12.75" style="1244" bestFit="1" customWidth="1"/>
    <col min="3" max="4" width="12.625" style="1244" customWidth="1"/>
    <col min="5" max="8" width="12.75" style="1244" bestFit="1" customWidth="1"/>
    <col min="9" max="9" width="14.375" style="1244" customWidth="1"/>
    <col min="10" max="10" width="3.37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7" t="s">
        <v>2052</v>
      </c>
      <c r="B1" s="1758"/>
      <c r="C1" s="1786" t="s">
        <v>2053</v>
      </c>
      <c r="D1" s="1787" t="s">
        <v>3543</v>
      </c>
      <c r="E1" s="1786" t="s">
        <v>2054</v>
      </c>
      <c r="F1" s="1788" t="s">
        <v>3544</v>
      </c>
      <c r="G1" s="309"/>
      <c r="H1" s="309"/>
      <c r="I1" s="309"/>
      <c r="J1" s="2009"/>
      <c r="K1" s="2009"/>
      <c r="L1" s="2009"/>
      <c r="M1" s="2009"/>
      <c r="N1" s="2009"/>
      <c r="O1" s="2009"/>
      <c r="P1" s="2009"/>
      <c r="Q1" s="2009"/>
      <c r="R1" s="2009"/>
      <c r="S1" s="2009"/>
      <c r="T1" s="2009"/>
      <c r="U1" s="2009"/>
      <c r="V1" s="2009"/>
    </row>
    <row r="2" spans="1:22" ht="21.75" customHeight="1" thickBot="1">
      <c r="A2" s="3726" t="str">
        <f>项目基本情况!K2</f>
        <v>出让国有建设用地使用权</v>
      </c>
      <c r="B2" s="3727"/>
      <c r="C2" s="3728"/>
      <c r="D2" s="3728"/>
      <c r="E2" s="3728"/>
      <c r="F2" s="3728"/>
      <c r="G2" s="3727"/>
      <c r="H2" s="3727"/>
      <c r="I2" s="3729"/>
      <c r="J2" s="2010"/>
      <c r="K2" s="2009"/>
      <c r="L2" s="2009"/>
      <c r="M2" s="2009"/>
      <c r="N2" s="2009"/>
      <c r="O2" s="2009"/>
      <c r="P2" s="2009"/>
      <c r="Q2" s="2009"/>
      <c r="R2" s="2009"/>
      <c r="S2" s="2009"/>
      <c r="T2" s="2009"/>
      <c r="U2" s="2009"/>
      <c r="V2" s="2009"/>
    </row>
    <row r="3" spans="1:22" ht="14.25">
      <c r="A3" s="3718" t="s">
        <v>298</v>
      </c>
      <c r="B3" s="3719"/>
      <c r="C3" s="3719"/>
      <c r="D3" s="3719"/>
      <c r="E3" s="3719"/>
      <c r="F3" s="3719"/>
      <c r="G3" s="3719"/>
      <c r="H3" s="3719"/>
      <c r="I3" s="3719"/>
      <c r="J3" s="2010"/>
      <c r="K3" s="2009"/>
      <c r="L3" s="2009"/>
      <c r="M3" s="2009"/>
      <c r="N3" s="2009"/>
      <c r="O3" s="2009"/>
      <c r="P3" s="2009"/>
      <c r="Q3" s="2009"/>
      <c r="R3" s="2009"/>
      <c r="S3" s="2009"/>
      <c r="T3" s="2009"/>
      <c r="U3" s="2009"/>
      <c r="V3" s="2009"/>
    </row>
    <row r="4" spans="1:22" ht="14.25">
      <c r="A4" s="256" t="s">
        <v>299</v>
      </c>
      <c r="B4" s="257" t="s">
        <v>300</v>
      </c>
      <c r="C4" s="258" t="s">
        <v>3517</v>
      </c>
      <c r="D4" s="258" t="s">
        <v>3518</v>
      </c>
      <c r="E4" s="3687" t="s">
        <v>301</v>
      </c>
      <c r="F4" s="3688"/>
      <c r="G4" s="3688"/>
      <c r="H4" s="3688"/>
      <c r="I4" s="3721"/>
      <c r="J4" s="2010"/>
      <c r="K4" s="2009"/>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09"/>
      <c r="O4" s="2009"/>
      <c r="P4" s="2009"/>
      <c r="Q4" s="2009"/>
      <c r="R4" s="2009"/>
      <c r="S4" s="2009"/>
      <c r="T4" s="2009"/>
      <c r="U4" s="2009"/>
      <c r="V4" s="2009"/>
    </row>
    <row r="5" spans="1:22" ht="14.25">
      <c r="A5" s="3686" t="s">
        <v>302</v>
      </c>
      <c r="B5" s="3712">
        <v>25</v>
      </c>
      <c r="C5" s="3710"/>
      <c r="D5" s="3717"/>
      <c r="E5" s="259" t="s">
        <v>303</v>
      </c>
      <c r="F5" s="260"/>
      <c r="G5" s="260"/>
      <c r="H5" s="260"/>
      <c r="I5" s="261"/>
      <c r="J5" s="2010"/>
      <c r="K5" s="2009"/>
      <c r="L5" s="2009"/>
      <c r="M5" s="2009"/>
      <c r="N5" s="2009"/>
      <c r="O5" s="2009"/>
      <c r="P5" s="2009"/>
      <c r="Q5" s="2009"/>
      <c r="R5" s="2009"/>
      <c r="S5" s="2009"/>
      <c r="T5" s="2009"/>
      <c r="U5" s="2009"/>
      <c r="V5" s="2009"/>
    </row>
    <row r="6" spans="1:22" ht="14.25">
      <c r="A6" s="3686"/>
      <c r="B6" s="3712"/>
      <c r="C6" s="3720"/>
      <c r="D6" s="3717"/>
      <c r="E6" s="259" t="s">
        <v>304</v>
      </c>
      <c r="F6" s="260"/>
      <c r="G6" s="260"/>
      <c r="H6" s="260"/>
      <c r="I6" s="261"/>
      <c r="J6" s="2010"/>
      <c r="K6" s="2009"/>
      <c r="L6" s="2009"/>
      <c r="M6" s="2009"/>
      <c r="N6" s="2009"/>
      <c r="O6" s="2009"/>
      <c r="P6" s="2009"/>
      <c r="Q6" s="2009"/>
      <c r="R6" s="2009"/>
      <c r="S6" s="2009"/>
      <c r="T6" s="2009"/>
      <c r="U6" s="2009"/>
      <c r="V6" s="2009"/>
    </row>
    <row r="7" spans="1:22" ht="14.25">
      <c r="A7" s="3686"/>
      <c r="B7" s="3712"/>
      <c r="C7" s="3711"/>
      <c r="D7" s="3717"/>
      <c r="E7" s="259" t="s">
        <v>305</v>
      </c>
      <c r="F7" s="260"/>
      <c r="G7" s="260"/>
      <c r="H7" s="260"/>
      <c r="I7" s="261"/>
      <c r="J7" s="2010"/>
      <c r="K7" s="2009"/>
      <c r="L7" s="2009"/>
      <c r="M7" s="2009"/>
      <c r="N7" s="2009"/>
      <c r="O7" s="2009"/>
      <c r="P7" s="2009"/>
      <c r="Q7" s="2009"/>
      <c r="R7" s="2009"/>
      <c r="S7" s="2009"/>
      <c r="T7" s="2009"/>
      <c r="U7" s="2009"/>
      <c r="V7" s="2009"/>
    </row>
    <row r="8" spans="1:22" ht="14.25">
      <c r="A8" s="3686" t="s">
        <v>306</v>
      </c>
      <c r="B8" s="3712">
        <v>15</v>
      </c>
      <c r="C8" s="3710"/>
      <c r="D8" s="3717"/>
      <c r="E8" s="259" t="s">
        <v>307</v>
      </c>
      <c r="F8" s="260"/>
      <c r="G8" s="260"/>
      <c r="H8" s="260"/>
      <c r="I8" s="261"/>
      <c r="J8" s="2010"/>
      <c r="K8" s="2009"/>
      <c r="L8" s="2009"/>
      <c r="M8" s="2009"/>
      <c r="N8" s="2009"/>
      <c r="O8" s="2009"/>
      <c r="P8" s="2009"/>
      <c r="Q8" s="2009"/>
      <c r="R8" s="2009"/>
      <c r="S8" s="2009"/>
      <c r="T8" s="2009"/>
      <c r="U8" s="2009"/>
      <c r="V8" s="2009"/>
    </row>
    <row r="9" spans="1:22" ht="14.25">
      <c r="A9" s="3686"/>
      <c r="B9" s="3712"/>
      <c r="C9" s="3711"/>
      <c r="D9" s="3717"/>
      <c r="E9" s="259" t="s">
        <v>308</v>
      </c>
      <c r="F9" s="260"/>
      <c r="G9" s="260"/>
      <c r="H9" s="260"/>
      <c r="I9" s="261"/>
      <c r="J9" s="2010"/>
      <c r="K9" s="2009"/>
      <c r="L9" s="2009"/>
      <c r="M9" s="2009"/>
      <c r="N9" s="2009"/>
      <c r="O9" s="2009"/>
      <c r="P9" s="2009"/>
      <c r="Q9" s="2009"/>
      <c r="R9" s="2009"/>
      <c r="S9" s="2009"/>
      <c r="T9" s="2009"/>
      <c r="U9" s="2009"/>
      <c r="V9" s="2009"/>
    </row>
    <row r="10" spans="1:22" ht="14.25">
      <c r="A10" s="3686" t="s">
        <v>309</v>
      </c>
      <c r="B10" s="3712">
        <v>15</v>
      </c>
      <c r="C10" s="3710"/>
      <c r="D10" s="3717"/>
      <c r="E10" s="259" t="s">
        <v>310</v>
      </c>
      <c r="F10" s="260"/>
      <c r="G10" s="260"/>
      <c r="H10" s="260"/>
      <c r="I10" s="261"/>
      <c r="J10" s="2010"/>
      <c r="K10" s="2009"/>
      <c r="L10" s="2009"/>
      <c r="M10" s="2009"/>
      <c r="N10" s="2009"/>
      <c r="O10" s="2009"/>
      <c r="P10" s="2009"/>
      <c r="Q10" s="2009"/>
      <c r="R10" s="2009"/>
      <c r="S10" s="2009"/>
      <c r="T10" s="2009"/>
      <c r="U10" s="2009"/>
      <c r="V10" s="2009"/>
    </row>
    <row r="11" spans="1:22" ht="14.25">
      <c r="A11" s="3686"/>
      <c r="B11" s="3712"/>
      <c r="C11" s="3711"/>
      <c r="D11" s="3717"/>
      <c r="E11" s="259" t="s">
        <v>311</v>
      </c>
      <c r="F11" s="260"/>
      <c r="G11" s="260"/>
      <c r="H11" s="260"/>
      <c r="I11" s="261"/>
      <c r="J11" s="2010"/>
      <c r="K11" s="2009"/>
      <c r="L11" s="2009"/>
      <c r="M11" s="2009"/>
      <c r="N11" s="2009"/>
      <c r="O11" s="2009"/>
      <c r="P11" s="2009"/>
      <c r="Q11" s="2009"/>
      <c r="R11" s="2009"/>
      <c r="S11" s="2009"/>
      <c r="T11" s="2009"/>
      <c r="U11" s="2009"/>
      <c r="V11" s="2009"/>
    </row>
    <row r="12" spans="1:22" ht="14.25">
      <c r="A12" s="3686" t="s">
        <v>312</v>
      </c>
      <c r="B12" s="3712">
        <v>15</v>
      </c>
      <c r="C12" s="3710"/>
      <c r="D12" s="3717"/>
      <c r="E12" s="259" t="s">
        <v>313</v>
      </c>
      <c r="F12" s="260"/>
      <c r="G12" s="260"/>
      <c r="H12" s="260"/>
      <c r="I12" s="261"/>
      <c r="J12" s="2010"/>
      <c r="K12" s="2009"/>
      <c r="L12" s="2009"/>
      <c r="M12" s="2009"/>
      <c r="N12" s="2009"/>
      <c r="O12" s="2009"/>
      <c r="P12" s="2009"/>
      <c r="Q12" s="2009"/>
      <c r="R12" s="2009"/>
      <c r="S12" s="2009"/>
      <c r="T12" s="2009"/>
      <c r="U12" s="2009"/>
      <c r="V12" s="2009"/>
    </row>
    <row r="13" spans="1:22" ht="14.25">
      <c r="A13" s="3686"/>
      <c r="B13" s="3712"/>
      <c r="C13" s="3711"/>
      <c r="D13" s="3717"/>
      <c r="E13" s="259" t="s">
        <v>314</v>
      </c>
      <c r="F13" s="260"/>
      <c r="G13" s="260"/>
      <c r="H13" s="260"/>
      <c r="I13" s="261"/>
      <c r="J13" s="2010"/>
      <c r="K13" s="2009"/>
      <c r="L13" s="2009"/>
      <c r="M13" s="2009"/>
      <c r="N13" s="2009"/>
      <c r="O13" s="2009"/>
      <c r="P13" s="2009"/>
      <c r="Q13" s="2009"/>
      <c r="R13" s="2009"/>
      <c r="S13" s="2009"/>
      <c r="T13" s="2009"/>
      <c r="U13" s="2009"/>
      <c r="V13" s="2009"/>
    </row>
    <row r="14" spans="1:22" ht="14.25">
      <c r="A14" s="3686" t="s">
        <v>315</v>
      </c>
      <c r="B14" s="3712">
        <v>30</v>
      </c>
      <c r="C14" s="3713">
        <v>6</v>
      </c>
      <c r="D14" s="3716">
        <v>4</v>
      </c>
      <c r="E14" s="259" t="s">
        <v>316</v>
      </c>
      <c r="F14" s="260"/>
      <c r="G14" s="260"/>
      <c r="H14" s="260"/>
      <c r="I14" s="261"/>
      <c r="J14" s="2010"/>
      <c r="K14" s="2009"/>
      <c r="L14" s="2009"/>
      <c r="M14" s="2009"/>
      <c r="N14" s="2009"/>
      <c r="O14" s="2009"/>
      <c r="P14" s="2009"/>
      <c r="Q14" s="2009"/>
      <c r="R14" s="2009"/>
      <c r="S14" s="2009"/>
      <c r="T14" s="2009"/>
      <c r="U14" s="2009"/>
      <c r="V14" s="2009"/>
    </row>
    <row r="15" spans="1:22" ht="14.25">
      <c r="A15" s="3686"/>
      <c r="B15" s="3712"/>
      <c r="C15" s="3714"/>
      <c r="D15" s="3716"/>
      <c r="E15" s="259" t="s">
        <v>317</v>
      </c>
      <c r="F15" s="260"/>
      <c r="G15" s="260"/>
      <c r="H15" s="260"/>
      <c r="I15" s="261"/>
      <c r="J15" s="2010"/>
      <c r="K15" s="2009"/>
      <c r="L15" s="2009"/>
      <c r="M15" s="2009"/>
      <c r="N15" s="2009"/>
      <c r="O15" s="2009"/>
      <c r="P15" s="2009"/>
      <c r="Q15" s="2009"/>
      <c r="R15" s="2009"/>
      <c r="S15" s="2009"/>
      <c r="T15" s="2009"/>
      <c r="U15" s="2009"/>
      <c r="V15" s="2009"/>
    </row>
    <row r="16" spans="1:22" ht="14.25">
      <c r="A16" s="3686"/>
      <c r="B16" s="3712"/>
      <c r="C16" s="3715"/>
      <c r="D16" s="3716"/>
      <c r="E16" s="259" t="s">
        <v>318</v>
      </c>
      <c r="F16" s="260"/>
      <c r="G16" s="260"/>
      <c r="H16" s="260"/>
      <c r="I16" s="261"/>
      <c r="J16" s="2010"/>
      <c r="K16" s="2009"/>
      <c r="L16" s="2009"/>
      <c r="M16" s="2009"/>
      <c r="N16" s="2009"/>
      <c r="O16" s="2009"/>
      <c r="P16" s="2009"/>
      <c r="Q16" s="2009"/>
      <c r="R16" s="2009"/>
      <c r="S16" s="2009"/>
      <c r="T16" s="2009"/>
      <c r="U16" s="2009"/>
      <c r="V16" s="2009"/>
    </row>
    <row r="17" spans="1:26" ht="15">
      <c r="A17" s="262" t="s">
        <v>319</v>
      </c>
      <c r="B17" s="142"/>
      <c r="C17" s="263">
        <f>SUM(C5:C16)</f>
        <v>6</v>
      </c>
      <c r="D17" s="263">
        <f>SUM(D5:D16)</f>
        <v>4</v>
      </c>
      <c r="E17" s="309"/>
      <c r="F17" s="309"/>
      <c r="G17" s="309"/>
      <c r="H17" s="309"/>
      <c r="I17" s="309"/>
      <c r="J17" s="2010"/>
      <c r="K17" s="2009"/>
      <c r="L17" s="2009"/>
      <c r="M17" s="2009"/>
      <c r="N17" s="2009"/>
      <c r="O17" s="2009"/>
      <c r="P17" s="2009"/>
      <c r="Q17" s="2009"/>
      <c r="R17" s="2009"/>
      <c r="S17" s="2009"/>
      <c r="T17" s="2009"/>
      <c r="U17" s="2009"/>
      <c r="V17" s="2009"/>
    </row>
    <row r="18" spans="1:26" ht="15.75" thickBot="1">
      <c r="A18" s="264" t="s">
        <v>320</v>
      </c>
      <c r="B18" s="103"/>
      <c r="C18" s="265">
        <f>ROUND(C17/SUM(C17:D17),2)</f>
        <v>0.6</v>
      </c>
      <c r="D18" s="265">
        <f>1-C18</f>
        <v>0.4</v>
      </c>
      <c r="E18" s="309"/>
      <c r="F18" s="309"/>
      <c r="G18" s="309"/>
      <c r="H18" s="309"/>
      <c r="I18" s="309"/>
      <c r="J18" s="2009"/>
      <c r="K18" s="2009"/>
      <c r="L18" s="2009"/>
      <c r="M18" s="2009"/>
      <c r="N18" s="2009"/>
      <c r="O18" s="2009"/>
      <c r="P18" s="2009"/>
      <c r="Q18" s="2009"/>
      <c r="R18" s="2009"/>
      <c r="S18" s="2009"/>
      <c r="T18" s="2009"/>
      <c r="U18" s="2009"/>
      <c r="V18" s="2009"/>
    </row>
    <row r="19" spans="1:26" ht="15">
      <c r="A19" s="266" t="s">
        <v>321</v>
      </c>
      <c r="B19" s="267" t="s">
        <v>322</v>
      </c>
      <c r="C19" s="268">
        <f ca="1">SUMIF(INDIRECT("'"&amp;C4&amp;"'"&amp;"!A:A"),结果表!B19,INDIRECT("'"&amp;C4&amp;"'"&amp;"!B:B"))</f>
        <v>66891</v>
      </c>
      <c r="D19" s="269">
        <f ca="1">SUMIF(INDIRECT("'"&amp;D4&amp;"'"&amp;"!A:A"),结果表!B19,INDIRECT("'"&amp;D4&amp;"'"&amp;"!B:B"))</f>
        <v>17674</v>
      </c>
      <c r="E19" s="266" t="s">
        <v>323</v>
      </c>
      <c r="F19" s="267" t="s">
        <v>322</v>
      </c>
      <c r="G19" s="270">
        <f ca="1">ROUND(C19*$C$18+D19*$D$18,0)</f>
        <v>47204</v>
      </c>
      <c r="H19" s="271" t="s">
        <v>324</v>
      </c>
      <c r="I19" s="309"/>
      <c r="J19" s="2009"/>
      <c r="K19" s="2009"/>
      <c r="L19" s="2009"/>
      <c r="M19" s="2009"/>
      <c r="N19" s="2009"/>
      <c r="O19" s="2009"/>
      <c r="P19" s="2009"/>
      <c r="Q19" s="2009"/>
      <c r="R19" s="2009"/>
      <c r="S19" s="2009"/>
      <c r="T19" s="2009"/>
      <c r="U19" s="2009"/>
      <c r="V19" s="2009"/>
    </row>
    <row r="20" spans="1:26" ht="15">
      <c r="A20" s="272"/>
      <c r="B20" s="273" t="s">
        <v>325</v>
      </c>
      <c r="C20" s="274">
        <f ca="1">SUMIF(INDIRECT("'"&amp;C4&amp;"'"&amp;"!A:A"),结果表!B20,INDIRECT("'"&amp;C4&amp;"'"&amp;"!B:B"))</f>
        <v>13643</v>
      </c>
      <c r="D20" s="275">
        <f ca="1">SUMIF(INDIRECT("'"&amp;D4&amp;"'"&amp;"!A:A"),结果表!B20,INDIRECT("'"&amp;D4&amp;"'"&amp;"!B:B"))</f>
        <v>3605</v>
      </c>
      <c r="E20" s="272"/>
      <c r="F20" s="273" t="s">
        <v>325</v>
      </c>
      <c r="G20" s="276">
        <f ca="1">ROUND(C20*$C$18+D20*$D$18,0)</f>
        <v>9628</v>
      </c>
      <c r="H20" s="277" t="s">
        <v>326</v>
      </c>
      <c r="I20" s="309"/>
      <c r="J20" s="2009"/>
      <c r="K20" s="2009"/>
      <c r="L20" s="2009"/>
      <c r="M20" s="2009"/>
      <c r="N20" s="2009"/>
      <c r="O20" s="2009"/>
      <c r="P20" s="2009"/>
      <c r="Q20" s="2009"/>
      <c r="R20" s="2009"/>
      <c r="S20" s="2009"/>
      <c r="T20" s="2009"/>
      <c r="U20" s="2009"/>
      <c r="V20" s="2009"/>
    </row>
    <row r="21" spans="1:26" ht="15" customHeight="1">
      <c r="A21" s="272"/>
      <c r="B21" s="278" t="s">
        <v>327</v>
      </c>
      <c r="C21" s="279">
        <f ca="1">SUMIF(INDIRECT("'"&amp;C4&amp;"'"&amp;"!A:A"),结果表!B21,INDIRECT("'"&amp;C4&amp;"'"&amp;"!B:B"))</f>
        <v>22694</v>
      </c>
      <c r="D21" s="149">
        <f ca="1">SUMIF(INDIRECT("'"&amp;D4&amp;"'"&amp;"!A:A"),结果表!B21,INDIRECT("'"&amp;D4&amp;"'"&amp;"!B:B"))</f>
        <v>5996</v>
      </c>
      <c r="E21" s="272"/>
      <c r="F21" s="278" t="s">
        <v>327</v>
      </c>
      <c r="G21" s="280">
        <f ca="1">ROUND(C21*$C$18+D21*$D$18,0)</f>
        <v>16015</v>
      </c>
      <c r="H21" s="1245" t="s">
        <v>326</v>
      </c>
      <c r="I21" s="309"/>
      <c r="J21" s="2009"/>
      <c r="K21" s="2009"/>
      <c r="L21" s="2009"/>
      <c r="M21" s="2009"/>
      <c r="N21" s="2009"/>
      <c r="O21" s="2009"/>
      <c r="P21" s="2009"/>
      <c r="Q21" s="2009"/>
      <c r="R21" s="2009"/>
      <c r="S21" s="2009"/>
      <c r="T21" s="2009"/>
      <c r="U21" s="2009"/>
      <c r="V21" s="2009"/>
    </row>
    <row r="22" spans="1:26" ht="15.75" thickBot="1">
      <c r="A22" s="124" t="s">
        <v>328</v>
      </c>
      <c r="B22" s="1246"/>
      <c r="C22" s="1247"/>
      <c r="D22" s="281">
        <f ca="1">IF(C19&lt;D19,D19/C19-1,C19/D19-1)</f>
        <v>2.7847120063369921</v>
      </c>
      <c r="E22" s="282"/>
      <c r="F22" s="283"/>
      <c r="G22" s="284">
        <f ca="1">ROUND(G19/('数据-汇总表'!D3/666.67),0)</f>
        <v>1068</v>
      </c>
      <c r="H22" s="285" t="s">
        <v>329</v>
      </c>
      <c r="I22" s="309"/>
      <c r="J22" s="2009"/>
      <c r="K22" s="2009"/>
      <c r="L22" s="2009"/>
      <c r="M22" s="2009"/>
      <c r="N22" s="2009"/>
      <c r="O22" s="2009"/>
      <c r="P22" s="2009"/>
      <c r="Q22" s="2009"/>
      <c r="R22" s="2009"/>
      <c r="S22" s="2009"/>
      <c r="T22" s="2009"/>
      <c r="U22" s="2009"/>
      <c r="V22" s="2009"/>
    </row>
    <row r="23" spans="1:26" ht="13.5" thickBot="1">
      <c r="A23" s="309"/>
      <c r="B23" s="309"/>
      <c r="C23" s="309"/>
      <c r="D23" s="309"/>
      <c r="E23" s="309"/>
      <c r="F23" s="309"/>
      <c r="G23" s="309"/>
      <c r="H23" s="309"/>
      <c r="I23" s="309"/>
      <c r="J23" s="2009"/>
      <c r="K23" s="2009"/>
      <c r="L23" s="2009"/>
      <c r="M23" s="2009"/>
      <c r="N23" s="2009"/>
      <c r="O23" s="2009"/>
      <c r="P23" s="2009"/>
      <c r="Q23" s="2009"/>
      <c r="R23" s="2009"/>
      <c r="S23" s="2009"/>
      <c r="T23" s="2009"/>
      <c r="U23" s="2009"/>
      <c r="V23" s="2009"/>
    </row>
    <row r="24" spans="1:26" ht="15" thickBot="1">
      <c r="A24" s="3692" t="s">
        <v>330</v>
      </c>
      <c r="B24" s="267" t="s">
        <v>322</v>
      </c>
      <c r="C24" s="286">
        <f>IF(B30=0,0,D30)</f>
        <v>0</v>
      </c>
      <c r="D24" s="287"/>
      <c r="E24" s="309"/>
      <c r="F24" s="309"/>
      <c r="G24" s="309"/>
      <c r="H24" s="309"/>
      <c r="I24" s="309"/>
      <c r="J24" s="2009"/>
      <c r="K24" s="2009"/>
      <c r="L24" s="2009"/>
      <c r="M24" s="2009"/>
      <c r="N24" s="2009"/>
      <c r="O24" s="2009"/>
      <c r="P24" s="2009"/>
      <c r="Q24" s="2009"/>
      <c r="R24" s="2009"/>
      <c r="S24" s="2009"/>
      <c r="T24" s="2009"/>
      <c r="U24" s="2009"/>
      <c r="V24" s="2009"/>
    </row>
    <row r="25" spans="1:26" ht="18">
      <c r="A25" s="3693"/>
      <c r="B25" s="1315" t="s">
        <v>331</v>
      </c>
      <c r="C25" s="288">
        <f>IF(B30=0,0,C30)</f>
        <v>0</v>
      </c>
      <c r="D25" s="289"/>
      <c r="E25" s="309"/>
      <c r="F25" s="309"/>
      <c r="G25" s="309"/>
      <c r="H25" s="309"/>
      <c r="I25" s="309"/>
      <c r="J25" s="2009"/>
      <c r="K25" s="1249" t="str">
        <f ca="1">项目基本情况!B16&amp;"国有建设用地使用权价格："&amp;O38&amp;"万元"</f>
        <v>出让国有建设用地使用权价格：47204万元</v>
      </c>
      <c r="L25" s="1250"/>
      <c r="M25" s="1250"/>
      <c r="N25" s="1250"/>
      <c r="O25" s="1251"/>
      <c r="P25" s="2009"/>
      <c r="Q25" s="2009"/>
      <c r="R25" s="2009"/>
      <c r="S25" s="2009"/>
      <c r="T25" s="2009"/>
      <c r="U25" s="2009"/>
      <c r="V25" s="2009"/>
    </row>
    <row r="26" spans="1:26" s="1248" customFormat="1" ht="18">
      <c r="A26" s="291" t="s">
        <v>332</v>
      </c>
      <c r="B26" s="292" t="s">
        <v>333</v>
      </c>
      <c r="C26" s="292" t="s">
        <v>334</v>
      </c>
      <c r="D26" s="293" t="s">
        <v>335</v>
      </c>
      <c r="E26" s="309"/>
      <c r="F26" s="309"/>
      <c r="G26" s="309"/>
      <c r="H26" s="309"/>
      <c r="I26" s="309"/>
      <c r="J26" s="2009"/>
      <c r="K26" s="1252" t="str">
        <f ca="1">"大写金额：人民币"&amp;NUMBERSTRING(INT(O38*10000),2)&amp;"元整"</f>
        <v>大写金额：人民币肆亿柒仟贰佰零肆万元整</v>
      </c>
      <c r="L26" s="1246"/>
      <c r="M26" s="1246"/>
      <c r="N26" s="1246"/>
      <c r="O26" s="1245"/>
      <c r="P26" s="2009"/>
      <c r="Q26" s="2009"/>
      <c r="R26" s="2009"/>
      <c r="S26" s="2009"/>
      <c r="T26" s="2009"/>
      <c r="U26" s="2009"/>
      <c r="V26" s="2009"/>
      <c r="W26" s="290"/>
      <c r="X26" s="290"/>
      <c r="Y26" s="290"/>
      <c r="Z26" s="290"/>
    </row>
    <row r="27" spans="1:26" ht="18">
      <c r="A27" s="291"/>
      <c r="B27" s="292"/>
      <c r="C27" s="292"/>
      <c r="D27" s="293"/>
      <c r="E27" s="309"/>
      <c r="F27" s="309"/>
      <c r="G27" s="309"/>
      <c r="H27" s="309"/>
      <c r="I27" s="309"/>
      <c r="J27" s="2009"/>
      <c r="K27" s="1252" t="str">
        <f ca="1">"单位面积地价："&amp;M38&amp;"元/平方米"</f>
        <v>单位面积地价：16015元/平方米</v>
      </c>
      <c r="L27" s="1246"/>
      <c r="M27" s="1246"/>
      <c r="N27" s="1246"/>
      <c r="O27" s="1245"/>
      <c r="P27" s="2009"/>
      <c r="Q27" s="2009"/>
      <c r="R27" s="2009"/>
      <c r="S27" s="2009"/>
      <c r="T27" s="2009"/>
      <c r="U27" s="2009"/>
      <c r="V27" s="2009"/>
    </row>
    <row r="28" spans="1:26" ht="18.75" customHeight="1">
      <c r="A28" s="291"/>
      <c r="B28" s="292"/>
      <c r="C28" s="292"/>
      <c r="D28" s="293"/>
      <c r="E28" s="309"/>
      <c r="F28" s="309"/>
      <c r="G28" s="309"/>
      <c r="H28" s="309"/>
      <c r="I28" s="309"/>
      <c r="J28" s="2009"/>
      <c r="K28" s="1252" t="str">
        <f ca="1">"楼面地价："&amp;N38&amp;"元/平方米"</f>
        <v>楼面地价：9627元/平方米</v>
      </c>
      <c r="L28" s="1246"/>
      <c r="M28" s="1246"/>
      <c r="N28" s="1246"/>
      <c r="O28" s="1245"/>
      <c r="P28" s="2009"/>
      <c r="V28" s="2009"/>
    </row>
    <row r="29" spans="1:26" ht="18">
      <c r="A29" s="291"/>
      <c r="B29" s="292"/>
      <c r="C29" s="292"/>
      <c r="D29" s="293"/>
      <c r="E29" s="309"/>
      <c r="F29" s="309"/>
      <c r="G29" s="309"/>
      <c r="H29" s="309"/>
      <c r="I29" s="309"/>
      <c r="J29" s="2009"/>
      <c r="K29" s="1252" t="str">
        <f ca="1">IF(OR(项目基本情况!E8="抵押价格",项目基本情况!E8="已注销及未注销"),"抵押价格："&amp;O39&amp;"万元","——")</f>
        <v>抵押价格：47204万元</v>
      </c>
      <c r="L29" s="1246"/>
      <c r="M29" s="1246"/>
      <c r="N29" s="1246"/>
      <c r="O29" s="1245"/>
      <c r="P29" s="2009"/>
      <c r="V29" s="2009"/>
    </row>
    <row r="30" spans="1:26" ht="18.75" thickBot="1">
      <c r="A30" s="3076" t="s">
        <v>336</v>
      </c>
      <c r="B30" s="307"/>
      <c r="C30" s="307"/>
      <c r="D30" s="308"/>
      <c r="E30" s="3077" t="s">
        <v>2962</v>
      </c>
      <c r="F30" s="309"/>
      <c r="G30" s="309"/>
      <c r="H30" s="309"/>
      <c r="I30" s="309"/>
      <c r="J30" s="2009"/>
      <c r="K30" s="1252" t="str">
        <f ca="1">IF(K29="——","——","大写金额：人民币"&amp;NUMBERSTRING(INT(O39*10000),2)&amp;"元整")</f>
        <v>大写金额：人民币肆亿柒仟贰佰零肆万元整</v>
      </c>
      <c r="L30" s="1246"/>
      <c r="M30" s="1246"/>
      <c r="N30" s="1246"/>
      <c r="O30" s="1245"/>
      <c r="P30" s="2009"/>
      <c r="V30" s="2009"/>
    </row>
    <row r="31" spans="1:26" ht="24" customHeight="1" thickBot="1">
      <c r="A31" s="309"/>
      <c r="B31" s="309"/>
      <c r="C31" s="309"/>
      <c r="D31" s="309"/>
      <c r="E31" s="309"/>
      <c r="F31" s="309"/>
      <c r="G31" s="309"/>
      <c r="H31" s="309"/>
      <c r="I31" s="309"/>
      <c r="J31" s="2009"/>
      <c r="K31" s="2428" t="str">
        <f>IF(项目基本情况!E8="抵押价格","——","抵押担保权已注销时的抵押价格："&amp;O40&amp;"万元")</f>
        <v>——</v>
      </c>
      <c r="L31" s="2424"/>
      <c r="M31" s="2424"/>
      <c r="N31" s="2424"/>
      <c r="O31" s="2425"/>
      <c r="P31" s="2009"/>
      <c r="V31" s="2009"/>
    </row>
    <row r="32" spans="1:26" ht="18.75" thickBot="1">
      <c r="A32" s="266" t="s">
        <v>337</v>
      </c>
      <c r="B32" s="1374" t="s">
        <v>1685</v>
      </c>
      <c r="C32" s="1375">
        <f ca="1">G19-C24</f>
        <v>47204</v>
      </c>
      <c r="D32" s="1376" t="s">
        <v>1686</v>
      </c>
      <c r="E32" s="309"/>
      <c r="F32" s="309"/>
      <c r="G32" s="309"/>
      <c r="H32" s="309"/>
      <c r="I32" s="309"/>
      <c r="J32" s="2009"/>
      <c r="K32" s="2423" t="str">
        <f>IF(K31="——","——","大写金额：人民币"&amp;NUMBERSTRING(INT(O40*10000),2)&amp;"元整")</f>
        <v>——</v>
      </c>
      <c r="L32" s="2426"/>
      <c r="M32" s="2426"/>
      <c r="N32" s="2426"/>
      <c r="O32" s="2427"/>
      <c r="P32" s="2009"/>
      <c r="V32" s="2009"/>
    </row>
    <row r="33" spans="1:26" ht="18.75" thickBot="1">
      <c r="A33" s="296" t="s">
        <v>340</v>
      </c>
      <c r="B33" s="1377" t="s">
        <v>1687</v>
      </c>
      <c r="C33" s="262">
        <f ca="1">ROUND(C32*10000/'数据-汇总表'!E3,0)</f>
        <v>9627</v>
      </c>
      <c r="D33" s="1378" t="s">
        <v>1688</v>
      </c>
      <c r="E33" s="3692" t="s">
        <v>338</v>
      </c>
      <c r="F33" s="294" t="s">
        <v>339</v>
      </c>
      <c r="G33" s="295"/>
      <c r="H33" s="978"/>
      <c r="I33" s="1253"/>
      <c r="J33" s="2009"/>
      <c r="K33" s="1252" t="str">
        <f>IF(项目基本情况!E9="——","——","抵押净值："&amp;C46&amp;"万元")</f>
        <v>抵押净值：——万元</v>
      </c>
      <c r="L33" s="1246"/>
      <c r="M33" s="1246"/>
      <c r="N33" s="1246"/>
      <c r="O33" s="1245"/>
      <c r="P33" s="2009"/>
      <c r="V33" s="2009"/>
    </row>
    <row r="34" spans="1:26" s="1248" customFormat="1" ht="18.75" thickBot="1">
      <c r="A34" s="298"/>
      <c r="B34" s="1379" t="s">
        <v>1689</v>
      </c>
      <c r="C34" s="262">
        <f ca="1">ROUND(C32*10000/'数据-汇总表'!D3,0)</f>
        <v>16015</v>
      </c>
      <c r="D34" s="1380" t="s">
        <v>1688</v>
      </c>
      <c r="E34" s="3737"/>
      <c r="F34" s="125" t="s">
        <v>341</v>
      </c>
      <c r="G34" s="297"/>
      <c r="H34" s="103"/>
      <c r="I34" s="309"/>
      <c r="J34" s="2009"/>
      <c r="K34" s="1255" t="e">
        <f>IF(K33="——","——","大写金额：人民币"&amp;NUMBERSTRING(INT(O41*10000),2)&amp;"元整")</f>
        <v>#VALUE!</v>
      </c>
      <c r="L34" s="1256"/>
      <c r="M34" s="1256"/>
      <c r="N34" s="1256"/>
      <c r="O34" s="1257"/>
      <c r="P34" s="2009"/>
      <c r="Q34" s="290"/>
      <c r="R34" s="290"/>
      <c r="S34" s="290"/>
      <c r="T34" s="290"/>
      <c r="U34" s="290"/>
      <c r="V34" s="2009"/>
      <c r="W34" s="290"/>
      <c r="X34" s="290"/>
      <c r="Y34" s="290"/>
      <c r="Z34" s="290"/>
    </row>
    <row r="35" spans="1:26" ht="15.75" thickBot="1">
      <c r="A35" s="282"/>
      <c r="B35" s="1381"/>
      <c r="C35" s="1382">
        <f ca="1">ROUND(C32/('数据-汇总表'!D3/666.67),0)</f>
        <v>1068</v>
      </c>
      <c r="D35" s="1383" t="s">
        <v>1690</v>
      </c>
      <c r="E35" s="3738"/>
      <c r="F35" s="299" t="s">
        <v>342</v>
      </c>
      <c r="G35" s="980"/>
      <c r="H35" s="979" t="s">
        <v>343</v>
      </c>
      <c r="I35" s="309"/>
      <c r="J35" s="2009"/>
      <c r="K35" s="3707" t="s">
        <v>350</v>
      </c>
      <c r="L35" s="3707" t="s">
        <v>351</v>
      </c>
      <c r="M35" s="1258" t="s">
        <v>352</v>
      </c>
      <c r="N35" s="3707" t="s">
        <v>353</v>
      </c>
      <c r="O35" s="3707" t="s">
        <v>354</v>
      </c>
      <c r="P35" s="2009"/>
      <c r="V35" s="2009"/>
    </row>
    <row r="36" spans="1:26" ht="16.5" customHeight="1">
      <c r="A36" s="301" t="s">
        <v>344</v>
      </c>
      <c r="B36" s="302" t="s">
        <v>333</v>
      </c>
      <c r="C36" s="303" t="s">
        <v>345</v>
      </c>
      <c r="D36" s="303" t="s">
        <v>346</v>
      </c>
      <c r="E36" s="304" t="s">
        <v>347</v>
      </c>
      <c r="F36" s="309"/>
      <c r="G36" s="309"/>
      <c r="H36" s="309"/>
      <c r="I36" s="309"/>
      <c r="J36" s="2011"/>
      <c r="K36" s="3708"/>
      <c r="L36" s="3708"/>
      <c r="M36" s="1260" t="s">
        <v>355</v>
      </c>
      <c r="N36" s="3708"/>
      <c r="O36" s="3708"/>
      <c r="P36" s="2009"/>
      <c r="V36" s="2009"/>
    </row>
    <row r="37" spans="1:26" ht="16.5" customHeight="1" thickBot="1">
      <c r="A37" s="1254" t="s">
        <v>348</v>
      </c>
      <c r="B37" s="305"/>
      <c r="C37" s="292"/>
      <c r="D37" s="292"/>
      <c r="E37" s="293"/>
      <c r="F37" s="309"/>
      <c r="G37" s="309"/>
      <c r="H37" s="309"/>
      <c r="I37" s="309"/>
      <c r="J37" s="2011"/>
      <c r="K37" s="3709"/>
      <c r="L37" s="3709"/>
      <c r="M37" s="1261"/>
      <c r="N37" s="3709"/>
      <c r="O37" s="3709"/>
      <c r="P37" s="2009"/>
      <c r="V37" s="2009"/>
    </row>
    <row r="38" spans="1:26" ht="16.5" customHeight="1" thickBot="1">
      <c r="A38" s="1254" t="s">
        <v>349</v>
      </c>
      <c r="B38" s="305"/>
      <c r="C38" s="292"/>
      <c r="D38" s="292"/>
      <c r="E38" s="293"/>
      <c r="F38" s="309"/>
      <c r="G38" s="309"/>
      <c r="H38" s="309"/>
      <c r="I38" s="309"/>
      <c r="J38" s="2011"/>
      <c r="K38" s="1262">
        <f>'数据-汇总表'!D3</f>
        <v>29475.73</v>
      </c>
      <c r="L38" s="1263">
        <f>'数据-汇总表'!E3</f>
        <v>49030.880000000005</v>
      </c>
      <c r="M38" s="1263">
        <f ca="1">C34</f>
        <v>16015</v>
      </c>
      <c r="N38" s="1263">
        <f ca="1">C33</f>
        <v>9627</v>
      </c>
      <c r="O38" s="1264">
        <f ca="1">C32</f>
        <v>47204</v>
      </c>
      <c r="P38" s="2009"/>
      <c r="V38" s="2009"/>
    </row>
    <row r="39" spans="1:26" ht="16.5" customHeight="1" thickBot="1">
      <c r="A39" s="1259"/>
      <c r="B39" s="306"/>
      <c r="C39" s="307"/>
      <c r="D39" s="307"/>
      <c r="E39" s="308"/>
      <c r="F39" s="309"/>
      <c r="G39" s="309"/>
      <c r="H39" s="309"/>
      <c r="I39" s="309"/>
      <c r="J39" s="2011"/>
      <c r="K39" s="3756" t="str">
        <f>MID(A44,3,LEN(A44)-2)</f>
        <v>抵押价格</v>
      </c>
      <c r="L39" s="3757"/>
      <c r="M39" s="3757"/>
      <c r="N39" s="3758"/>
      <c r="O39" s="1385">
        <f ca="1">C44</f>
        <v>47204</v>
      </c>
      <c r="P39" s="2009"/>
      <c r="V39" s="2009"/>
    </row>
    <row r="40" spans="1:26" ht="19.5" thickBot="1">
      <c r="A40" s="102" t="s">
        <v>870</v>
      </c>
      <c r="B40" s="309"/>
      <c r="C40" s="309"/>
      <c r="D40" s="309"/>
      <c r="E40" s="309"/>
      <c r="F40" s="309"/>
      <c r="G40" s="309"/>
      <c r="H40" s="309"/>
      <c r="I40" s="309"/>
      <c r="J40" s="2011"/>
      <c r="K40" s="3756" t="str">
        <f t="shared" ref="K40:K41" si="0">MID(A45,3,LEN(A45)-2)</f>
        <v/>
      </c>
      <c r="L40" s="3757"/>
      <c r="M40" s="3757"/>
      <c r="N40" s="3758"/>
      <c r="O40" s="1385" t="str">
        <f>C45</f>
        <v>——</v>
      </c>
      <c r="P40" s="2009"/>
      <c r="V40" s="2009"/>
    </row>
    <row r="41" spans="1:26" ht="16.5" thickBot="1">
      <c r="A41" s="310" t="s">
        <v>356</v>
      </c>
      <c r="B41" s="311"/>
      <c r="C41" s="312" t="s">
        <v>357</v>
      </c>
      <c r="D41" s="313" t="s">
        <v>358</v>
      </c>
      <c r="E41" s="313" t="s">
        <v>359</v>
      </c>
      <c r="F41" s="314" t="s">
        <v>360</v>
      </c>
      <c r="G41" s="309"/>
      <c r="H41" s="309"/>
      <c r="I41" s="309"/>
      <c r="J41" s="2011"/>
      <c r="K41" s="3756" t="str">
        <f t="shared" si="0"/>
        <v/>
      </c>
      <c r="L41" s="3757"/>
      <c r="M41" s="3757"/>
      <c r="N41" s="3758"/>
      <c r="O41" s="1385" t="str">
        <f>C46</f>
        <v>——</v>
      </c>
      <c r="P41" s="2009"/>
      <c r="V41" s="2009"/>
    </row>
    <row r="42" spans="1:26" ht="29.25">
      <c r="A42" s="3694" t="s">
        <v>2064</v>
      </c>
      <c r="B42" s="3695"/>
      <c r="C42" s="262">
        <f ca="1">C32</f>
        <v>47204</v>
      </c>
      <c r="D42" s="315">
        <f ca="1">C33</f>
        <v>9627</v>
      </c>
      <c r="E42" s="315">
        <f ca="1">C34</f>
        <v>16015</v>
      </c>
      <c r="F42" s="316">
        <f ca="1">C35</f>
        <v>1068</v>
      </c>
      <c r="G42" s="309"/>
      <c r="H42" s="309"/>
      <c r="I42" s="317"/>
      <c r="J42" s="2011"/>
      <c r="K42" s="1265" t="s">
        <v>361</v>
      </c>
      <c r="L42" s="2028" t="s">
        <v>362</v>
      </c>
      <c r="M42" s="1266" t="s">
        <v>363</v>
      </c>
      <c r="N42" s="2029" t="s">
        <v>364</v>
      </c>
      <c r="O42" s="2030" t="s">
        <v>365</v>
      </c>
      <c r="P42" s="2009"/>
      <c r="V42" s="2009"/>
    </row>
    <row r="43" spans="1:26" ht="30">
      <c r="A43" s="3705" t="s">
        <v>2724</v>
      </c>
      <c r="B43" s="3706"/>
      <c r="C43" s="262">
        <f>IF(H33="正常操作",G33+G34+G35,G34+G35)</f>
        <v>0</v>
      </c>
      <c r="D43" s="315" t="s">
        <v>43</v>
      </c>
      <c r="E43" s="315" t="s">
        <v>44</v>
      </c>
      <c r="F43" s="316" t="s">
        <v>44</v>
      </c>
      <c r="G43" s="2817" t="s">
        <v>949</v>
      </c>
      <c r="H43" s="309"/>
      <c r="I43" s="317"/>
      <c r="J43" s="2011"/>
      <c r="K43" s="1267" t="str">
        <f>C4</f>
        <v>剩余法-待开发</v>
      </c>
      <c r="L43" s="1268">
        <f ca="1">IF(L42="估价结果/万元",C19,C20)</f>
        <v>66891</v>
      </c>
      <c r="M43" s="1269">
        <f>C18</f>
        <v>0.6</v>
      </c>
      <c r="N43" s="1270">
        <f ca="1">IF(N42="测算结果/万元",G19,G20)</f>
        <v>47204</v>
      </c>
      <c r="O43" s="1271">
        <f ca="1">IF(O42="最终结果/万元",C32,C33)</f>
        <v>47204</v>
      </c>
      <c r="P43" s="2009"/>
      <c r="V43" s="2009"/>
    </row>
    <row r="44" spans="1:26" ht="30.75" thickBot="1">
      <c r="A44" s="3694" t="str">
        <f>IF(OR(项目基本情况!E8="抵押价格",项目基本情况!E8="已注销及未注销"),"3.抵押价格","——")</f>
        <v>3.抵押价格</v>
      </c>
      <c r="B44" s="3695"/>
      <c r="C44" s="262">
        <f ca="1">IF(A44="——","——",C42-C43)</f>
        <v>47204</v>
      </c>
      <c r="D44" s="315">
        <f ca="1">ROUND(C44*10000/'数据-汇总表'!E3,0)</f>
        <v>9627</v>
      </c>
      <c r="E44" s="315">
        <f ca="1">ROUND(C44*10000/'数据-汇总表'!D3,0)</f>
        <v>16015</v>
      </c>
      <c r="F44" s="316">
        <f ca="1">ROUND(C44/('数据-汇总表'!D3/666.67),0)</f>
        <v>1068</v>
      </c>
      <c r="G44" s="309"/>
      <c r="H44" s="309"/>
      <c r="I44" s="317"/>
      <c r="J44" s="2011"/>
      <c r="K44" s="1272" t="str">
        <f>D4</f>
        <v>比较法-住宅、综合</v>
      </c>
      <c r="L44" s="1273">
        <f ca="1">IF(L42="估价结果/万元",D19,D20)</f>
        <v>17674</v>
      </c>
      <c r="M44" s="1274">
        <f>D18</f>
        <v>0.4</v>
      </c>
      <c r="N44" s="1275"/>
      <c r="O44" s="1276"/>
      <c r="P44" s="2009"/>
      <c r="V44" s="2009"/>
    </row>
    <row r="45" spans="1:26" ht="15">
      <c r="A45" s="3700" t="str">
        <f>IF(项目基本情况!E8="已注销及未注销","4.抵押担保权已注销时的抵押价格",IF(项目基本情况!E8="已注销","3.抵押担保权已注销时的抵押价格","——"))</f>
        <v>——</v>
      </c>
      <c r="B45" s="3701"/>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1"/>
      <c r="K45" s="2009"/>
      <c r="L45" s="2009"/>
      <c r="M45" s="2009"/>
      <c r="N45" s="2009"/>
      <c r="O45" s="2009"/>
      <c r="P45" s="2009"/>
      <c r="V45" s="2009"/>
    </row>
    <row r="46" spans="1:26" ht="15.75" thickBot="1">
      <c r="A46" s="3696" t="str">
        <f>IF(项目基本情况!E9="抵押净值",IF(A45="——","4.抵押净值","5.抵押净值"),"——")</f>
        <v>——</v>
      </c>
      <c r="B46" s="3697"/>
      <c r="C46" s="318" t="str">
        <f>IF(A46="——","——",O79)</f>
        <v>——</v>
      </c>
      <c r="D46" s="315" t="e">
        <f>ROUND(C46*10000/'数据-汇总表'!E3,0)</f>
        <v>#VALUE!</v>
      </c>
      <c r="E46" s="315" t="e">
        <f>ROUND(C46*10000/'数据-汇总表'!D3,0)</f>
        <v>#VALUE!</v>
      </c>
      <c r="F46" s="316" t="e">
        <f>ROUND(C46/('数据-汇总表'!D3/666.67),0)</f>
        <v>#VALUE!</v>
      </c>
      <c r="G46" s="309"/>
      <c r="H46" s="309"/>
      <c r="I46" s="317"/>
      <c r="J46" s="2011"/>
      <c r="K46" s="2009"/>
      <c r="L46" s="2009"/>
      <c r="M46" s="2009"/>
      <c r="N46" s="2009"/>
      <c r="O46" s="2009"/>
      <c r="P46" s="2009"/>
      <c r="Q46" s="2009"/>
      <c r="R46" s="2009"/>
      <c r="S46" s="2009"/>
      <c r="T46" s="2009"/>
      <c r="U46" s="2009"/>
      <c r="V46" s="2009"/>
    </row>
    <row r="47" spans="1:26" ht="15.75">
      <c r="A47" s="319" t="s">
        <v>366</v>
      </c>
      <c r="B47" s="1277"/>
      <c r="C47" s="320" t="s">
        <v>367</v>
      </c>
      <c r="D47" s="321"/>
      <c r="E47" s="321"/>
      <c r="F47" s="321"/>
      <c r="G47" s="322"/>
      <c r="H47" s="323"/>
      <c r="I47" s="324"/>
      <c r="J47" s="2011"/>
      <c r="K47" s="309"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5">
        <v>1</v>
      </c>
      <c r="B48" s="326"/>
      <c r="C48" s="326"/>
      <c r="D48" s="321"/>
      <c r="E48" s="321"/>
      <c r="F48" s="321"/>
      <c r="G48" s="321"/>
      <c r="H48" s="327"/>
      <c r="I48" s="328"/>
      <c r="J48" s="2011"/>
      <c r="K48" s="2009"/>
      <c r="L48" s="2009"/>
      <c r="M48" s="2009"/>
      <c r="N48" s="2009"/>
      <c r="O48" s="2009"/>
      <c r="P48" s="2009"/>
      <c r="Q48" s="2009"/>
      <c r="R48" s="2009"/>
      <c r="S48" s="2009"/>
      <c r="T48" s="2009"/>
      <c r="U48" s="2009"/>
      <c r="V48" s="2009"/>
    </row>
    <row r="49" spans="1:22" ht="12.75">
      <c r="A49" s="325">
        <v>2</v>
      </c>
      <c r="B49" s="326"/>
      <c r="C49" s="326"/>
      <c r="D49" s="321"/>
      <c r="E49" s="321"/>
      <c r="F49" s="321"/>
      <c r="G49" s="321"/>
      <c r="H49" s="327"/>
      <c r="I49" s="328"/>
      <c r="J49" s="2012"/>
      <c r="K49" s="2009"/>
      <c r="L49" s="2009"/>
      <c r="M49" s="2009"/>
      <c r="N49" s="2009"/>
      <c r="O49" s="2009"/>
      <c r="P49" s="2009"/>
      <c r="Q49" s="2009"/>
      <c r="R49" s="2009"/>
      <c r="S49" s="2009"/>
      <c r="T49" s="2009"/>
      <c r="U49" s="2009"/>
      <c r="V49" s="2009"/>
    </row>
    <row r="50" spans="1:22" ht="12.75">
      <c r="A50" s="325">
        <v>3</v>
      </c>
      <c r="B50" s="326"/>
      <c r="C50" s="326"/>
      <c r="D50" s="321"/>
      <c r="E50" s="321"/>
      <c r="F50" s="321"/>
      <c r="G50" s="321"/>
      <c r="H50" s="327"/>
      <c r="I50" s="328"/>
      <c r="J50" s="2012"/>
      <c r="K50" s="2009"/>
      <c r="L50" s="2009"/>
      <c r="M50" s="2009"/>
      <c r="N50" s="2009"/>
      <c r="O50" s="2009"/>
      <c r="P50" s="2009"/>
      <c r="Q50" s="2009"/>
      <c r="R50" s="2009"/>
      <c r="S50" s="2009"/>
      <c r="T50" s="2009"/>
      <c r="U50" s="2009"/>
      <c r="V50" s="2009"/>
    </row>
    <row r="51" spans="1:22" ht="12.75">
      <c r="A51" s="329"/>
      <c r="B51" s="330"/>
      <c r="C51" s="330"/>
      <c r="D51" s="331"/>
      <c r="E51" s="331"/>
      <c r="F51" s="331"/>
      <c r="G51" s="331"/>
      <c r="H51" s="332"/>
      <c r="I51" s="333"/>
      <c r="J51" s="2012"/>
      <c r="K51" s="2009"/>
      <c r="L51" s="2009"/>
      <c r="M51" s="2009"/>
      <c r="N51" s="2009"/>
      <c r="O51" s="2009"/>
      <c r="P51" s="2009"/>
      <c r="Q51" s="2009"/>
      <c r="R51" s="2009"/>
      <c r="S51" s="2009"/>
      <c r="T51" s="2009"/>
      <c r="U51" s="2009"/>
      <c r="V51" s="2009"/>
    </row>
    <row r="52" spans="1:22" ht="12.75">
      <c r="A52" s="326"/>
      <c r="B52" s="326"/>
      <c r="C52" s="326"/>
      <c r="D52" s="321"/>
      <c r="E52" s="321"/>
      <c r="F52" s="321"/>
      <c r="G52" s="321"/>
      <c r="H52" s="327"/>
      <c r="I52" s="255"/>
      <c r="J52" s="2012"/>
      <c r="K52" s="2009"/>
      <c r="L52" s="2009"/>
      <c r="M52" s="2009"/>
      <c r="N52" s="2009"/>
      <c r="O52" s="2009"/>
      <c r="P52" s="2009"/>
      <c r="Q52" s="2009"/>
      <c r="R52" s="2009"/>
      <c r="S52" s="2009"/>
      <c r="T52" s="2009"/>
      <c r="U52" s="2009"/>
      <c r="V52" s="2009"/>
    </row>
    <row r="53" spans="1:22" ht="12.75">
      <c r="A53" s="255"/>
      <c r="B53" s="255"/>
      <c r="C53" s="255"/>
      <c r="D53" s="255"/>
      <c r="E53" s="255"/>
      <c r="F53" s="334" t="s">
        <v>368</v>
      </c>
      <c r="G53" s="335"/>
      <c r="H53" s="335"/>
      <c r="I53" s="336" t="s">
        <v>369</v>
      </c>
      <c r="J53" s="2012"/>
      <c r="K53" s="2009"/>
      <c r="L53" s="2009"/>
      <c r="M53" s="2009"/>
      <c r="N53" s="2009"/>
      <c r="O53" s="2009"/>
      <c r="P53" s="2009"/>
      <c r="Q53" s="2009"/>
      <c r="R53" s="2009"/>
      <c r="S53" s="2009"/>
      <c r="T53" s="2009"/>
      <c r="U53" s="2009"/>
      <c r="V53" s="2009"/>
    </row>
    <row r="54" spans="1:22" ht="12.75">
      <c r="A54" s="255"/>
      <c r="B54" s="337" t="s">
        <v>370</v>
      </c>
      <c r="C54" s="255"/>
      <c r="D54" s="255"/>
      <c r="E54" s="255"/>
      <c r="F54" s="255"/>
      <c r="G54" s="255"/>
      <c r="H54" s="255"/>
      <c r="I54" s="255"/>
      <c r="J54" s="2012"/>
      <c r="K54" s="2009"/>
      <c r="L54" s="2009"/>
      <c r="M54" s="2009"/>
      <c r="N54" s="2009"/>
      <c r="O54" s="2009"/>
      <c r="P54" s="2009"/>
      <c r="Q54" s="2009"/>
      <c r="R54" s="2009"/>
      <c r="S54" s="2009"/>
      <c r="T54" s="2009"/>
      <c r="U54" s="2009"/>
      <c r="V54" s="2009"/>
    </row>
    <row r="55" spans="1:22" ht="12.75">
      <c r="A55" s="255"/>
      <c r="B55" s="255"/>
      <c r="C55" s="255"/>
      <c r="D55" s="255"/>
      <c r="E55" s="255"/>
      <c r="F55" s="255"/>
      <c r="G55" s="255"/>
      <c r="H55" s="255"/>
      <c r="I55" s="255"/>
      <c r="J55" s="2012"/>
      <c r="K55" s="2009"/>
      <c r="L55" s="2009"/>
      <c r="M55" s="2009"/>
      <c r="N55" s="2009"/>
      <c r="O55" s="2009"/>
      <c r="P55" s="2009"/>
      <c r="Q55" s="2009"/>
      <c r="R55" s="2009"/>
      <c r="S55" s="2009"/>
      <c r="T55" s="2009"/>
      <c r="U55" s="2009"/>
      <c r="V55" s="2009"/>
    </row>
    <row r="56" spans="1:22" ht="12.75">
      <c r="A56" s="255"/>
      <c r="B56" s="335"/>
      <c r="C56" s="335"/>
      <c r="D56" s="335"/>
      <c r="E56" s="335"/>
      <c r="F56" s="335"/>
      <c r="G56" s="335"/>
      <c r="H56" s="335"/>
      <c r="I56" s="336" t="s">
        <v>371</v>
      </c>
      <c r="J56" s="2012"/>
      <c r="K56" s="2009"/>
      <c r="L56" s="2009"/>
      <c r="M56" s="2009"/>
      <c r="N56" s="2009"/>
      <c r="O56" s="2009"/>
      <c r="P56" s="2009"/>
      <c r="Q56" s="2009"/>
      <c r="R56" s="2009"/>
      <c r="S56" s="2009"/>
      <c r="T56" s="2009"/>
      <c r="U56" s="2009"/>
      <c r="V56" s="2009"/>
    </row>
    <row r="57" spans="1:22" ht="12.75">
      <c r="A57" s="255"/>
      <c r="B57" s="337" t="s">
        <v>372</v>
      </c>
      <c r="C57" s="255"/>
      <c r="D57" s="255"/>
      <c r="E57" s="255"/>
      <c r="F57" s="255"/>
      <c r="G57" s="255"/>
      <c r="H57" s="255"/>
      <c r="I57" s="255"/>
      <c r="J57" s="2012"/>
      <c r="K57" s="2009"/>
      <c r="L57" s="2009"/>
      <c r="M57" s="2009"/>
      <c r="N57" s="2009"/>
      <c r="O57" s="2009"/>
      <c r="P57" s="2009"/>
      <c r="Q57" s="2009"/>
      <c r="R57" s="2009"/>
      <c r="S57" s="2009"/>
      <c r="T57" s="2009"/>
      <c r="U57" s="2009"/>
      <c r="V57" s="2009"/>
    </row>
    <row r="58" spans="1:22" ht="12.75">
      <c r="A58" s="255"/>
      <c r="B58" s="337"/>
      <c r="C58" s="255"/>
      <c r="D58" s="255"/>
      <c r="E58" s="255"/>
      <c r="F58" s="255"/>
      <c r="G58" s="255"/>
      <c r="H58" s="255"/>
      <c r="I58" s="255"/>
      <c r="J58" s="2012"/>
      <c r="K58" s="2009"/>
      <c r="L58" s="2009"/>
      <c r="M58" s="2009"/>
      <c r="N58" s="2009"/>
      <c r="O58" s="2009"/>
      <c r="P58" s="2009"/>
      <c r="Q58" s="2009"/>
      <c r="R58" s="2009"/>
      <c r="S58" s="2009"/>
      <c r="T58" s="2009"/>
      <c r="U58" s="2009"/>
      <c r="V58" s="2009"/>
    </row>
    <row r="59" spans="1:22" ht="12.75">
      <c r="A59" s="255"/>
      <c r="B59" s="335"/>
      <c r="C59" s="335"/>
      <c r="D59" s="335"/>
      <c r="E59" s="335"/>
      <c r="F59" s="335"/>
      <c r="G59" s="335"/>
      <c r="H59" s="335"/>
      <c r="I59" s="336" t="s">
        <v>371</v>
      </c>
      <c r="J59" s="2012"/>
      <c r="K59" s="2009"/>
      <c r="L59" s="2009"/>
      <c r="M59" s="2009"/>
      <c r="N59" s="2009"/>
      <c r="O59" s="2009"/>
      <c r="P59" s="2009"/>
      <c r="Q59" s="2009"/>
      <c r="R59" s="2009"/>
      <c r="S59" s="2009"/>
      <c r="T59" s="2009"/>
      <c r="U59" s="2009"/>
      <c r="V59" s="2009"/>
    </row>
    <row r="60" spans="1:22" ht="12.75">
      <c r="A60" s="255"/>
      <c r="B60" s="255"/>
      <c r="C60" s="255"/>
      <c r="D60" s="255"/>
      <c r="E60" s="255"/>
      <c r="F60" s="255"/>
      <c r="G60" s="255"/>
      <c r="H60" s="255"/>
      <c r="I60" s="255"/>
      <c r="J60" s="2012"/>
      <c r="K60" s="2009"/>
      <c r="L60" s="2009"/>
      <c r="M60" s="2009"/>
      <c r="N60" s="2009"/>
      <c r="O60" s="2009"/>
      <c r="P60" s="2009"/>
      <c r="Q60" s="2009"/>
      <c r="R60" s="2009"/>
      <c r="S60" s="2009"/>
      <c r="T60" s="2009"/>
      <c r="U60" s="2009"/>
      <c r="V60" s="2009"/>
    </row>
    <row r="61" spans="1:22" ht="12.75">
      <c r="A61" s="255"/>
      <c r="B61" s="337"/>
      <c r="C61" s="338"/>
      <c r="D61" s="214"/>
      <c r="E61" s="214"/>
      <c r="F61" s="251"/>
      <c r="G61" s="255"/>
      <c r="H61" s="255"/>
      <c r="I61" s="255"/>
      <c r="J61" s="2012"/>
      <c r="K61" s="2009"/>
      <c r="L61" s="2009"/>
      <c r="M61" s="2009"/>
      <c r="N61" s="2009"/>
      <c r="O61" s="2009"/>
      <c r="P61" s="2009"/>
      <c r="Q61" s="2009"/>
      <c r="R61" s="2009"/>
      <c r="S61" s="2009"/>
      <c r="T61" s="2009"/>
      <c r="U61" s="2009"/>
      <c r="V61" s="2009"/>
    </row>
    <row r="62" spans="1:22" ht="18.75">
      <c r="A62" s="1278" t="s">
        <v>373</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745" t="s">
        <v>374</v>
      </c>
      <c r="B63" s="3746"/>
      <c r="C63" s="3747"/>
      <c r="D63" s="339">
        <f ca="1">ROUND(C42*F63,0)</f>
        <v>47204</v>
      </c>
      <c r="E63" s="300" t="s">
        <v>375</v>
      </c>
      <c r="F63" s="340">
        <v>1</v>
      </c>
      <c r="G63" s="341" t="s">
        <v>376</v>
      </c>
      <c r="H63" s="309"/>
      <c r="I63" s="309"/>
      <c r="J63" s="2009"/>
      <c r="K63" s="2009"/>
      <c r="L63" s="2009"/>
      <c r="M63" s="2009"/>
      <c r="N63" s="2009"/>
      <c r="O63" s="2009"/>
      <c r="P63" s="309"/>
      <c r="Q63" s="2009"/>
      <c r="R63" s="2009"/>
      <c r="S63" s="2009"/>
      <c r="T63" s="2009"/>
      <c r="U63" s="2009"/>
      <c r="V63" s="2009"/>
    </row>
    <row r="64" spans="1:22" ht="14.25" customHeight="1">
      <c r="A64" s="3702" t="s">
        <v>378</v>
      </c>
      <c r="B64" s="3703"/>
      <c r="C64" s="3703"/>
      <c r="D64" s="3703"/>
      <c r="E64" s="3703"/>
      <c r="F64" s="3703"/>
      <c r="G64" s="3704"/>
      <c r="H64" s="1282"/>
      <c r="I64" s="946"/>
      <c r="J64" s="1971"/>
      <c r="K64" s="1544" t="s">
        <v>377</v>
      </c>
      <c r="L64" s="11"/>
      <c r="M64" s="11"/>
      <c r="N64" s="11"/>
      <c r="O64" s="11"/>
      <c r="P64" s="309"/>
      <c r="Q64" s="2009"/>
      <c r="R64" s="2009"/>
      <c r="S64" s="2009"/>
      <c r="T64" s="2009"/>
      <c r="U64" s="2009"/>
      <c r="V64" s="2009"/>
    </row>
    <row r="65" spans="1:22" ht="12" customHeight="1">
      <c r="A65" s="342" t="s">
        <v>380</v>
      </c>
      <c r="B65" s="343"/>
      <c r="C65" s="344"/>
      <c r="D65" s="345" t="s">
        <v>381</v>
      </c>
      <c r="E65" s="51" t="s">
        <v>382</v>
      </c>
      <c r="F65" s="346" t="s">
        <v>383</v>
      </c>
      <c r="G65" s="347" t="s">
        <v>384</v>
      </c>
      <c r="H65" s="1282"/>
      <c r="I65" s="946"/>
      <c r="J65" s="1971"/>
      <c r="K65" s="1283"/>
      <c r="L65" s="1284"/>
      <c r="M65" s="1284"/>
      <c r="N65" s="1316" t="s">
        <v>379</v>
      </c>
      <c r="O65" s="1317"/>
      <c r="P65" s="1318"/>
      <c r="Q65" s="2009"/>
      <c r="R65" s="2009"/>
      <c r="S65" s="2009"/>
      <c r="T65" s="2009"/>
      <c r="U65" s="2009"/>
      <c r="V65" s="2009"/>
    </row>
    <row r="66" spans="1:22" ht="25.5">
      <c r="A66" s="3698" t="s">
        <v>386</v>
      </c>
      <c r="B66" s="3699"/>
      <c r="C66" s="3699"/>
      <c r="D66" s="259">
        <f ca="1">IF(H66="情况1",0,IF(H66="情况2",D70,IF(H66="情况3",D71,IF(H66="情况4",D72))))</f>
        <v>2518</v>
      </c>
      <c r="E66" s="991" t="str">
        <f>IF(H66="情况4","(销售额-原购置价)×税（费）率","销售额×税（费）率")</f>
        <v>销售额×税（费）率</v>
      </c>
      <c r="F66" s="348">
        <f>IF(H66="情况1","免征",'数据-取费表'!B41)</f>
        <v>5.6000000000000001E-2</v>
      </c>
      <c r="G66" s="349" t="s">
        <v>387</v>
      </c>
      <c r="H66" s="189" t="s">
        <v>3519</v>
      </c>
      <c r="I66" s="1282"/>
      <c r="J66" s="2015"/>
      <c r="K66" s="1285">
        <v>1</v>
      </c>
      <c r="L66" s="3760" t="s">
        <v>385</v>
      </c>
      <c r="M66" s="3761"/>
      <c r="N66" s="2418"/>
      <c r="O66" s="2419"/>
      <c r="P66" s="2420"/>
      <c r="Q66" s="2009"/>
      <c r="R66" s="2009"/>
      <c r="S66" s="2009"/>
      <c r="T66" s="2009"/>
      <c r="U66" s="2009"/>
      <c r="V66" s="2009"/>
    </row>
    <row r="67" spans="1:22" ht="25.5" customHeight="1">
      <c r="A67" s="350" t="s">
        <v>389</v>
      </c>
      <c r="B67" s="3689" t="s">
        <v>390</v>
      </c>
      <c r="C67" s="3689"/>
      <c r="D67" s="351">
        <v>0</v>
      </c>
      <c r="E67" s="39" t="s">
        <v>391</v>
      </c>
      <c r="F67" s="60" t="s">
        <v>21</v>
      </c>
      <c r="G67" s="3748"/>
      <c r="H67" s="309"/>
      <c r="I67" s="1286"/>
      <c r="J67" s="2016"/>
      <c r="K67" s="1957">
        <v>2</v>
      </c>
      <c r="L67" s="3759" t="s">
        <v>388</v>
      </c>
      <c r="M67" s="3759"/>
      <c r="N67" s="1319">
        <f>'数据-取费表'!B2</f>
        <v>43764</v>
      </c>
      <c r="O67" s="1319"/>
      <c r="P67" s="1319"/>
      <c r="Q67" s="2009"/>
      <c r="R67" s="2009"/>
      <c r="S67" s="2009"/>
      <c r="T67" s="2009"/>
      <c r="U67" s="2009"/>
      <c r="V67" s="2009"/>
    </row>
    <row r="68" spans="1:22" ht="25.5" customHeight="1">
      <c r="A68" s="352"/>
      <c r="B68" s="3689" t="s">
        <v>393</v>
      </c>
      <c r="C68" s="3689"/>
      <c r="D68" s="353"/>
      <c r="E68" s="75"/>
      <c r="F68" s="354"/>
      <c r="G68" s="3749"/>
      <c r="H68" s="309"/>
      <c r="I68" s="1286"/>
      <c r="J68" s="2016"/>
      <c r="K68" s="1957">
        <v>3</v>
      </c>
      <c r="L68" s="3759" t="s">
        <v>392</v>
      </c>
      <c r="M68" s="3759"/>
      <c r="N68" s="1287">
        <f ca="1">C42</f>
        <v>47204</v>
      </c>
      <c r="O68" s="1287"/>
      <c r="P68" s="1287"/>
      <c r="Q68" s="2009"/>
      <c r="R68" s="2009"/>
      <c r="S68" s="2009"/>
      <c r="T68" s="2009"/>
      <c r="U68" s="2009"/>
      <c r="V68" s="2009"/>
    </row>
    <row r="69" spans="1:22" ht="12" customHeight="1">
      <c r="A69" s="355"/>
      <c r="B69" s="3689" t="s">
        <v>394</v>
      </c>
      <c r="C69" s="3689"/>
      <c r="D69" s="356"/>
      <c r="E69" s="71"/>
      <c r="F69" s="354"/>
      <c r="G69" s="3750"/>
      <c r="H69" s="309"/>
      <c r="I69" s="1286"/>
      <c r="J69" s="2016"/>
      <c r="K69" s="1288">
        <v>4</v>
      </c>
      <c r="L69" s="3764" t="s">
        <v>2877</v>
      </c>
      <c r="M69" s="3765"/>
      <c r="N69" s="1289">
        <f ca="1">C44</f>
        <v>47204</v>
      </c>
      <c r="O69" s="1289"/>
      <c r="P69" s="1289"/>
      <c r="Q69" s="2009"/>
      <c r="R69" s="2009"/>
      <c r="S69" s="2009"/>
      <c r="T69" s="2009"/>
      <c r="U69" s="2009"/>
      <c r="V69" s="2009"/>
    </row>
    <row r="70" spans="1:22" ht="24" customHeight="1">
      <c r="A70" s="357" t="s">
        <v>395</v>
      </c>
      <c r="B70" s="3689" t="s">
        <v>396</v>
      </c>
      <c r="C70" s="3689"/>
      <c r="D70" s="356">
        <f ca="1">ROUND(D63*'数据-取费表'!B41/(1+'数据-取费表'!C42),0)</f>
        <v>2518</v>
      </c>
      <c r="E70" s="17" t="s">
        <v>397</v>
      </c>
      <c r="F70" s="358">
        <f>'数据-取费表'!B41</f>
        <v>5.6000000000000001E-2</v>
      </c>
      <c r="G70" s="359"/>
      <c r="H70" s="309"/>
      <c r="I70" s="1286"/>
      <c r="J70" s="2016"/>
      <c r="K70" s="3008"/>
      <c r="L70" s="3009"/>
      <c r="M70" s="3009"/>
      <c r="N70" s="3010" t="s">
        <v>2881</v>
      </c>
      <c r="O70" s="3009"/>
      <c r="P70" s="3011"/>
      <c r="Q70" s="2009"/>
      <c r="R70" s="2009"/>
      <c r="S70" s="2009"/>
      <c r="T70" s="2009"/>
      <c r="U70" s="2009"/>
      <c r="V70" s="2009"/>
    </row>
    <row r="71" spans="1:22" ht="12" customHeight="1">
      <c r="A71" s="357" t="s">
        <v>403</v>
      </c>
      <c r="B71" s="3690" t="s">
        <v>404</v>
      </c>
      <c r="C71" s="3691"/>
      <c r="D71" s="356">
        <f ca="1">ROUND(D63*'数据-取费表'!B41/(1+'数据-取费表'!C42),0)</f>
        <v>2518</v>
      </c>
      <c r="E71" s="17" t="s">
        <v>397</v>
      </c>
      <c r="F71" s="358">
        <f>'数据-取费表'!B41</f>
        <v>5.6000000000000001E-2</v>
      </c>
      <c r="G71" s="359"/>
      <c r="H71" s="309"/>
      <c r="I71" s="1286"/>
      <c r="J71" s="2016"/>
      <c r="K71" s="3007" t="s">
        <v>398</v>
      </c>
      <c r="L71" s="3766" t="s">
        <v>399</v>
      </c>
      <c r="M71" s="3766"/>
      <c r="N71" s="3007" t="s">
        <v>400</v>
      </c>
      <c r="O71" s="3007" t="s">
        <v>401</v>
      </c>
      <c r="P71" s="3007" t="s">
        <v>402</v>
      </c>
      <c r="Q71" s="2009"/>
      <c r="R71" s="2009"/>
      <c r="S71" s="2009"/>
      <c r="T71" s="2009"/>
      <c r="U71" s="2009"/>
      <c r="V71" s="2009"/>
    </row>
    <row r="72" spans="1:22" ht="12" customHeight="1">
      <c r="A72" s="357" t="s">
        <v>406</v>
      </c>
      <c r="B72" s="3690" t="s">
        <v>407</v>
      </c>
      <c r="C72" s="3691"/>
      <c r="D72" s="356">
        <f ca="1">C86</f>
        <v>2406</v>
      </c>
      <c r="E72" s="71" t="s">
        <v>408</v>
      </c>
      <c r="F72" s="358">
        <f>'数据-取费表'!B41</f>
        <v>5.6000000000000001E-2</v>
      </c>
      <c r="G72" s="359"/>
      <c r="H72" s="1292"/>
      <c r="I72" s="1286"/>
      <c r="J72" s="2016"/>
      <c r="K72" s="1957">
        <v>1</v>
      </c>
      <c r="L72" s="3741" t="s">
        <v>405</v>
      </c>
      <c r="M72" s="3741"/>
      <c r="N72" s="1290">
        <f ca="1">D66</f>
        <v>2518</v>
      </c>
      <c r="O72" s="1841" t="str">
        <f>E66</f>
        <v>销售额×税（费）率</v>
      </c>
      <c r="P72" s="1291">
        <f>F66</f>
        <v>5.6000000000000001E-2</v>
      </c>
      <c r="Q72" s="2009"/>
      <c r="R72" s="2009"/>
      <c r="S72" s="2009"/>
      <c r="T72" s="2009"/>
      <c r="U72" s="2009"/>
      <c r="V72" s="2009"/>
    </row>
    <row r="73" spans="1:22" ht="24" customHeight="1">
      <c r="A73" s="3735" t="s">
        <v>410</v>
      </c>
      <c r="B73" s="3699"/>
      <c r="C73" s="3699"/>
      <c r="D73" s="360">
        <f ca="1">IF(H73="个人住宅",0,ROUND(D63*I73,0))</f>
        <v>24</v>
      </c>
      <c r="E73" s="17" t="s">
        <v>411</v>
      </c>
      <c r="F73" s="358">
        <f>IF(H73="正常",I73,"免征")</f>
        <v>5.0000000000000001E-4</v>
      </c>
      <c r="G73" s="359"/>
      <c r="H73" s="189" t="s">
        <v>3267</v>
      </c>
      <c r="I73" s="358">
        <f>'数据-取费表'!B49</f>
        <v>5.0000000000000001E-4</v>
      </c>
      <c r="J73" s="2016"/>
      <c r="K73" s="1957">
        <v>2</v>
      </c>
      <c r="L73" s="3741" t="s">
        <v>409</v>
      </c>
      <c r="M73" s="3741"/>
      <c r="N73" s="1290">
        <f t="shared" ref="N73:P74" ca="1" si="1">D73</f>
        <v>24</v>
      </c>
      <c r="O73" s="1841" t="str">
        <f t="shared" si="1"/>
        <v>销售额×税（费）率</v>
      </c>
      <c r="P73" s="1291">
        <f t="shared" si="1"/>
        <v>5.0000000000000001E-4</v>
      </c>
      <c r="Q73" s="2009"/>
      <c r="R73" s="2009"/>
      <c r="S73" s="2009"/>
      <c r="T73" s="2009"/>
      <c r="U73" s="2009"/>
      <c r="V73" s="2009"/>
    </row>
    <row r="74" spans="1:22" ht="24.75">
      <c r="A74" s="3735" t="s">
        <v>413</v>
      </c>
      <c r="B74" s="3699"/>
      <c r="C74" s="3699"/>
      <c r="D74" s="360">
        <f ca="1">IF(H74="个人住宅",D75,D76)</f>
        <v>24003</v>
      </c>
      <c r="E74" s="17" t="s">
        <v>414</v>
      </c>
      <c r="F74" s="358" t="str">
        <f>IF(H74="正常",F76,"免征")</f>
        <v>——</v>
      </c>
      <c r="G74" s="981" t="s">
        <v>415</v>
      </c>
      <c r="H74" s="361" t="s">
        <v>3267</v>
      </c>
      <c r="I74" s="40"/>
      <c r="J74" s="2016"/>
      <c r="K74" s="1957">
        <v>3</v>
      </c>
      <c r="L74" s="3741" t="s">
        <v>412</v>
      </c>
      <c r="M74" s="3741"/>
      <c r="N74" s="1290">
        <f t="shared" ca="1" si="1"/>
        <v>24003</v>
      </c>
      <c r="O74" s="1841" t="str">
        <f t="shared" si="1"/>
        <v>增值额×税（费）率</v>
      </c>
      <c r="P74" s="1293" t="str">
        <f t="shared" si="1"/>
        <v>——</v>
      </c>
      <c r="Q74" s="2009"/>
      <c r="R74" s="2009"/>
      <c r="S74" s="2009"/>
      <c r="T74" s="2009"/>
      <c r="U74" s="2009"/>
      <c r="V74" s="2009"/>
    </row>
    <row r="75" spans="1:22" ht="12.75">
      <c r="A75" s="357" t="s">
        <v>416</v>
      </c>
      <c r="B75" s="3687" t="s">
        <v>417</v>
      </c>
      <c r="C75" s="3721"/>
      <c r="D75" s="362">
        <v>0</v>
      </c>
      <c r="E75" s="39" t="s">
        <v>418</v>
      </c>
      <c r="F75" s="363"/>
      <c r="G75" s="359"/>
      <c r="H75" s="40"/>
      <c r="I75" s="40"/>
      <c r="J75" s="2016"/>
      <c r="K75" s="3000" t="str">
        <f>IF(H77="非个人房产","",4)</f>
        <v/>
      </c>
      <c r="L75" s="3741" t="str">
        <f>IF(H77="非个人房产","——","个人所得税")</f>
        <v>——</v>
      </c>
      <c r="M75" s="3741"/>
      <c r="N75" s="1294" t="str">
        <f>D77</f>
        <v>——</v>
      </c>
      <c r="O75" s="1854" t="str">
        <f>E77</f>
        <v>——</v>
      </c>
      <c r="P75" s="1295" t="str">
        <f>F77</f>
        <v>——</v>
      </c>
      <c r="Q75" s="2009"/>
      <c r="R75" s="2009"/>
      <c r="S75" s="2009"/>
      <c r="T75" s="2009"/>
      <c r="U75" s="2009"/>
      <c r="V75" s="2009"/>
    </row>
    <row r="76" spans="1:22" ht="24.75">
      <c r="A76" s="357" t="s">
        <v>395</v>
      </c>
      <c r="B76" s="3687" t="s">
        <v>420</v>
      </c>
      <c r="C76" s="3688"/>
      <c r="D76" s="360">
        <f ca="1">IF(H76="转让取得",C99,C115)</f>
        <v>24003</v>
      </c>
      <c r="E76" s="17" t="s">
        <v>421</v>
      </c>
      <c r="F76" s="51" t="s">
        <v>21</v>
      </c>
      <c r="G76" s="359"/>
      <c r="H76" s="361" t="s">
        <v>3520</v>
      </c>
      <c r="I76" s="40"/>
      <c r="J76" s="2016"/>
      <c r="K76" s="3000" t="str">
        <f>IF(项目基本情况!K6="上海银行",IF(K75="",4,K75+1),"")</f>
        <v/>
      </c>
      <c r="L76" s="3752" t="str">
        <f>IF(项目基本情况!K6="上海银行","其他处置费用","")</f>
        <v/>
      </c>
      <c r="M76" s="3753"/>
      <c r="N76" s="1290" t="str">
        <f>IF(项目基本情况!K6="上海银行",N89,"")</f>
        <v/>
      </c>
      <c r="O76" s="3754" t="str">
        <f>IF(项目基本情况!K6="上海银行","包含处置中涉及的律师、诉讼、拍卖、评估等费用","")</f>
        <v/>
      </c>
      <c r="P76" s="3755"/>
      <c r="Q76" s="2009"/>
      <c r="R76" s="2009"/>
      <c r="S76" s="2009"/>
      <c r="T76" s="2009"/>
      <c r="U76" s="2009"/>
      <c r="V76" s="2009"/>
    </row>
    <row r="77" spans="1:22" ht="24.75" thickBot="1">
      <c r="A77" s="3743" t="s">
        <v>423</v>
      </c>
      <c r="B77" s="3744"/>
      <c r="C77" s="3744"/>
      <c r="D77" s="364" t="str">
        <f>IF(H77="非个人房产","——",IF(H77="个人住宅",0,ROUND(D63*I77,0)))</f>
        <v>——</v>
      </c>
      <c r="E77" s="365" t="str">
        <f>IF(H77="非个人房产","——","销售额×税（费）率")</f>
        <v>——</v>
      </c>
      <c r="F77" s="366" t="str">
        <f>IF(H77="非个人房产","——",IF(H77="个人住宅","免征",I77))</f>
        <v>——</v>
      </c>
      <c r="G77" s="982" t="s">
        <v>415</v>
      </c>
      <c r="H77" s="361" t="s">
        <v>3521</v>
      </c>
      <c r="I77" s="367">
        <v>0.01</v>
      </c>
      <c r="J77" s="2016"/>
      <c r="K77" s="3742">
        <f>IF(AND(K75="",K76=""),4,IF(项目基本情况!K6="上海银行",K76+1,K75+1))</f>
        <v>4</v>
      </c>
      <c r="L77" s="3741" t="s">
        <v>2878</v>
      </c>
      <c r="M77" s="3006" t="s">
        <v>419</v>
      </c>
      <c r="N77" s="1296"/>
      <c r="O77" s="1297">
        <f ca="1">SUMIF(N72:N76,"&lt;9e307")</f>
        <v>26545</v>
      </c>
      <c r="P77" s="1298"/>
      <c r="Q77" s="3004">
        <f ca="1">O77/N69</f>
        <v>0.56234641132107444</v>
      </c>
      <c r="R77" s="2009"/>
      <c r="S77" s="2009"/>
      <c r="T77" s="2009"/>
      <c r="U77" s="2009"/>
      <c r="V77" s="2009"/>
    </row>
    <row r="78" spans="1:22" ht="12" customHeight="1">
      <c r="A78" s="1299"/>
      <c r="B78" s="309"/>
      <c r="C78" s="309"/>
      <c r="D78" s="309"/>
      <c r="E78" s="40"/>
      <c r="F78" s="40"/>
      <c r="G78" s="40"/>
      <c r="H78" s="1001"/>
      <c r="I78" s="309"/>
      <c r="J78" s="2016"/>
      <c r="K78" s="3742"/>
      <c r="L78" s="3741"/>
      <c r="M78" s="3006" t="s">
        <v>422</v>
      </c>
      <c r="N78" s="1296"/>
      <c r="O78" s="1297" t="str">
        <f ca="1">NUMBERSTRING(INT(O77*10000),2)&amp;"元整"</f>
        <v>贰亿陆仟伍佰肆拾伍万元整</v>
      </c>
      <c r="P78" s="1298"/>
      <c r="Q78" s="2009"/>
      <c r="R78" s="2009"/>
      <c r="S78" s="2009"/>
      <c r="T78" s="2009"/>
      <c r="U78" s="2009"/>
      <c r="V78" s="2009"/>
    </row>
    <row r="79" spans="1:22" ht="13.5" thickBot="1">
      <c r="A79" s="3736" t="s">
        <v>424</v>
      </c>
      <c r="B79" s="3736"/>
      <c r="C79" s="3736"/>
      <c r="D79" s="3736"/>
      <c r="E79" s="3736"/>
      <c r="F79" s="40"/>
      <c r="G79" s="40"/>
      <c r="H79" s="1001"/>
      <c r="I79" s="309"/>
      <c r="J79" s="2016"/>
      <c r="K79" s="3762">
        <f>K77+1</f>
        <v>5</v>
      </c>
      <c r="L79" s="3741" t="s">
        <v>2879</v>
      </c>
      <c r="M79" s="3006" t="s">
        <v>419</v>
      </c>
      <c r="N79" s="1296"/>
      <c r="O79" s="1297">
        <f ca="1">N69-O77</f>
        <v>20659</v>
      </c>
      <c r="P79" s="1298"/>
      <c r="Q79" s="2009"/>
      <c r="R79" s="2009"/>
      <c r="S79" s="2009"/>
      <c r="T79" s="2009"/>
      <c r="U79" s="2009"/>
      <c r="V79" s="2009"/>
    </row>
    <row r="80" spans="1:22" ht="25.5">
      <c r="A80" s="3731" t="s">
        <v>425</v>
      </c>
      <c r="B80" s="3732"/>
      <c r="C80" s="992"/>
      <c r="D80" s="992" t="s">
        <v>426</v>
      </c>
      <c r="E80" s="368" t="s">
        <v>427</v>
      </c>
      <c r="F80" s="40"/>
      <c r="G80" s="40"/>
      <c r="H80" s="1001"/>
      <c r="I80" s="309"/>
      <c r="J80" s="2009"/>
      <c r="K80" s="3763"/>
      <c r="L80" s="3741"/>
      <c r="M80" s="3006" t="s">
        <v>422</v>
      </c>
      <c r="N80" s="1296"/>
      <c r="O80" s="1297" t="str">
        <f ca="1">NUMBERSTRING(INT(O79*10000),2)&amp;"元整"</f>
        <v>贰亿零陆佰伍拾玖万元整</v>
      </c>
      <c r="P80" s="1298"/>
      <c r="Q80" s="2009"/>
      <c r="R80" s="2009"/>
      <c r="S80" s="2009"/>
      <c r="T80" s="2009"/>
      <c r="U80" s="2009"/>
      <c r="V80" s="2009"/>
    </row>
    <row r="81" spans="1:26" ht="13.5" thickBot="1">
      <c r="A81" s="379" t="s">
        <v>1820</v>
      </c>
      <c r="B81" s="369" t="s">
        <v>428</v>
      </c>
      <c r="C81" s="370">
        <f ca="1">ROUND((C82+C83)/(1+'数据-取费表'!C42),0)</f>
        <v>44956</v>
      </c>
      <c r="D81" s="371"/>
      <c r="E81" s="372"/>
      <c r="F81" s="40"/>
      <c r="G81" s="40"/>
      <c r="H81" s="1001"/>
      <c r="I81" s="309"/>
      <c r="J81" s="2009"/>
      <c r="K81" s="3000">
        <f>K79+1</f>
        <v>6</v>
      </c>
      <c r="L81" s="3739" t="s">
        <v>2880</v>
      </c>
      <c r="M81" s="3740"/>
      <c r="N81" s="1300"/>
      <c r="O81" s="1301">
        <f ca="1">ROUND(O79*10000/'数据-汇总表'!E3,0)</f>
        <v>4213</v>
      </c>
      <c r="P81" s="1302"/>
      <c r="Q81" s="2009"/>
      <c r="R81" s="2009"/>
      <c r="S81" s="2009"/>
      <c r="T81" s="2009"/>
      <c r="U81" s="2009"/>
      <c r="V81" s="2009"/>
    </row>
    <row r="82" spans="1:26" ht="13.5" thickTop="1">
      <c r="A82" s="373" t="s">
        <v>1821</v>
      </c>
      <c r="B82" s="374" t="s">
        <v>429</v>
      </c>
      <c r="C82" s="375">
        <f ca="1">D63</f>
        <v>47204</v>
      </c>
      <c r="D82" s="376" t="s">
        <v>19</v>
      </c>
      <c r="E82" s="377"/>
      <c r="F82" s="40"/>
      <c r="G82" s="40"/>
      <c r="H82" s="1001"/>
      <c r="I82" s="309"/>
      <c r="J82" s="2009"/>
      <c r="K82" s="2009"/>
      <c r="L82" s="2009"/>
      <c r="M82" s="2009"/>
      <c r="N82" s="2009"/>
      <c r="O82" s="2009"/>
      <c r="P82" s="2009"/>
      <c r="Q82" s="2009"/>
      <c r="R82" s="2009"/>
      <c r="S82" s="2009"/>
      <c r="T82" s="2009"/>
      <c r="U82" s="2009"/>
      <c r="V82" s="2009"/>
    </row>
    <row r="83" spans="1:26" ht="12.75">
      <c r="A83" s="373" t="s">
        <v>1822</v>
      </c>
      <c r="B83" s="374" t="s">
        <v>430</v>
      </c>
      <c r="C83" s="378">
        <v>0</v>
      </c>
      <c r="D83" s="376"/>
      <c r="E83" s="377"/>
      <c r="F83" s="40"/>
      <c r="G83" s="40"/>
      <c r="H83" s="1001"/>
      <c r="I83" s="309"/>
      <c r="J83" s="2009"/>
      <c r="K83" s="3751" t="s">
        <v>2868</v>
      </c>
      <c r="L83" s="3012" t="s">
        <v>2869</v>
      </c>
      <c r="M83" s="3002">
        <f ca="1">IF(N69&gt;10000,N69*0.5%,IF(AND(N69&gt;1000,N69&lt;=10000),N69*1%,IF(AND(N69&gt;100,N69&lt;=1000),N69*3%,IF(AND(N69&gt;10,N69&lt;=100),N69*5%,N69*8%))))</f>
        <v>236.02</v>
      </c>
      <c r="N83" s="51">
        <f ca="1">ROUND(M83,1)</f>
        <v>236</v>
      </c>
      <c r="O83" s="3005"/>
      <c r="P83" s="2009"/>
      <c r="Q83" s="2009"/>
      <c r="R83" s="2009"/>
      <c r="S83" s="2009"/>
      <c r="T83" s="2009"/>
      <c r="U83" s="2009"/>
      <c r="V83" s="2009"/>
    </row>
    <row r="84" spans="1:26" ht="12.75">
      <c r="A84" s="379" t="s">
        <v>1823</v>
      </c>
      <c r="B84" s="380" t="s">
        <v>431</v>
      </c>
      <c r="C84" s="381">
        <v>2000</v>
      </c>
      <c r="D84" s="382" t="s">
        <v>19</v>
      </c>
      <c r="E84" s="3047" t="s">
        <v>2935</v>
      </c>
      <c r="F84" s="40"/>
      <c r="G84" s="40"/>
      <c r="H84" s="1001"/>
      <c r="I84" s="309"/>
      <c r="J84" s="2009"/>
      <c r="K84" s="3751"/>
      <c r="L84" s="3012" t="s">
        <v>2870</v>
      </c>
      <c r="M84" s="3002">
        <f ca="1">IF(N69&gt;2000,N69*0.5%,IF(AND(N69&gt;1000,N69&lt;=2000),N69*0.6%,IF(AND(N69&gt;500,N69&lt;=1000),N69*0.7%,IF(AND(N69&gt;200,N69&lt;=500),N69*0.8%,IF(AND(N69&gt;100,N69&lt;=200),N69*0.9%,IF(AND(N69&gt;50,N69&lt;=100),N69*1%,IF(AND(N69&gt;20,N69&lt;=50),N69*1.5%,IF(AND(N69&gt;10,N69&lt;=20),N69*2%,IF(AND(N69&gt;1,N69&lt;=10),N69*2.5%)))))))))</f>
        <v>236.02</v>
      </c>
      <c r="N84" s="51">
        <f t="shared" ref="N84:N85" ca="1" si="2">ROUND(M84,1)</f>
        <v>236</v>
      </c>
      <c r="O84" s="2009" t="s">
        <v>2871</v>
      </c>
      <c r="P84" s="2009"/>
      <c r="Q84" s="2009"/>
      <c r="R84" s="2009"/>
      <c r="S84" s="2009"/>
      <c r="T84" s="2009"/>
      <c r="U84" s="2009"/>
      <c r="V84" s="2009"/>
    </row>
    <row r="85" spans="1:26" ht="12.75">
      <c r="A85" s="379" t="s">
        <v>1824</v>
      </c>
      <c r="B85" s="380" t="s">
        <v>432</v>
      </c>
      <c r="C85" s="383">
        <f ca="1">C81-C84</f>
        <v>42956</v>
      </c>
      <c r="D85" s="376" t="s">
        <v>19</v>
      </c>
      <c r="E85" s="377"/>
      <c r="F85" s="40"/>
      <c r="G85" s="40"/>
      <c r="H85" s="1001"/>
      <c r="I85" s="309"/>
      <c r="J85" s="2009"/>
      <c r="K85" s="3751"/>
      <c r="L85" s="3012" t="s">
        <v>2872</v>
      </c>
      <c r="M85" s="3002">
        <f ca="1">IF(N69&gt;1000,N69*0.1%,IF(AND(N69&gt;500,N69&lt;=1000),N69*0.5%,IF(AND(N69&gt;50,N69&lt;=500),N69*1%,IF(AND(N69&gt;1,N69&lt;=50),N69*1.5%))))</f>
        <v>47.204000000000001</v>
      </c>
      <c r="N85" s="51">
        <f t="shared" ca="1" si="2"/>
        <v>47.2</v>
      </c>
      <c r="O85" s="2009" t="s">
        <v>2871</v>
      </c>
      <c r="P85" s="2009"/>
      <c r="Q85" s="2009"/>
      <c r="R85" s="2009"/>
      <c r="S85" s="2009"/>
      <c r="T85" s="2009"/>
      <c r="U85" s="2009"/>
      <c r="V85" s="2009"/>
    </row>
    <row r="86" spans="1:26" ht="13.5" thickBot="1">
      <c r="A86" s="384" t="s">
        <v>1825</v>
      </c>
      <c r="B86" s="385" t="s">
        <v>433</v>
      </c>
      <c r="C86" s="386">
        <f ca="1">IF(C85&lt;=0,0,ROUND(C85*D86,0))</f>
        <v>2406</v>
      </c>
      <c r="D86" s="387">
        <f>'数据-取费表'!B41</f>
        <v>5.6000000000000001E-2</v>
      </c>
      <c r="E86" s="388"/>
      <c r="F86" s="40"/>
      <c r="G86" s="40"/>
      <c r="H86" s="1001"/>
      <c r="I86" s="309"/>
      <c r="J86" s="2009"/>
      <c r="K86" s="3751"/>
      <c r="L86" s="3012" t="s">
        <v>2873</v>
      </c>
      <c r="M86" s="3002">
        <f ca="1">N69*0.5%</f>
        <v>236.02</v>
      </c>
      <c r="N86" s="51">
        <f ca="1">IF(M86&gt;0.5,0.5,ROUND(M86,0))</f>
        <v>0.5</v>
      </c>
      <c r="O86" s="2009" t="s">
        <v>2874</v>
      </c>
      <c r="P86" s="2009"/>
      <c r="Q86" s="2009"/>
      <c r="R86" s="2009"/>
      <c r="S86" s="2009"/>
      <c r="T86" s="2009"/>
      <c r="U86" s="2009"/>
      <c r="V86" s="2009"/>
    </row>
    <row r="87" spans="1:26" s="1248" customFormat="1" ht="14.25" customHeight="1">
      <c r="A87" s="1303"/>
      <c r="B87" s="1304"/>
      <c r="C87" s="1305"/>
      <c r="D87" s="1306"/>
      <c r="E87" s="1307"/>
      <c r="F87" s="40"/>
      <c r="G87" s="40"/>
      <c r="H87" s="1001"/>
      <c r="I87" s="309"/>
      <c r="J87" s="2009"/>
      <c r="K87" s="3751"/>
      <c r="L87" s="3012" t="s">
        <v>2875</v>
      </c>
      <c r="M87" s="3002">
        <f ca="1">IF(N69&gt;=10000,(8.25+(N69-10000)*0.01%),IF(AND(N69&gt;=8000,N69&lt;10000),(7.85+(N69-8000)*0.02%),IF(AND(N69&gt;=5000,N69&lt;8000),(6.65+(N69-5000)*0.04%),IF(AND(N69&gt;=2000,N69&lt;5000),(4.25+(PN69-2000)*0.08%),IF(AND(N69&gt;=1000,N69&lt;2000),(2.75+(N69-1000)*0.15%),IF(AND(N69&gt;=100,N69&lt;1000),(0.5+(N69-100)*0.25%),IF(AND(N69&gt;0,N69&lt;100),N69*0.5%)))))))</f>
        <v>11.9704</v>
      </c>
      <c r="N87" s="51">
        <f ca="1">ROUND(M87*0.9,1)</f>
        <v>10.8</v>
      </c>
      <c r="O87" s="3005"/>
      <c r="P87" s="309"/>
      <c r="Q87" s="2009"/>
      <c r="R87" s="2009"/>
      <c r="S87" s="2009"/>
      <c r="T87" s="2009"/>
      <c r="U87" s="2009"/>
      <c r="V87" s="2009"/>
      <c r="W87" s="290"/>
      <c r="X87" s="290"/>
      <c r="Y87" s="290"/>
      <c r="Z87" s="290"/>
    </row>
    <row r="88" spans="1:26" s="1308" customFormat="1" ht="15" thickBot="1">
      <c r="A88" s="3733" t="s">
        <v>434</v>
      </c>
      <c r="B88" s="3734"/>
      <c r="C88" s="3734"/>
      <c r="D88" s="3734"/>
      <c r="E88" s="3734"/>
      <c r="F88" s="3734"/>
      <c r="G88" s="3734"/>
      <c r="H88" s="3734"/>
      <c r="I88" s="1309"/>
      <c r="J88" s="2017"/>
      <c r="K88" s="3751"/>
      <c r="L88" s="3012" t="s">
        <v>2876</v>
      </c>
      <c r="M88" s="3002">
        <f ca="1">IF(N69&gt;10000,N69*0.5%,IF(AND(N69&gt;5000,N69&lt;=10000),N69*1%,IF(AND(N69&gt;1000,N69&lt;=5000),N69*2%,IF(AND(N69&gt;200,N69&lt;=1000),N69*3%,N69*5%))))</f>
        <v>236.02</v>
      </c>
      <c r="N88" s="51">
        <f ca="1">ROUND(M88,1)</f>
        <v>236</v>
      </c>
      <c r="O88" s="3005"/>
      <c r="P88" s="11"/>
      <c r="Q88" s="2014"/>
      <c r="R88" s="2014"/>
      <c r="S88" s="2014"/>
      <c r="T88" s="2014"/>
      <c r="U88" s="2014"/>
      <c r="V88" s="2014"/>
      <c r="W88" s="2018"/>
      <c r="X88" s="2018"/>
      <c r="Y88" s="2018"/>
      <c r="Z88" s="2018"/>
    </row>
    <row r="89" spans="1:26" s="1308" customFormat="1" ht="14.25">
      <c r="A89" s="3731" t="s">
        <v>425</v>
      </c>
      <c r="B89" s="3732"/>
      <c r="C89" s="992"/>
      <c r="D89" s="992" t="s">
        <v>426</v>
      </c>
      <c r="E89" s="389" t="s">
        <v>435</v>
      </c>
      <c r="F89" s="390"/>
      <c r="G89" s="390"/>
      <c r="H89" s="391"/>
      <c r="I89" s="1310"/>
      <c r="J89" s="2019"/>
      <c r="K89" s="3751"/>
      <c r="L89" s="3012" t="s">
        <v>27</v>
      </c>
      <c r="M89" s="3003"/>
      <c r="N89" s="51">
        <f ca="1">ROUND(SUM(N83:N88),0)</f>
        <v>767</v>
      </c>
      <c r="O89" s="3013">
        <f ca="1">N89/N69</f>
        <v>1.6248622998051014E-2</v>
      </c>
      <c r="P89" s="2014"/>
      <c r="Q89" s="2014"/>
      <c r="R89" s="2014"/>
      <c r="S89" s="2014"/>
      <c r="T89" s="2014"/>
      <c r="U89" s="2014"/>
      <c r="V89" s="2014"/>
      <c r="W89" s="2018"/>
      <c r="X89" s="2018"/>
      <c r="Y89" s="2018"/>
      <c r="Z89" s="2018"/>
    </row>
    <row r="90" spans="1:26" s="1308" customFormat="1" ht="14.25">
      <c r="A90" s="379" t="s">
        <v>1820</v>
      </c>
      <c r="B90" s="380" t="s">
        <v>436</v>
      </c>
      <c r="C90" s="383">
        <f ca="1">ROUND(D63/(1+'数据-取费表'!C42),0)</f>
        <v>44956</v>
      </c>
      <c r="D90" s="376" t="s">
        <v>19</v>
      </c>
      <c r="E90" s="989"/>
      <c r="F90" s="988"/>
      <c r="G90" s="988"/>
      <c r="H90" s="392"/>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79" t="s">
        <v>1826</v>
      </c>
      <c r="B91" s="346" t="s">
        <v>437</v>
      </c>
      <c r="C91" s="383">
        <f ca="1">C92+C96</f>
        <v>270</v>
      </c>
      <c r="D91" s="376" t="s">
        <v>19</v>
      </c>
      <c r="E91" s="989"/>
      <c r="F91" s="988"/>
      <c r="G91" s="988"/>
      <c r="H91" s="392"/>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3" t="s">
        <v>1827</v>
      </c>
      <c r="B92" s="374" t="s">
        <v>438</v>
      </c>
      <c r="C92" s="376">
        <f>ROUND(IF(G95="2016年5月1日后购买",C93/(1+'数据-取费表'!C30)+C94+C95,C93+C94+C95),0)</f>
        <v>0</v>
      </c>
      <c r="D92" s="376" t="s">
        <v>19</v>
      </c>
      <c r="E92" s="989"/>
      <c r="F92" s="988"/>
      <c r="G92" s="988"/>
      <c r="H92" s="392"/>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3" t="s">
        <v>1828</v>
      </c>
      <c r="B93" s="374" t="s">
        <v>439</v>
      </c>
      <c r="C93" s="394"/>
      <c r="D93" s="376" t="s">
        <v>19</v>
      </c>
      <c r="E93" s="395" t="s">
        <v>440</v>
      </c>
      <c r="F93" s="396" t="s">
        <v>441</v>
      </c>
      <c r="G93" s="395" t="s">
        <v>442</v>
      </c>
      <c r="H93" s="397">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3" t="s">
        <v>1829</v>
      </c>
      <c r="B94" s="398" t="s">
        <v>443</v>
      </c>
      <c r="C94" s="376">
        <f>IF(F93="购房发票",ROUND(C93*H93*5%,0),0)</f>
        <v>0</v>
      </c>
      <c r="D94" s="399">
        <v>0.05</v>
      </c>
      <c r="E94" s="3690" t="s">
        <v>444</v>
      </c>
      <c r="F94" s="3689"/>
      <c r="G94" s="3689"/>
      <c r="H94" s="3730"/>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3" t="s">
        <v>1830</v>
      </c>
      <c r="B95" s="374" t="s">
        <v>445</v>
      </c>
      <c r="C95" s="376">
        <f>ROUND(IF(G95="个人买卖住房",0,IF(G95="2016年5月1日前购买",C93*D95,C93*D95/(1+'数据-取费表'!C42))),0)</f>
        <v>0</v>
      </c>
      <c r="D95" s="400">
        <f>'数据-取费表'!B48+'数据-取费表'!B49</f>
        <v>3.0499999999999999E-2</v>
      </c>
      <c r="E95" s="24" t="s">
        <v>446</v>
      </c>
      <c r="F95" s="401"/>
      <c r="G95" s="402" t="s">
        <v>2424</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3" t="s">
        <v>1831</v>
      </c>
      <c r="B96" s="374" t="s">
        <v>447</v>
      </c>
      <c r="C96" s="403">
        <f ca="1">ROUND(D63*D96/(1+'数据-取费表'!C42),0)</f>
        <v>270</v>
      </c>
      <c r="D96" s="404">
        <f>'数据-取费表'!B43</f>
        <v>6.000000000000001E-3</v>
      </c>
      <c r="E96" s="3722" t="s">
        <v>2423</v>
      </c>
      <c r="F96" s="3723"/>
      <c r="G96" s="3723"/>
      <c r="H96" s="3724"/>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599" t="s">
        <v>1832</v>
      </c>
      <c r="B97" s="380" t="s">
        <v>448</v>
      </c>
      <c r="C97" s="383">
        <f ca="1">C90-C91</f>
        <v>44686</v>
      </c>
      <c r="D97" s="376" t="s">
        <v>19</v>
      </c>
      <c r="E97" s="989"/>
      <c r="F97" s="988"/>
      <c r="G97" s="988"/>
      <c r="H97" s="392"/>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599" t="s">
        <v>1833</v>
      </c>
      <c r="B98" s="380" t="s">
        <v>449</v>
      </c>
      <c r="C98" s="405">
        <f ca="1">IF(C97&lt;=0,0,C97/C91)</f>
        <v>165.50370370370371</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600" t="s">
        <v>1834</v>
      </c>
      <c r="B99" s="385" t="s">
        <v>450</v>
      </c>
      <c r="C99" s="406">
        <f ca="1">ROUND(IF(C97&lt;=0,0,IF(C98&gt;=200%,C97*60%-C91*35%,IF(C98&gt;=100%,C97*50%-C91*15%,IF(C98&gt;=50%,C97*40%-C91*5%,IF(C98&lt;50%,C97*30%,0))))),0)</f>
        <v>26717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733" t="s">
        <v>451</v>
      </c>
      <c r="B101" s="3734"/>
      <c r="C101" s="3734"/>
      <c r="D101" s="3734"/>
      <c r="E101" s="3734"/>
      <c r="F101" s="3734"/>
      <c r="G101" s="3734"/>
      <c r="H101" s="3734"/>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731" t="s">
        <v>425</v>
      </c>
      <c r="B102" s="3732"/>
      <c r="C102" s="992"/>
      <c r="D102" s="992" t="s">
        <v>426</v>
      </c>
      <c r="E102" s="389" t="s">
        <v>435</v>
      </c>
      <c r="F102" s="390"/>
      <c r="G102" s="390"/>
      <c r="H102" s="411"/>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79" t="s">
        <v>1820</v>
      </c>
      <c r="B103" s="380" t="s">
        <v>436</v>
      </c>
      <c r="C103" s="383">
        <f ca="1">ROUND(D63/(1+'数据-取费表'!C42),0)</f>
        <v>44956</v>
      </c>
      <c r="D103" s="376" t="s">
        <v>19</v>
      </c>
      <c r="E103" s="989"/>
      <c r="F103" s="988"/>
      <c r="G103" s="988"/>
      <c r="H103" s="412"/>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79" t="s">
        <v>1826</v>
      </c>
      <c r="B104" s="346" t="s">
        <v>437</v>
      </c>
      <c r="C104" s="383">
        <f ca="1">IF(H106="仅含出让金",C105+C108+C109+C110+C111+C112,C105+C109+C110+C111+C112)</f>
        <v>3127</v>
      </c>
      <c r="D104" s="413"/>
      <c r="E104" s="989"/>
      <c r="F104" s="988"/>
      <c r="G104" s="988"/>
      <c r="H104" s="412"/>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3" t="s">
        <v>1827</v>
      </c>
      <c r="B105" s="374" t="s">
        <v>452</v>
      </c>
      <c r="C105" s="403">
        <f>C106+C107</f>
        <v>2597</v>
      </c>
      <c r="D105" s="404"/>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3" t="s">
        <v>1828</v>
      </c>
      <c r="B106" s="374" t="s">
        <v>453</v>
      </c>
      <c r="C106" s="414">
        <v>2520</v>
      </c>
      <c r="D106" s="404"/>
      <c r="E106" s="415" t="s">
        <v>454</v>
      </c>
      <c r="F106" s="984"/>
      <c r="G106" s="416" t="s">
        <v>455</v>
      </c>
      <c r="H106" s="417" t="s">
        <v>2434</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3" t="s">
        <v>1829</v>
      </c>
      <c r="B107" s="374" t="s">
        <v>445</v>
      </c>
      <c r="C107" s="403">
        <f>ROUND(C106*D107,0)</f>
        <v>77</v>
      </c>
      <c r="D107" s="404">
        <f>'数据-取费表'!B48+'数据-取费表'!B49</f>
        <v>3.0499999999999999E-2</v>
      </c>
      <c r="E107" s="415" t="s">
        <v>456</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3" t="s">
        <v>1831</v>
      </c>
      <c r="B108" s="374" t="s">
        <v>457</v>
      </c>
      <c r="C108" s="414"/>
      <c r="D108" s="404"/>
      <c r="E108" s="415" t="str">
        <f>IF(H106="-","土地取得成本中已包含该笔费用"," ")</f>
        <v xml:space="preserve"> </v>
      </c>
      <c r="F108" s="984"/>
      <c r="G108" s="984"/>
      <c r="H108" s="985"/>
      <c r="I108" s="11"/>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1" t="s">
        <v>1835</v>
      </c>
      <c r="B109" s="374" t="s">
        <v>458</v>
      </c>
      <c r="C109" s="3589">
        <f>IF(H109="——",IF(F1="现房",'剩余法-现房'!C18,'剩余法-待开发'!C18),I109)</f>
        <v>0</v>
      </c>
      <c r="D109" s="404"/>
      <c r="E109" s="3725" t="s">
        <v>459</v>
      </c>
      <c r="F109" s="3723"/>
      <c r="G109" s="3723"/>
      <c r="H109" s="3590" t="s">
        <v>3546</v>
      </c>
      <c r="I109" s="1923">
        <v>0</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1" t="s">
        <v>1836</v>
      </c>
      <c r="B110" s="374" t="s">
        <v>460</v>
      </c>
      <c r="C110" s="403">
        <f>ROUND((C105+C108+C109)*D110,0)</f>
        <v>260</v>
      </c>
      <c r="D110" s="404">
        <v>0.1</v>
      </c>
      <c r="E110" s="3725" t="s">
        <v>461</v>
      </c>
      <c r="F110" s="3723"/>
      <c r="G110" s="3723"/>
      <c r="H110" s="3724"/>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1" t="s">
        <v>1837</v>
      </c>
      <c r="B111" s="374" t="s">
        <v>447</v>
      </c>
      <c r="C111" s="403">
        <f ca="1">ROUND(D63*D111/(1+'数据-取费表'!C42),0)</f>
        <v>270</v>
      </c>
      <c r="D111" s="404">
        <f>'数据-取费表'!B43</f>
        <v>6.000000000000001E-3</v>
      </c>
      <c r="E111" s="3722" t="s">
        <v>2423</v>
      </c>
      <c r="F111" s="3723"/>
      <c r="G111" s="3723"/>
      <c r="H111" s="3724"/>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1" t="s">
        <v>1838</v>
      </c>
      <c r="B112" s="374" t="s">
        <v>462</v>
      </c>
      <c r="C112" s="403">
        <f>ROUND(C108*D112,0)</f>
        <v>0</v>
      </c>
      <c r="D112" s="404">
        <v>0.2</v>
      </c>
      <c r="E112" s="3725" t="s">
        <v>2448</v>
      </c>
      <c r="F112" s="3723"/>
      <c r="G112" s="3723"/>
      <c r="H112" s="3724"/>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599" t="s">
        <v>1832</v>
      </c>
      <c r="B113" s="380" t="s">
        <v>448</v>
      </c>
      <c r="C113" s="383">
        <f ca="1">ROUND(C103-C104,0)</f>
        <v>41829</v>
      </c>
      <c r="D113" s="376" t="s">
        <v>19</v>
      </c>
      <c r="E113" s="989"/>
      <c r="F113" s="988"/>
      <c r="G113" s="988"/>
      <c r="H113" s="412"/>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599" t="s">
        <v>1833</v>
      </c>
      <c r="B114" s="380" t="s">
        <v>449</v>
      </c>
      <c r="C114" s="405">
        <f ca="1">IF(C113&lt;=0,0,C113/C104)</f>
        <v>13.376718899904061</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600" t="s">
        <v>1834</v>
      </c>
      <c r="B115" s="385" t="s">
        <v>450</v>
      </c>
      <c r="C115" s="406">
        <f ca="1">ROUND(IF(C113&lt;=0,0,IF(C114&gt;=200%,C113*60%-C104*35%,IF(C114&gt;=100%,C113*50%-C104*15%,IF(C114&gt;=50%,C113*40%-C104*5%,IF(C114&lt;50%,C113*30%,0))))),0)</f>
        <v>24003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5" customFormat="1" ht="21.75" customHeight="1">
      <c r="K185" s="2022"/>
      <c r="L185" s="2022"/>
      <c r="M185" s="2022"/>
      <c r="N185" s="2022"/>
      <c r="O185" s="20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0" sqref="H10"/>
    </sheetView>
  </sheetViews>
  <sheetFormatPr defaultColWidth="6.625" defaultRowHeight="12.75"/>
  <cols>
    <col min="1" max="1" width="9.75" style="2105" customWidth="1"/>
    <col min="2" max="2" width="25.75" style="2095" customWidth="1"/>
    <col min="3" max="3" width="10.375" style="2106" customWidth="1"/>
    <col min="4" max="4" width="10"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463</v>
      </c>
      <c r="B1" s="2760"/>
      <c r="C1" s="2085"/>
      <c r="D1" s="2085"/>
      <c r="E1" s="2085"/>
      <c r="F1" s="2085"/>
      <c r="G1" s="2085"/>
      <c r="H1" s="2085"/>
      <c r="I1" s="2085"/>
      <c r="J1" s="2085"/>
      <c r="K1" s="420">
        <f>MATCH(B1,'数据-取费表'!A6:A16,0)+5</f>
        <v>10</v>
      </c>
    </row>
    <row r="2" spans="1:31" s="2022" customFormat="1" ht="18" customHeight="1">
      <c r="A2" s="2082" t="s">
        <v>464</v>
      </c>
      <c r="B2" s="2086">
        <f ca="1">C36</f>
        <v>66891</v>
      </c>
      <c r="C2" s="2085"/>
      <c r="D2" s="2085"/>
      <c r="E2" s="2085"/>
      <c r="F2" s="2085"/>
      <c r="G2" s="2085"/>
      <c r="H2" s="2085"/>
      <c r="I2" s="2085"/>
      <c r="J2" s="2085"/>
      <c r="K2" s="2085"/>
    </row>
    <row r="3" spans="1:31" s="2022" customFormat="1" ht="18" customHeight="1">
      <c r="A3" s="2087" t="s">
        <v>1681</v>
      </c>
      <c r="B3" s="2088">
        <f ca="1">ROUND(B2*10000/IF(B1="",'数据-汇总表'!E3,INDIRECT("'数据-取费表'!K"&amp;$K$1)),0)</f>
        <v>13643</v>
      </c>
      <c r="C3" s="2085"/>
      <c r="D3" s="2085"/>
      <c r="E3" s="2085"/>
      <c r="F3" s="2085"/>
      <c r="G3" s="2085"/>
      <c r="H3" s="2085"/>
      <c r="I3" s="2085"/>
      <c r="J3" s="2085"/>
      <c r="K3" s="2085"/>
    </row>
    <row r="4" spans="1:31" s="2022" customFormat="1" ht="18" customHeight="1">
      <c r="A4" s="424" t="s">
        <v>465</v>
      </c>
      <c r="B4" s="425">
        <f ca="1">ROUND(B2*10000/IF(B1="",'数据-汇总表'!D3,INDIRECT("'数据-取费表'!R"&amp;$K$1)),0)</f>
        <v>22694</v>
      </c>
      <c r="C4" s="426"/>
      <c r="D4" s="420"/>
      <c r="E4" s="420"/>
      <c r="F4" s="420"/>
      <c r="G4" s="420"/>
      <c r="H4" s="420"/>
      <c r="I4" s="420"/>
      <c r="J4" s="420"/>
      <c r="K4" s="420"/>
    </row>
    <row r="5" spans="1:31" s="2022" customFormat="1" ht="18" customHeight="1" thickBot="1">
      <c r="A5" s="427"/>
      <c r="B5" s="428">
        <f ca="1">ROUND(B2/(IF(B1="",'数据-汇总表'!D3,INDIRECT("'数据-取费表'!R"&amp;$K$1))/666.67),0)</f>
        <v>1513</v>
      </c>
      <c r="C5" s="429" t="s">
        <v>466</v>
      </c>
      <c r="D5" s="420"/>
      <c r="E5" s="420"/>
      <c r="F5" s="420"/>
      <c r="G5" s="420"/>
      <c r="H5" s="420"/>
      <c r="I5" s="420"/>
      <c r="J5" s="420"/>
      <c r="K5" s="420"/>
    </row>
    <row r="6" spans="1:31" s="2092" customFormat="1" ht="16.5" customHeight="1">
      <c r="A6" s="2779" t="s">
        <v>1839</v>
      </c>
      <c r="B6" s="2780"/>
      <c r="C6" s="2781">
        <f ca="1">SUM(C10:K10)</f>
        <v>123607</v>
      </c>
      <c r="D6" s="2780"/>
      <c r="E6" s="2780"/>
      <c r="F6" s="2780"/>
      <c r="G6" s="2780"/>
      <c r="H6" s="2780"/>
      <c r="I6" s="2780"/>
      <c r="J6" s="2780"/>
      <c r="K6" s="2782"/>
    </row>
    <row r="7" spans="1:31" s="2094" customFormat="1" ht="15">
      <c r="A7" s="2783" t="s">
        <v>467</v>
      </c>
      <c r="B7" s="2784" t="s">
        <v>468</v>
      </c>
      <c r="C7" s="434" t="s">
        <v>3015</v>
      </c>
      <c r="D7" s="434" t="s">
        <v>3418</v>
      </c>
      <c r="E7" s="434"/>
      <c r="F7" s="434" t="s">
        <v>3019</v>
      </c>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1842</v>
      </c>
      <c r="B8" s="259" t="s">
        <v>469</v>
      </c>
      <c r="C8" s="2785">
        <f>'比较法-洋房'!B3</f>
        <v>32411</v>
      </c>
      <c r="D8" s="2785">
        <f>'比较法-叠墅'!C49</f>
        <v>43978</v>
      </c>
      <c r="E8" s="2785"/>
      <c r="F8" s="2785">
        <f ca="1">'不动产收益法-车库'!B3</f>
        <v>2103</v>
      </c>
      <c r="G8" s="2785"/>
      <c r="H8" s="2785"/>
      <c r="I8" s="2785"/>
      <c r="J8" s="2785"/>
      <c r="K8" s="2786"/>
      <c r="L8" s="2095">
        <f>D8/C8</f>
        <v>1.3568850081762365</v>
      </c>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1843</v>
      </c>
      <c r="B9" s="259" t="s">
        <v>470</v>
      </c>
      <c r="C9" s="439">
        <f>SUMIF('数据-汇总表'!$C19:$C33,'剩余法-待开发'!C7,'数据-汇总表'!$E19:$E33)</f>
        <v>27900.15</v>
      </c>
      <c r="D9" s="439">
        <f>SUMIF('数据-汇总表'!$C19:$C33,'剩余法-待开发'!D7,'数据-汇总表'!$E19:$E33)</f>
        <v>7001.46</v>
      </c>
      <c r="E9" s="439">
        <f>SUMIF('数据-汇总表'!$C19:$C33,'剩余法-待开发'!E7,'数据-汇总表'!$E19:$E33)</f>
        <v>0</v>
      </c>
      <c r="F9" s="439">
        <f>SUMIF('数据-汇总表'!$C19:$C33,'剩余法-待开发'!F7,'数据-汇总表'!$E19:$E33)</f>
        <v>11357.88</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1844</v>
      </c>
      <c r="B10" s="2773" t="s">
        <v>471</v>
      </c>
      <c r="C10" s="2976">
        <f>ROUND(C8*C9/10000,0)</f>
        <v>90427</v>
      </c>
      <c r="D10" s="2976">
        <f>ROUND(D8*D9/10000,0)</f>
        <v>30791</v>
      </c>
      <c r="E10" s="2976"/>
      <c r="F10" s="2976">
        <f t="shared" ref="F10" ca="1" si="0">ROUND(F8*F9/10000,0)</f>
        <v>2389</v>
      </c>
      <c r="G10" s="2788"/>
      <c r="H10" s="2788"/>
      <c r="I10" s="2788"/>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1840</v>
      </c>
      <c r="B11" s="2780"/>
      <c r="C11" s="2780"/>
      <c r="D11" s="2780"/>
      <c r="E11" s="2780"/>
      <c r="F11" s="2780"/>
      <c r="G11" s="2780"/>
      <c r="H11" s="2780"/>
      <c r="I11" s="2780"/>
      <c r="J11" s="2780"/>
      <c r="K11" s="2782"/>
    </row>
    <row r="12" spans="1:31" s="2066" customFormat="1" ht="13.5" customHeight="1">
      <c r="A12" s="2791" t="s">
        <v>467</v>
      </c>
      <c r="B12" s="2763" t="s">
        <v>468</v>
      </c>
      <c r="C12" s="2792" t="s">
        <v>472</v>
      </c>
      <c r="D12" s="2759" t="s">
        <v>473</v>
      </c>
      <c r="E12" s="2759" t="s">
        <v>474</v>
      </c>
      <c r="F12" s="2759" t="s">
        <v>475</v>
      </c>
      <c r="G12" s="2763"/>
      <c r="H12" s="2764"/>
      <c r="I12" s="2764"/>
      <c r="J12" s="2764"/>
      <c r="K12" s="2765"/>
    </row>
    <row r="13" spans="1:31" s="2097" customFormat="1" ht="13.5" customHeight="1">
      <c r="A13" s="2793" t="s">
        <v>1845</v>
      </c>
      <c r="B13" s="2794" t="s">
        <v>476</v>
      </c>
      <c r="C13" s="448">
        <f ca="1">IF(B1="",'数据-取费表'!P16,INDIRECT("'数据-取费表'!p"&amp;$K$1)+INDIRECT("'数据-取费表'!t"&amp;$K$1))</f>
        <v>13192</v>
      </c>
      <c r="D13" s="2795"/>
      <c r="E13" s="2796"/>
      <c r="F13" s="2797"/>
      <c r="G13" s="2763"/>
      <c r="H13" s="2764"/>
      <c r="I13" s="2764"/>
      <c r="J13" s="2764"/>
      <c r="K13" s="2765"/>
    </row>
    <row r="14" spans="1:31" s="2097" customFormat="1" ht="13.5" customHeight="1">
      <c r="A14" s="2793" t="s">
        <v>1846</v>
      </c>
      <c r="B14" s="2794" t="s">
        <v>477</v>
      </c>
      <c r="C14" s="51">
        <f ca="1">ROUND(C13*F14,0)</f>
        <v>528</v>
      </c>
      <c r="D14" s="2795"/>
      <c r="E14" s="2796"/>
      <c r="F14" s="2798">
        <f>'数据-取费表'!B33</f>
        <v>0.04</v>
      </c>
      <c r="G14" s="2763" t="s">
        <v>478</v>
      </c>
      <c r="H14" s="2764"/>
      <c r="I14" s="2764"/>
      <c r="J14" s="2764"/>
      <c r="K14" s="2765"/>
    </row>
    <row r="15" spans="1:31" s="2097" customFormat="1" ht="13.5" customHeight="1">
      <c r="A15" s="2793" t="s">
        <v>1847</v>
      </c>
      <c r="B15" s="2794" t="s">
        <v>479</v>
      </c>
      <c r="C15" s="51">
        <f ca="1">ROUND(IF(B1="",SUMIF('数据-取费表'!C:C,"住宅",'数据-取费表'!P:P)*F15,IF(INDIRECT("'数据-取费表'!c"&amp;$K$1)="住宅",INDIRECT("'数据-取费表'!P"&amp;$K$1)*F15,0)),0)</f>
        <v>531</v>
      </c>
      <c r="D15" s="2795"/>
      <c r="E15" s="2796"/>
      <c r="F15" s="2798">
        <f>'数据-取费表'!B34</f>
        <v>0.05</v>
      </c>
      <c r="G15" s="2763" t="s">
        <v>480</v>
      </c>
      <c r="H15" s="2764"/>
      <c r="I15" s="2764"/>
      <c r="J15" s="2764"/>
      <c r="K15" s="2765"/>
    </row>
    <row r="16" spans="1:31" s="2098" customFormat="1" ht="13.5" customHeight="1">
      <c r="A16" s="2793" t="s">
        <v>1848</v>
      </c>
      <c r="B16" s="2794" t="s">
        <v>481</v>
      </c>
      <c r="C16" s="51">
        <f ca="1">ROUND(D16*E16/10000,0)</f>
        <v>981</v>
      </c>
      <c r="D16" s="2795">
        <f ca="1">IF(B1="",'数据-汇总表'!E3,INDIRECT("'数据-取费表'!K"&amp;$K$1)+INDIRECT("'数据-取费表'!S"&amp;$K$1))</f>
        <v>49030.880000000005</v>
      </c>
      <c r="E16" s="51">
        <f>'数据-取费表'!B35</f>
        <v>200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1849</v>
      </c>
      <c r="B17" s="2794" t="s">
        <v>482</v>
      </c>
      <c r="C17" s="2799">
        <f ca="1">ROUND(C13*F17,0)</f>
        <v>198</v>
      </c>
      <c r="D17" s="473"/>
      <c r="E17" s="2799"/>
      <c r="F17" s="2800">
        <f>'数据-取费表'!B36</f>
        <v>1.4999999999999999E-2</v>
      </c>
      <c r="G17" s="259" t="s">
        <v>483</v>
      </c>
      <c r="H17" s="2766"/>
      <c r="I17" s="2766"/>
      <c r="J17" s="2766"/>
      <c r="K17" s="277"/>
    </row>
    <row r="18" spans="1:14" s="2097" customFormat="1" ht="12.75" customHeight="1">
      <c r="A18" s="2801" t="s">
        <v>1850</v>
      </c>
      <c r="B18" s="2802" t="s">
        <v>484</v>
      </c>
      <c r="C18" s="2803">
        <f ca="1">SUM(C13:C17)</f>
        <v>15430</v>
      </c>
      <c r="D18" s="2804"/>
      <c r="E18" s="466"/>
      <c r="F18" s="466"/>
      <c r="G18" s="2767" t="s">
        <v>2425</v>
      </c>
      <c r="H18" s="2768"/>
      <c r="I18" s="2768"/>
      <c r="J18" s="2768"/>
      <c r="K18" s="2769"/>
    </row>
    <row r="19" spans="1:14" s="2097" customFormat="1" ht="13.5" customHeight="1">
      <c r="A19" s="2801" t="s">
        <v>1851</v>
      </c>
      <c r="B19" s="2802" t="s">
        <v>485</v>
      </c>
      <c r="C19" s="2759">
        <f ca="1">ROUND(D19*E19/10000,0)</f>
        <v>490</v>
      </c>
      <c r="D19" s="2805">
        <f ca="1">D16</f>
        <v>49030.880000000005</v>
      </c>
      <c r="E19" s="2759">
        <f>'数据-取费表'!B32</f>
        <v>100</v>
      </c>
      <c r="F19" s="466"/>
      <c r="G19" s="2763" t="s">
        <v>486</v>
      </c>
      <c r="H19" s="2764"/>
      <c r="I19" s="2768"/>
      <c r="J19" s="2768"/>
      <c r="K19" s="2769"/>
    </row>
    <row r="20" spans="1:14" s="2097" customFormat="1" ht="13.5" customHeight="1">
      <c r="A20" s="2801" t="s">
        <v>1852</v>
      </c>
      <c r="B20" s="2802" t="s">
        <v>487</v>
      </c>
      <c r="C20" s="3586">
        <f ca="1">C21+C22-IF(B1="",'数据-取费表'!B29,IF(G20="已全部缴纳",C21+C22,H20))</f>
        <v>0</v>
      </c>
      <c r="D20" s="2805"/>
      <c r="E20" s="2759"/>
      <c r="F20" s="2806"/>
      <c r="G20" s="3035" t="s">
        <v>3535</v>
      </c>
      <c r="H20" s="2761"/>
      <c r="I20" s="2762" t="s">
        <v>2645</v>
      </c>
      <c r="J20" s="2768"/>
      <c r="K20" s="2769"/>
    </row>
    <row r="21" spans="1:14" s="2097" customFormat="1" ht="13.5" customHeight="1">
      <c r="A21" s="2793" t="s">
        <v>1853</v>
      </c>
      <c r="B21" s="2794" t="s">
        <v>488</v>
      </c>
      <c r="C21" s="51">
        <f ca="1">ROUND(D21*E21/10000,0)</f>
        <v>768</v>
      </c>
      <c r="D21" s="2795">
        <f ca="1">IF(B1="",'数据-汇总表'!E5,IF(INDIRECT("'数据-取费表'!c"&amp;$K$1)="住宅",INDIRECT("'数据-取费表'!k"&amp;$K$1),0))</f>
        <v>34901.61</v>
      </c>
      <c r="E21" s="51">
        <f>'数据-取费表'!B27</f>
        <v>220</v>
      </c>
      <c r="F21" s="2798"/>
      <c r="G21" s="24"/>
      <c r="H21" s="49"/>
      <c r="I21" s="49"/>
      <c r="J21" s="49"/>
      <c r="K21" s="2770"/>
    </row>
    <row r="22" spans="1:14" s="2097" customFormat="1" ht="13.5" customHeight="1">
      <c r="A22" s="2793" t="s">
        <v>1854</v>
      </c>
      <c r="B22" s="2794" t="s">
        <v>489</v>
      </c>
      <c r="C22" s="51">
        <f ca="1">ROUND(D22*E22/10000,0)</f>
        <v>311</v>
      </c>
      <c r="D22" s="2795">
        <f ca="1">IF(B1="",'数据-汇总表'!E6,IF(INDIRECT("'数据-取费表'!c"&amp;$K$1)="住宅",INDIRECT("'数据-取费表'!s"&amp;$K$1),INDIRECT("'数据-取费表'!k"&amp;$K$1)+INDIRECT("'数据-取费表'!s"&amp;$K$1)))</f>
        <v>14129.270000000004</v>
      </c>
      <c r="E22" s="51">
        <f>'数据-取费表'!B28</f>
        <v>220</v>
      </c>
      <c r="F22" s="2798"/>
      <c r="G22" s="24"/>
      <c r="H22" s="49"/>
      <c r="I22" s="49"/>
      <c r="J22" s="49"/>
      <c r="K22" s="2770"/>
    </row>
    <row r="23" spans="1:14" s="2097" customFormat="1" ht="13.5" customHeight="1">
      <c r="A23" s="2801" t="s">
        <v>1855</v>
      </c>
      <c r="B23" s="2982" t="s">
        <v>2828</v>
      </c>
      <c r="C23" s="2803">
        <f ca="1">ROUND((C18+C19+C20)*F23,0)</f>
        <v>318</v>
      </c>
      <c r="D23" s="466"/>
      <c r="E23" s="466"/>
      <c r="F23" s="2807">
        <f>'数据-取费表'!B37</f>
        <v>0.02</v>
      </c>
      <c r="G23" s="2763" t="s">
        <v>2426</v>
      </c>
      <c r="H23" s="2764"/>
      <c r="I23" s="2764"/>
      <c r="J23" s="2764"/>
      <c r="K23" s="2765"/>
      <c r="L23" s="2099"/>
      <c r="M23" s="2099"/>
      <c r="N23" s="2099"/>
    </row>
    <row r="24" spans="1:14" s="2097" customFormat="1" ht="13.5" customHeight="1">
      <c r="A24" s="2801" t="s">
        <v>1856</v>
      </c>
      <c r="B24" s="2982" t="s">
        <v>2831</v>
      </c>
      <c r="C24" s="2803">
        <f ca="1">ROUND(C6*F24,0)</f>
        <v>2472</v>
      </c>
      <c r="D24" s="473"/>
      <c r="E24" s="471"/>
      <c r="F24" s="2807">
        <f>'数据-取费表'!B38</f>
        <v>0.02</v>
      </c>
      <c r="G24" s="2772" t="s">
        <v>496</v>
      </c>
      <c r="H24" s="2766"/>
      <c r="I24" s="2766"/>
      <c r="J24" s="2766"/>
      <c r="K24" s="277"/>
      <c r="L24" s="2099"/>
      <c r="M24" s="2099"/>
      <c r="N24" s="2099"/>
    </row>
    <row r="25" spans="1:14" s="2100" customFormat="1" ht="13.5" customHeight="1">
      <c r="A25" s="2801" t="s">
        <v>1857</v>
      </c>
      <c r="B25" s="2982" t="s">
        <v>2829</v>
      </c>
      <c r="C25" s="465">
        <f>ROUND(F25/(1+'数据-取费表'!C42),4)</f>
        <v>2.9000000000000001E-2</v>
      </c>
      <c r="D25" s="460" t="s">
        <v>2823</v>
      </c>
      <c r="E25" s="467"/>
      <c r="F25" s="2807">
        <f>IF(项目基本情况!B8="出让",0,'数据-取费表'!B48+'数据-取费表'!B49)</f>
        <v>3.0499999999999999E-2</v>
      </c>
      <c r="G25" s="2771" t="s">
        <v>2285</v>
      </c>
      <c r="H25" s="2764"/>
      <c r="I25" s="2764"/>
      <c r="J25" s="2764"/>
      <c r="K25" s="2765"/>
    </row>
    <row r="26" spans="1:14" s="2099" customFormat="1" ht="13.5" customHeight="1">
      <c r="A26" s="2801" t="s">
        <v>1858</v>
      </c>
      <c r="B26" s="2983" t="s">
        <v>2830</v>
      </c>
      <c r="C26" s="2808">
        <f ca="1">C28</f>
        <v>889</v>
      </c>
      <c r="D26" s="465">
        <f ca="1">C27</f>
        <v>0.10009999999999999</v>
      </c>
      <c r="E26" s="467" t="s">
        <v>492</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1" t="s">
        <v>1853</v>
      </c>
      <c r="B27" s="2809" t="s">
        <v>493</v>
      </c>
      <c r="C27" s="2810">
        <f ca="1">ROUND(IF('数据-取费表'!B22&lt;=1,(1+C25)*F26*'数据-取费表'!B24,(1+C25)*(POWER((1+F26),'数据-取费表'!B24)-1)),4)</f>
        <v>0.10009999999999999</v>
      </c>
      <c r="D27" s="470"/>
      <c r="E27" s="471"/>
      <c r="F27" s="472"/>
      <c r="G27" s="2532" t="str">
        <f>IF('数据-取费表'!B22&lt;=1,"（1+取得税费率/(1+5%)）×年利率×建设期","（1+取得税费率）/(1+5%)×((1+年利率)^建设期-1)")</f>
        <v>（1+取得税费率）/(1+5%)×((1+年利率)^建设期-1)</v>
      </c>
      <c r="H27" s="2766"/>
      <c r="I27" s="2766"/>
      <c r="J27" s="2766"/>
      <c r="K27" s="277"/>
    </row>
    <row r="28" spans="1:14" s="2101" customFormat="1" ht="13.5" customHeight="1">
      <c r="A28" s="801" t="s">
        <v>1854</v>
      </c>
      <c r="B28" s="2809" t="s">
        <v>2832</v>
      </c>
      <c r="C28" s="2811">
        <f ca="1">ROUND(IF('数据-取费表'!B22&lt;=1,(C18+C19+C20+C23+C24)*F26*'数据-取费表'!B24/2,(C18+C19+C20+C23+C24)*(POWER((1+F26),'数据-取费表'!B24/2)-1)),0)</f>
        <v>889</v>
      </c>
      <c r="D28" s="470"/>
      <c r="E28" s="471"/>
      <c r="F28" s="472"/>
      <c r="G28" s="2532" t="str">
        <f>IF('数据-取费表'!B22&lt;=1,"（1）-（4）项×年利率×建设期÷2","（1）-（4）项×((1+年利率)^(建设期÷2)-1)")</f>
        <v>（1）-（4）项×((1+年利率)^(建设期÷2)-1)</v>
      </c>
      <c r="H28" s="2766"/>
      <c r="I28" s="2766"/>
      <c r="J28" s="2766"/>
      <c r="K28" s="277"/>
    </row>
    <row r="29" spans="1:14" s="2101" customFormat="1" ht="13.5" customHeight="1">
      <c r="A29" s="2812" t="s">
        <v>1859</v>
      </c>
      <c r="B29" s="2802" t="s">
        <v>494</v>
      </c>
      <c r="C29" s="2803">
        <f ca="1">ROUND(C6*F29/(1+'数据-取费表'!C42),0)</f>
        <v>6592</v>
      </c>
      <c r="D29" s="466"/>
      <c r="E29" s="466"/>
      <c r="F29" s="2984">
        <f>'数据-取费表'!B41</f>
        <v>5.6000000000000001E-2</v>
      </c>
      <c r="G29" s="2772" t="s">
        <v>495</v>
      </c>
      <c r="H29" s="2764"/>
      <c r="I29" s="2764"/>
      <c r="J29" s="2764"/>
      <c r="K29" s="2765"/>
    </row>
    <row r="30" spans="1:14" s="2102" customFormat="1" ht="13.5" customHeight="1">
      <c r="A30" s="1617" t="s">
        <v>1860</v>
      </c>
      <c r="B30" s="2813" t="s">
        <v>497</v>
      </c>
      <c r="C30" s="2808">
        <f ca="1">C31</f>
        <v>26191</v>
      </c>
      <c r="D30" s="475">
        <f ca="1">C32</f>
        <v>0.12909999999999999</v>
      </c>
      <c r="E30" s="467" t="s">
        <v>492</v>
      </c>
      <c r="F30" s="469"/>
      <c r="G30" s="2771" t="s">
        <v>2966</v>
      </c>
      <c r="H30" s="2764"/>
      <c r="I30" s="2764"/>
      <c r="J30" s="2764"/>
      <c r="K30" s="2765"/>
    </row>
    <row r="31" spans="1:14" s="2101" customFormat="1" ht="13.5" customHeight="1">
      <c r="A31" s="801" t="s">
        <v>1853</v>
      </c>
      <c r="B31" s="2809"/>
      <c r="C31" s="448">
        <f ca="1">C18+C19+C20+C23+C24+C26+C29</f>
        <v>26191</v>
      </c>
      <c r="D31" s="470"/>
      <c r="E31" s="471"/>
      <c r="F31" s="472"/>
      <c r="G31" s="259"/>
      <c r="H31" s="2766"/>
      <c r="I31" s="2766"/>
      <c r="J31" s="2766"/>
      <c r="K31" s="277"/>
    </row>
    <row r="32" spans="1:14" s="2101" customFormat="1" ht="13.5" customHeight="1">
      <c r="A32" s="801" t="s">
        <v>1854</v>
      </c>
      <c r="B32" s="2809"/>
      <c r="C32" s="51">
        <f ca="1">ROUND(C25+D26,4)</f>
        <v>0.12909999999999999</v>
      </c>
      <c r="D32" s="470"/>
      <c r="E32" s="471"/>
      <c r="F32" s="472"/>
      <c r="G32" s="259"/>
      <c r="H32" s="2766"/>
      <c r="I32" s="2766"/>
      <c r="J32" s="2766"/>
      <c r="K32" s="277"/>
    </row>
    <row r="33" spans="1:11" s="2103" customFormat="1" ht="13.5" customHeight="1">
      <c r="A33" s="2981" t="s">
        <v>2827</v>
      </c>
      <c r="B33" s="2979" t="s">
        <v>2825</v>
      </c>
      <c r="C33" s="476">
        <f ca="1">C35</f>
        <v>4678</v>
      </c>
      <c r="D33" s="465">
        <f ca="1">C34</f>
        <v>0.25729999999999997</v>
      </c>
      <c r="E33" s="467" t="s">
        <v>492</v>
      </c>
      <c r="F33" s="477">
        <f ca="1">IF(B1="",'数据-取费表'!Q16,INDIRECT("'数据-取费表'!q"&amp;$K$1))</f>
        <v>0.25</v>
      </c>
      <c r="G33" s="2767"/>
      <c r="H33" s="2768"/>
      <c r="I33" s="2768"/>
      <c r="J33" s="2768"/>
      <c r="K33" s="2769"/>
    </row>
    <row r="34" spans="1:11" s="2104" customFormat="1" ht="13.5" customHeight="1">
      <c r="A34" s="373" t="s">
        <v>1853</v>
      </c>
      <c r="B34" s="2814" t="s">
        <v>498</v>
      </c>
      <c r="C34" s="470">
        <f ca="1">ROUND((1+C25)*F33,4)</f>
        <v>0.25729999999999997</v>
      </c>
      <c r="D34" s="470"/>
      <c r="E34" s="471"/>
      <c r="F34" s="478"/>
      <c r="G34" s="259" t="s">
        <v>2286</v>
      </c>
      <c r="H34" s="2766"/>
      <c r="I34" s="2766"/>
      <c r="J34" s="2766"/>
      <c r="K34" s="277"/>
    </row>
    <row r="35" spans="1:11" s="2104" customFormat="1" ht="13.5" customHeight="1" thickBot="1">
      <c r="A35" s="1618" t="s">
        <v>1854</v>
      </c>
      <c r="B35" s="2980" t="s">
        <v>2833</v>
      </c>
      <c r="C35" s="1610">
        <f ca="1">ROUND((C18+C19+C20+C23+C24)*F33,0)</f>
        <v>4678</v>
      </c>
      <c r="D35" s="1611"/>
      <c r="E35" s="2815"/>
      <c r="F35" s="1612"/>
      <c r="G35" s="2773"/>
      <c r="H35" s="2774"/>
      <c r="I35" s="2774"/>
      <c r="J35" s="2774"/>
      <c r="K35" s="2775"/>
    </row>
    <row r="36" spans="1:11" s="2066" customFormat="1" ht="13.5" customHeight="1" thickBot="1">
      <c r="A36" s="282" t="s">
        <v>1841</v>
      </c>
      <c r="B36" s="2777"/>
      <c r="C36" s="2816">
        <f ca="1">ROUND((C6-C30-C33)/(1+D30+D33),0)</f>
        <v>66891</v>
      </c>
      <c r="D36" s="2777"/>
      <c r="E36" s="2777"/>
      <c r="F36" s="2777"/>
      <c r="G36" s="2776" t="s">
        <v>2834</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F33" sqref="F33"/>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1898</v>
      </c>
      <c r="B36" s="1636" t="s">
        <v>1899</v>
      </c>
    </row>
    <row r="37" spans="1:9" ht="28.5" customHeight="1">
      <c r="A37" s="1636"/>
      <c r="B37" s="3591" t="str">
        <f>项目基本情况!B1</f>
        <v>出让国有建设用地使用权抵押价格预评估</v>
      </c>
      <c r="C37" s="3591"/>
      <c r="D37" s="3591"/>
      <c r="E37" s="3591"/>
      <c r="F37" s="3591"/>
      <c r="G37" s="3591"/>
      <c r="H37" s="3591"/>
      <c r="I37" s="3591"/>
    </row>
    <row r="38" spans="1:9">
      <c r="A38" s="1638"/>
      <c r="B38" s="1638"/>
    </row>
    <row r="39" spans="1:9">
      <c r="A39" s="1636" t="s">
        <v>1898</v>
      </c>
      <c r="B39" s="1636" t="s">
        <v>2043</v>
      </c>
    </row>
    <row r="40" spans="1:9">
      <c r="A40" s="1636"/>
      <c r="B40" s="1636">
        <f>项目基本情况!B5</f>
        <v>0</v>
      </c>
    </row>
    <row r="41" spans="1:9">
      <c r="A41" s="1636"/>
      <c r="B41" s="1636"/>
    </row>
    <row r="42" spans="1:9">
      <c r="A42" s="1636" t="s">
        <v>1898</v>
      </c>
      <c r="B42" s="1636" t="s">
        <v>2044</v>
      </c>
    </row>
    <row r="43" spans="1:9">
      <c r="A43" s="1636"/>
      <c r="B43" s="1636" t="s">
        <v>1900</v>
      </c>
    </row>
    <row r="44" spans="1:9">
      <c r="A44" s="1636"/>
      <c r="B44" s="1636"/>
    </row>
    <row r="45" spans="1:9">
      <c r="A45" s="1636" t="s">
        <v>1898</v>
      </c>
      <c r="B45" s="1636" t="s">
        <v>2042</v>
      </c>
    </row>
    <row r="46" spans="1:9" s="1636" customFormat="1" ht="12.75">
      <c r="B46" s="1636" t="str">
        <f>项目基本情况!K4</f>
        <v>土地估价师、土地估价师</v>
      </c>
    </row>
    <row r="47" spans="1:9">
      <c r="A47" s="1636"/>
      <c r="B47" s="1636"/>
    </row>
    <row r="48" spans="1:9">
      <c r="A48" s="1636" t="s">
        <v>1898</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9" t="s">
        <v>463</v>
      </c>
      <c r="B1" s="2760"/>
      <c r="C1" s="2085"/>
      <c r="D1" s="2085"/>
      <c r="E1" s="2085"/>
      <c r="F1" s="2085"/>
      <c r="G1" s="2085"/>
      <c r="H1" s="2085"/>
      <c r="I1" s="2085"/>
      <c r="J1" s="2085"/>
      <c r="K1" s="420">
        <f>MATCH(B1,'数据-取费表'!A6:A16,0)+5</f>
        <v>10</v>
      </c>
    </row>
    <row r="2" spans="1:41" s="2022" customFormat="1" ht="18" customHeight="1">
      <c r="A2" s="421" t="s">
        <v>464</v>
      </c>
      <c r="B2" s="422">
        <f ca="1">C32</f>
        <v>0</v>
      </c>
      <c r="C2" s="2085"/>
      <c r="D2" s="2085"/>
      <c r="E2" s="2085"/>
      <c r="F2" s="2085"/>
      <c r="G2" s="2085"/>
      <c r="H2" s="2085"/>
      <c r="I2" s="2085"/>
      <c r="J2" s="2085"/>
      <c r="K2" s="2085"/>
    </row>
    <row r="3" spans="1:41" s="2022" customFormat="1" ht="18" customHeight="1">
      <c r="A3" s="1372" t="s">
        <v>1681</v>
      </c>
      <c r="B3" s="423">
        <f ca="1">ROUND(B2*10000/IF(B1="",'数据-汇总表'!E3,INDIRECT("'数据-取费表'!K"&amp;$K$1)),0)</f>
        <v>0</v>
      </c>
      <c r="C3" s="2085"/>
      <c r="D3" s="2085"/>
      <c r="E3" s="2085"/>
      <c r="F3" s="2085"/>
      <c r="G3" s="2085"/>
      <c r="H3" s="2085"/>
      <c r="I3" s="2085"/>
      <c r="J3" s="2085"/>
      <c r="K3" s="2085"/>
    </row>
    <row r="4" spans="1:41" s="2022" customFormat="1" ht="18" customHeight="1">
      <c r="A4" s="424" t="s">
        <v>465</v>
      </c>
      <c r="B4" s="425">
        <f ca="1">ROUND(B2*10000/IF(B1="",'数据-汇总表'!D3,INDIRECT("'数据-取费表'!R"&amp;$K$1)),0)</f>
        <v>0</v>
      </c>
      <c r="C4" s="2042"/>
      <c r="D4" s="2085"/>
      <c r="E4" s="2085"/>
      <c r="F4" s="2085"/>
      <c r="G4" s="2085"/>
      <c r="H4" s="2085"/>
      <c r="I4" s="2085"/>
      <c r="J4" s="2085"/>
      <c r="K4" s="2085"/>
    </row>
    <row r="5" spans="1:41" s="2022" customFormat="1" ht="18" customHeight="1" thickBot="1">
      <c r="A5" s="427"/>
      <c r="B5" s="428">
        <f ca="1">ROUND(B2/(IF(B1="",'数据-汇总表'!D3,INDIRECT("'数据-取费表'!R"&amp;$K$1))/666.67),0)</f>
        <v>0</v>
      </c>
      <c r="C5" s="429" t="s">
        <v>466</v>
      </c>
      <c r="D5" s="2085"/>
      <c r="E5" s="2085"/>
      <c r="F5" s="2085"/>
      <c r="G5" s="2085"/>
      <c r="H5" s="2085"/>
      <c r="I5" s="2085"/>
      <c r="J5" s="2085"/>
      <c r="K5" s="2085"/>
    </row>
    <row r="6" spans="1:41" s="2092" customFormat="1" ht="16.5" customHeight="1">
      <c r="A6" s="430" t="s">
        <v>2646</v>
      </c>
      <c r="B6" s="431"/>
      <c r="C6" s="1605">
        <f>SUM(C10:K10)</f>
        <v>0</v>
      </c>
      <c r="D6" s="2090"/>
      <c r="E6" s="2090"/>
      <c r="F6" s="2090"/>
      <c r="G6" s="2090"/>
      <c r="H6" s="2090"/>
      <c r="I6" s="2090"/>
      <c r="J6" s="2090"/>
      <c r="K6" s="2091"/>
    </row>
    <row r="7" spans="1:41" s="2094" customFormat="1" ht="15">
      <c r="A7" s="432" t="s">
        <v>467</v>
      </c>
      <c r="B7" s="433" t="s">
        <v>468</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3" t="s">
        <v>1842</v>
      </c>
      <c r="B8" s="436" t="s">
        <v>469</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3"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4" t="s">
        <v>1844</v>
      </c>
      <c r="B10" s="1606" t="s">
        <v>471</v>
      </c>
      <c r="C10" s="1607"/>
      <c r="D10" s="1607"/>
      <c r="E10" s="1607"/>
      <c r="F10" s="1608"/>
      <c r="G10" s="1608"/>
      <c r="H10" s="1608"/>
      <c r="I10" s="1608"/>
      <c r="J10" s="1608"/>
      <c r="K10" s="1609"/>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2" t="s">
        <v>1861</v>
      </c>
      <c r="B11" s="1603"/>
      <c r="C11" s="1603"/>
      <c r="D11" s="1603"/>
      <c r="E11" s="1603"/>
      <c r="F11" s="1603"/>
      <c r="G11" s="1603"/>
      <c r="H11" s="1603"/>
      <c r="I11" s="1603"/>
      <c r="J11" s="1603"/>
      <c r="K11" s="1604"/>
    </row>
    <row r="12" spans="1:41" s="2066" customFormat="1" ht="13.5" customHeight="1">
      <c r="A12" s="432" t="s">
        <v>467</v>
      </c>
      <c r="B12" s="442" t="s">
        <v>468</v>
      </c>
      <c r="C12" s="443" t="s">
        <v>472</v>
      </c>
      <c r="D12" s="444" t="s">
        <v>473</v>
      </c>
      <c r="E12" s="444" t="s">
        <v>474</v>
      </c>
      <c r="F12" s="444" t="s">
        <v>475</v>
      </c>
      <c r="G12" s="442"/>
      <c r="H12" s="445"/>
      <c r="I12" s="445"/>
      <c r="J12" s="445"/>
      <c r="K12" s="446"/>
    </row>
    <row r="13" spans="1:41" s="2097" customFormat="1" ht="13.5" customHeight="1">
      <c r="A13" s="1615" t="s">
        <v>1845</v>
      </c>
      <c r="B13" s="447" t="s">
        <v>476</v>
      </c>
      <c r="C13" s="448">
        <f ca="1">IF(B1="",'数据-取费表'!M16,INDIRECT("'数据-取费表'!M"&amp;$K$1)+INDIRECT("'数据-取费表'!t"&amp;$K$1))</f>
        <v>13192</v>
      </c>
      <c r="D13" s="449"/>
      <c r="E13" s="363"/>
      <c r="F13" s="450"/>
      <c r="G13" s="442"/>
      <c r="H13" s="445"/>
      <c r="I13" s="445"/>
      <c r="J13" s="445"/>
      <c r="K13" s="446"/>
    </row>
    <row r="14" spans="1:41" s="2097" customFormat="1" ht="13.5" customHeight="1">
      <c r="A14" s="1615" t="s">
        <v>1846</v>
      </c>
      <c r="B14" s="447" t="s">
        <v>477</v>
      </c>
      <c r="C14" s="51">
        <f ca="1">ROUND(C13*F14,0)</f>
        <v>528</v>
      </c>
      <c r="D14" s="449"/>
      <c r="E14" s="363"/>
      <c r="F14" s="451">
        <f>'数据-取费表'!B33</f>
        <v>0.04</v>
      </c>
      <c r="G14" s="442" t="s">
        <v>499</v>
      </c>
      <c r="H14" s="445"/>
      <c r="I14" s="445"/>
      <c r="J14" s="445"/>
      <c r="K14" s="446"/>
    </row>
    <row r="15" spans="1:41" s="2097" customFormat="1" ht="13.5" customHeight="1">
      <c r="A15" s="1615" t="s">
        <v>1847</v>
      </c>
      <c r="B15" s="447" t="s">
        <v>479</v>
      </c>
      <c r="C15" s="51">
        <f ca="1">ROUND(IF(B1="",SUMIF('数据-取费表'!C:C,"住宅",'数据-取费表'!M:M)*F15,IF(INDIRECT("'数据-取费表'!c"&amp;$K$1)="住宅",INDIRECT("'数据-取费表'!M"&amp;$K$1)*F15,0)),0)</f>
        <v>531</v>
      </c>
      <c r="D15" s="449"/>
      <c r="E15" s="363"/>
      <c r="F15" s="451">
        <f>'数据-取费表'!B34</f>
        <v>0.05</v>
      </c>
      <c r="G15" s="442" t="s">
        <v>499</v>
      </c>
      <c r="H15" s="445"/>
      <c r="I15" s="445"/>
      <c r="J15" s="445"/>
      <c r="K15" s="446"/>
    </row>
    <row r="16" spans="1:41" s="2098" customFormat="1" ht="13.5" customHeight="1">
      <c r="A16" s="1615" t="s">
        <v>1848</v>
      </c>
      <c r="B16" s="447" t="s">
        <v>481</v>
      </c>
      <c r="C16" s="51">
        <f ca="1">ROUND(D16*E16/10000,0)</f>
        <v>981</v>
      </c>
      <c r="D16" s="449">
        <f ca="1">IF(B1="",'数据-汇总表'!E3,INDIRECT("'数据-取费表'!K"&amp;$K$1)+INDIRECT("'数据-取费表'!S"&amp;$K$1))</f>
        <v>49030.880000000005</v>
      </c>
      <c r="E16" s="51">
        <f>'数据-取费表'!B35</f>
        <v>200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5" t="s">
        <v>1849</v>
      </c>
      <c r="B17" s="447" t="s">
        <v>482</v>
      </c>
      <c r="C17" s="452">
        <f ca="1">ROUND(C13*F17,0)</f>
        <v>198</v>
      </c>
      <c r="D17" s="453"/>
      <c r="E17" s="452"/>
      <c r="F17" s="454">
        <f>'数据-取费表'!B36</f>
        <v>1.4999999999999999E-2</v>
      </c>
      <c r="G17" s="442" t="s">
        <v>499</v>
      </c>
      <c r="H17" s="455"/>
      <c r="I17" s="455"/>
      <c r="J17" s="455"/>
      <c r="K17" s="456"/>
    </row>
    <row r="18" spans="1:14" s="2100" customFormat="1" ht="13.5" customHeight="1">
      <c r="A18" s="1616" t="s">
        <v>1850</v>
      </c>
      <c r="B18" s="457" t="s">
        <v>484</v>
      </c>
      <c r="C18" s="458">
        <f ca="1">SUM(C13:C17)</f>
        <v>15430</v>
      </c>
      <c r="D18" s="459"/>
      <c r="E18" s="460"/>
      <c r="F18" s="460"/>
      <c r="G18" s="1321" t="s">
        <v>2427</v>
      </c>
      <c r="H18" s="445"/>
      <c r="I18" s="445"/>
      <c r="J18" s="445"/>
      <c r="K18" s="446"/>
    </row>
    <row r="19" spans="1:14" s="2100" customFormat="1" ht="13.5" customHeight="1">
      <c r="A19" s="1616" t="s">
        <v>1851</v>
      </c>
      <c r="B19" s="457" t="s">
        <v>490</v>
      </c>
      <c r="C19" s="458">
        <f ca="1">ROUND(C18*F19,0)</f>
        <v>309</v>
      </c>
      <c r="D19" s="460"/>
      <c r="E19" s="460"/>
      <c r="F19" s="464">
        <f>'数据-取费表'!B37</f>
        <v>0.02</v>
      </c>
      <c r="G19" s="442" t="s">
        <v>500</v>
      </c>
      <c r="H19" s="445"/>
      <c r="I19" s="445"/>
      <c r="J19" s="445"/>
      <c r="K19" s="446"/>
      <c r="L19" s="2102"/>
      <c r="M19" s="2102"/>
      <c r="N19" s="2102"/>
    </row>
    <row r="20" spans="1:14" s="2100" customFormat="1" ht="13.5" customHeight="1">
      <c r="A20" s="1616" t="s">
        <v>1852</v>
      </c>
      <c r="B20" s="457" t="s">
        <v>501</v>
      </c>
      <c r="C20" s="2977">
        <f>F20</f>
        <v>0.02</v>
      </c>
      <c r="D20" s="467" t="s">
        <v>502</v>
      </c>
      <c r="E20" s="467"/>
      <c r="F20" s="484">
        <f>'数据-取费表'!B38</f>
        <v>0.02</v>
      </c>
      <c r="G20" s="1321" t="s">
        <v>503</v>
      </c>
      <c r="H20" s="445"/>
      <c r="I20" s="445"/>
      <c r="J20" s="445"/>
      <c r="K20" s="446"/>
      <c r="L20" s="2102"/>
      <c r="M20" s="2102"/>
      <c r="N20" s="2102"/>
    </row>
    <row r="21" spans="1:14" s="2102" customFormat="1" ht="13.5" customHeight="1">
      <c r="A21" s="1616" t="s">
        <v>1855</v>
      </c>
      <c r="B21" s="459" t="s">
        <v>491</v>
      </c>
      <c r="C21" s="468">
        <f ca="1">C22</f>
        <v>748</v>
      </c>
      <c r="D21" s="465">
        <f ca="1">C23</f>
        <v>1E-3</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099" t="s">
        <v>2449</v>
      </c>
    </row>
    <row r="22" spans="1:14" s="2101" customFormat="1" ht="13.5" customHeight="1">
      <c r="A22" s="1615" t="s">
        <v>1845</v>
      </c>
      <c r="B22" s="1322" t="s">
        <v>2430</v>
      </c>
      <c r="C22" s="485">
        <f ca="1">ROUND(IF('数据-取费表'!B22&lt;=1,(C18+C19)*F21*'数据-取费表'!B20/2,(C18+C19)*(POWER((1+F21),'数据-取费表'!B20/2)-1)),0)</f>
        <v>748</v>
      </c>
      <c r="D22" s="470"/>
      <c r="E22" s="471"/>
      <c r="F22" s="472"/>
      <c r="G22" s="2527" t="str">
        <f>IF('数据-取费表'!B22&lt;=1,"((1)+(2))×年利率×建设期÷2","((1)+(2))×((1+年利率)^(建设期÷2)-1)")</f>
        <v>((1)+(2))×((1+年利率)^(建设期÷2)-1)</v>
      </c>
      <c r="H22" s="455"/>
      <c r="I22" s="455"/>
      <c r="J22" s="455"/>
      <c r="K22" s="456"/>
    </row>
    <row r="23" spans="1:14" s="2101" customFormat="1" ht="13.5" customHeight="1">
      <c r="A23" s="1615" t="s">
        <v>1846</v>
      </c>
      <c r="B23" s="1322" t="s">
        <v>505</v>
      </c>
      <c r="C23" s="486">
        <f ca="1">ROUND(IF('数据-取费表'!B22&lt;=1,F20*F21*'数据-取费表'!B20/2,F20*(POWER((1+F21),'数据-取费表'!B20/2)-1)),4)</f>
        <v>1E-3</v>
      </c>
      <c r="D23" s="470"/>
      <c r="E23" s="471"/>
      <c r="F23" s="472"/>
      <c r="G23" s="2527" t="str">
        <f>IF('数据-取费表'!B22&lt;=1,"销售费用率×年利率×建设期÷2","销售费用率×((1+年利率)^(建设期÷2)-1)")</f>
        <v>销售费用率×((1+年利率)^(建设期÷2)-1)</v>
      </c>
      <c r="H23" s="455"/>
      <c r="I23" s="455"/>
      <c r="J23" s="455"/>
      <c r="K23" s="456"/>
    </row>
    <row r="24" spans="1:14" s="2101" customFormat="1" ht="13.5" customHeight="1">
      <c r="A24" s="1616" t="s">
        <v>1856</v>
      </c>
      <c r="B24" s="2979" t="s">
        <v>2826</v>
      </c>
      <c r="C24" s="476">
        <f ca="1">C25</f>
        <v>3935</v>
      </c>
      <c r="D24" s="487">
        <f ca="1">C26</f>
        <v>5.0000000000000001E-3</v>
      </c>
      <c r="E24" s="467" t="s">
        <v>504</v>
      </c>
      <c r="F24" s="477">
        <f ca="1">IF(B1="",'数据-取费表'!Q16,INDIRECT("'数据-取费表'!q"&amp;$K$1))</f>
        <v>0.25</v>
      </c>
      <c r="G24" s="442"/>
      <c r="H24" s="445"/>
      <c r="I24" s="445"/>
      <c r="J24" s="445"/>
      <c r="K24" s="446"/>
    </row>
    <row r="25" spans="1:14" s="2101" customFormat="1" ht="13.5" customHeight="1">
      <c r="A25" s="1615" t="s">
        <v>1845</v>
      </c>
      <c r="B25" s="1322" t="s">
        <v>2431</v>
      </c>
      <c r="C25" s="488">
        <f ca="1">ROUND((C18+C19)*F24,0)</f>
        <v>3935</v>
      </c>
      <c r="D25" s="470"/>
      <c r="E25" s="471"/>
      <c r="F25" s="478"/>
      <c r="G25" s="1320" t="s">
        <v>2428</v>
      </c>
      <c r="H25" s="455"/>
      <c r="I25" s="455"/>
      <c r="J25" s="455"/>
      <c r="K25" s="456"/>
    </row>
    <row r="26" spans="1:14" s="2101" customFormat="1" ht="13.5" customHeight="1">
      <c r="A26" s="1615" t="s">
        <v>1846</v>
      </c>
      <c r="B26" s="1322" t="s">
        <v>506</v>
      </c>
      <c r="C26" s="489">
        <f ca="1">ROUND(F20*F24,4)</f>
        <v>5.0000000000000001E-3</v>
      </c>
      <c r="D26" s="470"/>
      <c r="E26" s="479"/>
      <c r="F26" s="478"/>
      <c r="G26" s="1320" t="s">
        <v>507</v>
      </c>
      <c r="H26" s="455"/>
      <c r="I26" s="455"/>
      <c r="J26" s="455"/>
      <c r="K26" s="456"/>
    </row>
    <row r="27" spans="1:14" s="2101" customFormat="1" ht="13.5" customHeight="1">
      <c r="A27" s="1619" t="s">
        <v>1864</v>
      </c>
      <c r="B27" s="457" t="s">
        <v>508</v>
      </c>
      <c r="C27" s="2978">
        <f>ROUND(F27/(1+'数据-取费表'!C42),4)</f>
        <v>5.33E-2</v>
      </c>
      <c r="D27" s="460" t="s">
        <v>2824</v>
      </c>
      <c r="E27" s="460"/>
      <c r="F27" s="464">
        <f>'数据-取费表'!B41</f>
        <v>5.6000000000000001E-2</v>
      </c>
      <c r="G27" s="1941" t="s">
        <v>2287</v>
      </c>
      <c r="H27" s="445"/>
      <c r="I27" s="445"/>
      <c r="J27" s="445"/>
      <c r="K27" s="446"/>
    </row>
    <row r="28" spans="1:14" s="2102" customFormat="1" ht="13.5" customHeight="1">
      <c r="A28" s="1619" t="s">
        <v>1865</v>
      </c>
      <c r="B28" s="474" t="s">
        <v>509</v>
      </c>
      <c r="C28" s="468">
        <f ca="1">ROUND((C18+C19+C21+C24)/(1-C20-D21-D24-C27),0)</f>
        <v>22181</v>
      </c>
      <c r="D28" s="475"/>
      <c r="E28" s="467"/>
      <c r="F28" s="469"/>
      <c r="G28" s="1321" t="s">
        <v>2429</v>
      </c>
      <c r="H28" s="445"/>
      <c r="I28" s="445"/>
      <c r="J28" s="445"/>
      <c r="K28" s="446"/>
    </row>
    <row r="29" spans="1:14" s="2102" customFormat="1" ht="13.5" customHeight="1">
      <c r="A29" s="1619" t="s">
        <v>1866</v>
      </c>
      <c r="B29" s="474" t="s">
        <v>510</v>
      </c>
      <c r="C29" s="490">
        <f ca="1">IF(B1="",'数据-取费表'!N16,INDIRECT("'数据-取费表'!N"&amp;$K$1))</f>
        <v>0</v>
      </c>
      <c r="D29" s="491"/>
      <c r="E29" s="492"/>
      <c r="F29" s="493"/>
      <c r="G29" s="442"/>
      <c r="H29" s="445"/>
      <c r="I29" s="445"/>
      <c r="J29" s="445"/>
      <c r="K29" s="446"/>
    </row>
    <row r="30" spans="1:14" s="2102" customFormat="1" ht="13.5" customHeight="1">
      <c r="A30" s="441">
        <v>2</v>
      </c>
      <c r="B30" s="474" t="s">
        <v>511</v>
      </c>
      <c r="C30" s="495">
        <f ca="1">ROUND(C28*C29,0)</f>
        <v>0</v>
      </c>
      <c r="D30" s="491"/>
      <c r="E30" s="496"/>
      <c r="F30" s="497"/>
      <c r="G30" s="1323" t="s">
        <v>512</v>
      </c>
      <c r="H30" s="494"/>
      <c r="I30" s="494"/>
      <c r="J30" s="445"/>
      <c r="K30" s="446"/>
    </row>
    <row r="31" spans="1:14" s="2107" customFormat="1" ht="13.5" customHeight="1">
      <c r="A31" s="2442" t="s">
        <v>1862</v>
      </c>
      <c r="B31" s="1324"/>
      <c r="C31" s="498">
        <f>ROUND(C6*F31/(1+'数据-取费表'!C42),0)</f>
        <v>0</v>
      </c>
      <c r="D31" s="1325"/>
      <c r="E31" s="1325"/>
      <c r="F31" s="499">
        <f>'数据-取费表'!B41</f>
        <v>5.6000000000000001E-2</v>
      </c>
      <c r="G31" s="1326"/>
      <c r="H31" s="1326"/>
      <c r="I31" s="1326"/>
      <c r="J31" s="1327"/>
      <c r="K31" s="1328"/>
    </row>
    <row r="32" spans="1:14" s="2066"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3" t="s">
        <v>2967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21" sqref="I21"/>
    </sheetView>
  </sheetViews>
  <sheetFormatPr defaultColWidth="9" defaultRowHeight="14.25"/>
  <cols>
    <col min="1" max="1" width="10.5" style="3195" customWidth="1"/>
    <col min="2" max="2" width="15.75" style="3195" customWidth="1"/>
    <col min="3" max="3" width="15.125" style="3195" customWidth="1"/>
    <col min="4" max="4" width="12.25" style="3195" customWidth="1"/>
    <col min="5" max="5" width="14.375" style="3195" customWidth="1"/>
    <col min="6" max="6" width="12.25" style="3195" customWidth="1"/>
    <col min="7" max="7" width="14.5" style="3195" customWidth="1"/>
    <col min="8" max="8" width="12.25" style="3195" customWidth="1"/>
    <col min="9" max="9" width="14.5" style="3195" customWidth="1"/>
    <col min="10" max="10" width="12.25" style="3195" customWidth="1"/>
    <col min="11" max="11" width="12.25" style="3410" customWidth="1"/>
    <col min="12" max="12" width="12.25" style="3411" customWidth="1"/>
    <col min="13" max="15" width="12.25" style="3195" customWidth="1"/>
    <col min="16" max="16" width="4.75" style="3502" customWidth="1"/>
    <col min="17" max="17" width="19.5" style="3195" customWidth="1"/>
    <col min="18" max="22" width="6.125" style="3195" customWidth="1"/>
    <col min="23" max="23" width="5.75" style="3195" customWidth="1"/>
    <col min="24" max="24" width="4.25" style="3195" customWidth="1"/>
    <col min="25" max="25" width="3.5" style="3195" customWidth="1"/>
    <col min="26" max="26" width="19.75" style="3195" customWidth="1"/>
    <col min="27" max="28" width="9.375" style="3195" customWidth="1"/>
    <col min="29" max="16384" width="9" style="3195"/>
  </cols>
  <sheetData>
    <row r="1" spans="1:29" s="3435" customFormat="1" ht="28.5" customHeight="1" thickBot="1">
      <c r="A1" s="3422" t="s">
        <v>3271</v>
      </c>
      <c r="B1" s="3423" t="s">
        <v>3272</v>
      </c>
      <c r="C1" s="3424" t="s">
        <v>3273</v>
      </c>
      <c r="D1" s="3425" t="s">
        <v>3015</v>
      </c>
      <c r="E1" s="3426"/>
      <c r="F1" s="3427" t="s">
        <v>3274</v>
      </c>
      <c r="G1" s="3428" t="s">
        <v>3275</v>
      </c>
      <c r="H1" s="3429"/>
      <c r="I1" s="3429"/>
      <c r="J1" s="3429"/>
      <c r="K1" s="3430"/>
      <c r="L1" s="3431"/>
      <c r="M1" s="3424"/>
      <c r="N1" s="3424"/>
      <c r="O1" s="3424"/>
      <c r="P1" s="3432"/>
      <c r="Q1" s="3433"/>
      <c r="R1" s="3433"/>
      <c r="S1" s="3433"/>
      <c r="T1" s="3433"/>
      <c r="U1" s="3433"/>
      <c r="V1" s="3433"/>
      <c r="W1" s="3433"/>
      <c r="X1" s="3433"/>
      <c r="Y1" s="3433"/>
      <c r="Z1" s="3433"/>
      <c r="AA1" s="3433"/>
      <c r="AB1" s="3433"/>
      <c r="AC1" s="3434"/>
    </row>
    <row r="2" spans="1:29" s="3448" customFormat="1" ht="28.5" customHeight="1" thickTop="1">
      <c r="A2" s="3436" t="s">
        <v>3276</v>
      </c>
      <c r="B2" s="3437" t="e">
        <f>IF(C2="——",ROUND(C49*D3/10000,0),ROUND(C49*D3/10000,0)-D2)</f>
        <v>#VALUE!</v>
      </c>
      <c r="C2" s="3438" t="s">
        <v>949</v>
      </c>
      <c r="D2" s="3439" t="e">
        <f ca="1">SUMIF(INDIRECT("'"&amp;F2&amp;"'"&amp;"!A:A"),"承租人权益价值",INDIRECT("'"&amp;F2&amp;"'"&amp;"!c:c"))</f>
        <v>#REF!</v>
      </c>
      <c r="E2" s="3440" t="s">
        <v>3277</v>
      </c>
      <c r="F2" s="3441"/>
      <c r="G2" s="3189"/>
      <c r="H2" s="3189"/>
      <c r="I2" s="3189"/>
      <c r="J2" s="3189"/>
      <c r="K2" s="3442"/>
      <c r="L2" s="3443"/>
      <c r="M2" s="3444"/>
      <c r="N2" s="3444"/>
      <c r="O2" s="3444"/>
      <c r="P2" s="3445"/>
      <c r="Q2" s="3446"/>
      <c r="R2" s="3446"/>
      <c r="S2" s="3446"/>
      <c r="T2" s="3446"/>
      <c r="U2" s="3446"/>
      <c r="V2" s="3446"/>
      <c r="W2" s="3446"/>
      <c r="X2" s="3446"/>
      <c r="Y2" s="3446"/>
      <c r="Z2" s="3446"/>
      <c r="AA2" s="3446"/>
      <c r="AB2" s="3446"/>
      <c r="AC2" s="3447"/>
    </row>
    <row r="3" spans="1:29" s="3448" customFormat="1" ht="28.5" customHeight="1" thickBot="1">
      <c r="A3" s="507" t="s">
        <v>3278</v>
      </c>
      <c r="B3" s="3449">
        <f>IF(C2="——",C49,ROUND(B2*10000/D3,0))</f>
        <v>32411</v>
      </c>
      <c r="C3" s="3450" t="s">
        <v>3279</v>
      </c>
      <c r="D3" s="3449" t="e">
        <f>IF(D1="",'[1]数据-汇总表'!E3,SUMIF('[1]数据-汇总表'!$C19:$C33,D1,'[1]数据-汇总表'!$E19:$E33))</f>
        <v>#VALUE!</v>
      </c>
      <c r="E3" s="3189"/>
      <c r="F3" s="3451"/>
      <c r="G3" s="3189"/>
      <c r="H3" s="3189"/>
      <c r="I3" s="3189"/>
      <c r="J3" s="3189"/>
      <c r="K3" s="3442"/>
      <c r="L3" s="3443"/>
      <c r="M3" s="3444"/>
      <c r="N3" s="3444"/>
      <c r="O3" s="3444"/>
      <c r="P3" s="3445"/>
      <c r="Q3" s="3446"/>
      <c r="R3" s="3446"/>
      <c r="S3" s="3446"/>
      <c r="T3" s="3446"/>
      <c r="U3" s="3446"/>
      <c r="V3" s="3446"/>
      <c r="W3" s="3446"/>
      <c r="X3" s="3446"/>
      <c r="Y3" s="3446"/>
      <c r="Z3" s="3446"/>
      <c r="AA3" s="3446"/>
      <c r="AB3" s="3446"/>
      <c r="AC3" s="3452"/>
    </row>
    <row r="4" spans="1:29" ht="15">
      <c r="A4" s="3190" t="s">
        <v>3280</v>
      </c>
      <c r="B4" s="3191"/>
      <c r="C4" s="3770" t="s">
        <v>3281</v>
      </c>
      <c r="D4" s="3771"/>
      <c r="E4" s="3772" t="s">
        <v>3282</v>
      </c>
      <c r="F4" s="3773"/>
      <c r="G4" s="3770" t="s">
        <v>3283</v>
      </c>
      <c r="H4" s="3771"/>
      <c r="I4" s="3770" t="s">
        <v>3284</v>
      </c>
      <c r="J4" s="3771"/>
      <c r="K4" s="3453" t="s">
        <v>3285</v>
      </c>
      <c r="L4" s="3192"/>
      <c r="M4" s="3193"/>
      <c r="N4" s="3193"/>
      <c r="O4" s="3193"/>
      <c r="P4" s="3774" t="s">
        <v>3286</v>
      </c>
      <c r="Q4" s="3775"/>
      <c r="R4" s="3780" t="s">
        <v>3282</v>
      </c>
      <c r="S4" s="3781"/>
      <c r="T4" s="3780" t="s">
        <v>3283</v>
      </c>
      <c r="U4" s="3781"/>
      <c r="V4" s="3795" t="s">
        <v>3284</v>
      </c>
      <c r="W4" s="3795"/>
      <c r="X4" s="3194"/>
      <c r="Y4" s="3780" t="s">
        <v>3286</v>
      </c>
      <c r="Z4" s="3781"/>
      <c r="AA4" s="3767" t="s">
        <v>3282</v>
      </c>
      <c r="AB4" s="3767" t="s">
        <v>3283</v>
      </c>
      <c r="AC4" s="3767" t="s">
        <v>3284</v>
      </c>
    </row>
    <row r="5" spans="1:29" ht="15">
      <c r="A5" s="3196"/>
      <c r="B5" s="3197"/>
      <c r="C5" s="3784" t="s">
        <v>3287</v>
      </c>
      <c r="D5" s="3785"/>
      <c r="E5" s="3786" t="s">
        <v>3288</v>
      </c>
      <c r="F5" s="3787"/>
      <c r="G5" s="3788" t="s">
        <v>3290</v>
      </c>
      <c r="H5" s="3785"/>
      <c r="I5" s="3788" t="s">
        <v>3540</v>
      </c>
      <c r="J5" s="3785"/>
      <c r="K5" s="3454"/>
      <c r="L5" s="3192"/>
      <c r="M5" s="3193"/>
      <c r="N5" s="3193"/>
      <c r="O5" s="3193"/>
      <c r="P5" s="3776"/>
      <c r="Q5" s="3777"/>
      <c r="R5" s="3782"/>
      <c r="S5" s="3783"/>
      <c r="T5" s="3782"/>
      <c r="U5" s="3783"/>
      <c r="V5" s="3795"/>
      <c r="W5" s="3795"/>
      <c r="X5" s="3194"/>
      <c r="Y5" s="3782"/>
      <c r="Z5" s="3783"/>
      <c r="AA5" s="3768"/>
      <c r="AB5" s="3768"/>
      <c r="AC5" s="3768"/>
    </row>
    <row r="6" spans="1:29" ht="15.75" thickBot="1">
      <c r="A6" s="3198"/>
      <c r="B6" s="3199"/>
      <c r="C6" s="3789" t="s">
        <v>3291</v>
      </c>
      <c r="D6" s="3790"/>
      <c r="E6" s="3791" t="s">
        <v>3291</v>
      </c>
      <c r="F6" s="3792"/>
      <c r="G6" s="3789" t="s">
        <v>3291</v>
      </c>
      <c r="H6" s="3790"/>
      <c r="I6" s="3789" t="s">
        <v>3291</v>
      </c>
      <c r="J6" s="3790"/>
      <c r="K6" s="3454" t="s">
        <v>3292</v>
      </c>
      <c r="L6" s="3192"/>
      <c r="M6" s="3193"/>
      <c r="N6" s="3193"/>
      <c r="O6" s="3193"/>
      <c r="P6" s="3778"/>
      <c r="Q6" s="3779"/>
      <c r="R6" s="3782"/>
      <c r="S6" s="3783"/>
      <c r="T6" s="3793"/>
      <c r="U6" s="3794"/>
      <c r="V6" s="3795"/>
      <c r="W6" s="3795"/>
      <c r="X6" s="3194"/>
      <c r="Y6" s="3793"/>
      <c r="Z6" s="3794"/>
      <c r="AA6" s="3769"/>
      <c r="AB6" s="3769"/>
      <c r="AC6" s="3769"/>
    </row>
    <row r="7" spans="1:29" s="3212" customFormat="1" ht="15.75" thickBot="1">
      <c r="A7" s="3200" t="s">
        <v>3293</v>
      </c>
      <c r="B7" s="3201"/>
      <c r="C7" s="3202">
        <f>'[1]数据-取费表'!B2</f>
        <v>43764</v>
      </c>
      <c r="D7" s="3203">
        <v>100</v>
      </c>
      <c r="E7" s="3204">
        <f>C7</f>
        <v>43764</v>
      </c>
      <c r="F7" s="3205">
        <f>SUMIF(58:58,YEAR(E7)&amp;"-"&amp;MONTH(E7),59:59)</f>
        <v>100</v>
      </c>
      <c r="G7" s="3204">
        <f>C7</f>
        <v>43764</v>
      </c>
      <c r="H7" s="3203">
        <f>SUMIF(58:58,YEAR(G7)&amp;"-"&amp;MONTH(G7),59:59)</f>
        <v>100</v>
      </c>
      <c r="I7" s="3204">
        <f>C7</f>
        <v>43764</v>
      </c>
      <c r="J7" s="3203">
        <f>SUMIF(58:58,YEAR(I7)&amp;"-"&amp;MONTH(I7),59:59)</f>
        <v>100</v>
      </c>
      <c r="K7" s="3455"/>
      <c r="L7" s="3206"/>
      <c r="M7" s="3207"/>
      <c r="N7" s="3207"/>
      <c r="O7" s="3207"/>
      <c r="P7" s="3796" t="s">
        <v>3294</v>
      </c>
      <c r="Q7" s="3797"/>
      <c r="R7" s="3208" t="s">
        <v>3295</v>
      </c>
      <c r="S7" s="3209">
        <f t="shared" ref="S7:S15" si="0">F7</f>
        <v>100</v>
      </c>
      <c r="T7" s="3208" t="s">
        <v>3296</v>
      </c>
      <c r="U7" s="3209">
        <f t="shared" ref="U7:U15" si="1">H7</f>
        <v>100</v>
      </c>
      <c r="V7" s="3208" t="s">
        <v>3297</v>
      </c>
      <c r="W7" s="3209">
        <f t="shared" ref="W7:W15" si="2">J7</f>
        <v>100</v>
      </c>
      <c r="X7" s="3210"/>
      <c r="Y7" s="3796" t="s">
        <v>3298</v>
      </c>
      <c r="Z7" s="3798"/>
      <c r="AA7" s="3211">
        <f>D7/F7</f>
        <v>1</v>
      </c>
      <c r="AB7" s="3211">
        <f>D7/H7</f>
        <v>1</v>
      </c>
      <c r="AC7" s="3211">
        <f>D7/J7</f>
        <v>1</v>
      </c>
    </row>
    <row r="8" spans="1:29" s="3212" customFormat="1" ht="15.75" thickBot="1">
      <c r="A8" s="3200" t="s">
        <v>3026</v>
      </c>
      <c r="B8" s="3201"/>
      <c r="C8" s="3213" t="s">
        <v>3027</v>
      </c>
      <c r="D8" s="3203">
        <v>100</v>
      </c>
      <c r="E8" s="3456" t="s">
        <v>3267</v>
      </c>
      <c r="F8" s="3205">
        <f>SUMIF(61:61,E8,62:62)-SUMIF(61:61,C8,62:62)+100</f>
        <v>100</v>
      </c>
      <c r="G8" s="3213" t="s">
        <v>3267</v>
      </c>
      <c r="H8" s="3203">
        <f>SUMIF(61:61,G8,62:62)-SUMIF(61:61,C8,62:62)+100</f>
        <v>100</v>
      </c>
      <c r="I8" s="3456" t="s">
        <v>3267</v>
      </c>
      <c r="J8" s="3203">
        <f>SUMIF(61:61,I8,62:62)-SUMIF(61:61,C8,62:62)+100</f>
        <v>100</v>
      </c>
      <c r="K8" s="3455"/>
      <c r="L8" s="3206"/>
      <c r="M8" s="3207"/>
      <c r="N8" s="3207"/>
      <c r="O8" s="3207"/>
      <c r="P8" s="3796" t="s">
        <v>3299</v>
      </c>
      <c r="Q8" s="3798"/>
      <c r="R8" s="3208" t="s">
        <v>3032</v>
      </c>
      <c r="S8" s="3209">
        <f t="shared" si="0"/>
        <v>100</v>
      </c>
      <c r="T8" s="3208" t="s">
        <v>3032</v>
      </c>
      <c r="U8" s="3209">
        <f t="shared" si="1"/>
        <v>100</v>
      </c>
      <c r="V8" s="3208" t="s">
        <v>3032</v>
      </c>
      <c r="W8" s="3209">
        <f t="shared" si="2"/>
        <v>100</v>
      </c>
      <c r="X8" s="3210"/>
      <c r="Y8" s="3796" t="s">
        <v>3299</v>
      </c>
      <c r="Z8" s="3798"/>
      <c r="AA8" s="3211">
        <f t="shared" ref="AA8:AA19" si="3">D8/F8</f>
        <v>1</v>
      </c>
      <c r="AB8" s="3211">
        <f t="shared" ref="AB8:AB19" si="4">D8/H8</f>
        <v>1</v>
      </c>
      <c r="AC8" s="3211">
        <f t="shared" ref="AC8:AC19" si="5">D8/J8</f>
        <v>1</v>
      </c>
    </row>
    <row r="9" spans="1:29" s="3212" customFormat="1">
      <c r="A9" s="3214" t="s">
        <v>3028</v>
      </c>
      <c r="B9" s="3215" t="s">
        <v>3029</v>
      </c>
      <c r="C9" s="3457" t="s">
        <v>2953</v>
      </c>
      <c r="D9" s="3216">
        <v>100</v>
      </c>
      <c r="E9" s="3458" t="s">
        <v>920</v>
      </c>
      <c r="F9" s="3459">
        <f>SUMIF(63:63,E9,64:64)-SUMIF(63:63,C9,64:64)+100</f>
        <v>100</v>
      </c>
      <c r="G9" s="3460" t="s">
        <v>920</v>
      </c>
      <c r="H9" s="3216">
        <f>SUMIF(63:63,G9,64:64)-SUMIF(63:63,C9,64:64)+100</f>
        <v>100</v>
      </c>
      <c r="I9" s="3460" t="s">
        <v>920</v>
      </c>
      <c r="J9" s="3216">
        <f>SUMIF(63:63,I9,64:64)-SUMIF(63:63,C9,64:64)+100</f>
        <v>100</v>
      </c>
      <c r="K9" s="3455"/>
      <c r="L9" s="3206"/>
      <c r="M9" s="3207"/>
      <c r="N9" s="3207"/>
      <c r="O9" s="3207"/>
      <c r="P9" s="3799" t="s">
        <v>3030</v>
      </c>
      <c r="Q9" s="3217" t="str">
        <f t="shared" ref="Q9:Q15" si="6">B9</f>
        <v>用途</v>
      </c>
      <c r="R9" s="3208" t="s">
        <v>3032</v>
      </c>
      <c r="S9" s="3209">
        <f t="shared" si="0"/>
        <v>100</v>
      </c>
      <c r="T9" s="3208" t="s">
        <v>3032</v>
      </c>
      <c r="U9" s="3209">
        <f t="shared" si="1"/>
        <v>100</v>
      </c>
      <c r="V9" s="3208" t="s">
        <v>3032</v>
      </c>
      <c r="W9" s="3209">
        <f t="shared" si="2"/>
        <v>100</v>
      </c>
      <c r="X9" s="3210"/>
      <c r="Y9" s="3800" t="s">
        <v>3300</v>
      </c>
      <c r="Z9" s="3218" t="str">
        <f t="shared" ref="Z9:Z15" si="7">Q9</f>
        <v>用途</v>
      </c>
      <c r="AA9" s="3211">
        <f t="shared" si="3"/>
        <v>1</v>
      </c>
      <c r="AB9" s="3211">
        <f t="shared" si="4"/>
        <v>1</v>
      </c>
      <c r="AC9" s="3211">
        <f t="shared" si="5"/>
        <v>1</v>
      </c>
    </row>
    <row r="10" spans="1:29" s="3227" customFormat="1" ht="27">
      <c r="A10" s="3219"/>
      <c r="B10" s="3220" t="s">
        <v>3031</v>
      </c>
      <c r="C10" s="3461" t="s">
        <v>3301</v>
      </c>
      <c r="D10" s="3222">
        <v>100</v>
      </c>
      <c r="E10" s="3462" t="s">
        <v>3301</v>
      </c>
      <c r="F10" s="3463">
        <f>SUMIF(65:65,E10,66:66)-SUMIF(65:65,C10,66:66)+100</f>
        <v>100</v>
      </c>
      <c r="G10" s="3461" t="s">
        <v>3301</v>
      </c>
      <c r="H10" s="3222">
        <f>SUMIF(65:65,G10,66:66)-SUMIF(65:65,C10,66:66)+100</f>
        <v>100</v>
      </c>
      <c r="I10" s="3461" t="s">
        <v>3301</v>
      </c>
      <c r="J10" s="3222">
        <f>SUMIF(65:65,I10,66:66)-SUMIF(65:65,C10,66:66)+100</f>
        <v>100</v>
      </c>
      <c r="K10" s="3464">
        <v>2</v>
      </c>
      <c r="L10" s="3225"/>
      <c r="M10" s="3226"/>
      <c r="N10" s="3226"/>
      <c r="O10" s="3226"/>
      <c r="P10" s="3799"/>
      <c r="Q10" s="3217" t="str">
        <f t="shared" si="6"/>
        <v>土地使用年限（年）</v>
      </c>
      <c r="R10" s="3208" t="s">
        <v>3032</v>
      </c>
      <c r="S10" s="3209">
        <f t="shared" si="0"/>
        <v>100</v>
      </c>
      <c r="T10" s="3208" t="s">
        <v>3032</v>
      </c>
      <c r="U10" s="3209">
        <f t="shared" si="1"/>
        <v>100</v>
      </c>
      <c r="V10" s="3208" t="s">
        <v>3032</v>
      </c>
      <c r="W10" s="3209">
        <f t="shared" si="2"/>
        <v>100</v>
      </c>
      <c r="X10" s="3210"/>
      <c r="Y10" s="3800"/>
      <c r="Z10" s="3218" t="str">
        <f t="shared" si="7"/>
        <v>土地使用年限（年）</v>
      </c>
      <c r="AA10" s="3211">
        <f t="shared" si="3"/>
        <v>1</v>
      </c>
      <c r="AB10" s="3211">
        <f t="shared" si="4"/>
        <v>1</v>
      </c>
      <c r="AC10" s="3211">
        <f t="shared" si="5"/>
        <v>1</v>
      </c>
    </row>
    <row r="11" spans="1:29" ht="15">
      <c r="A11" s="3228"/>
      <c r="B11" s="3220" t="s">
        <v>3033</v>
      </c>
      <c r="C11" s="3229">
        <f>'[1]数据-汇总表'!I7</f>
        <v>1.2</v>
      </c>
      <c r="D11" s="3222">
        <v>100</v>
      </c>
      <c r="E11" s="3230">
        <v>1.2</v>
      </c>
      <c r="F11" s="3463">
        <f>LOOKUP(E11,68:68,69:69)-LOOKUP(C11,68:68,69:69)+100</f>
        <v>100</v>
      </c>
      <c r="G11" s="3229">
        <v>1.2</v>
      </c>
      <c r="H11" s="3222">
        <f>LOOKUP(G11,68:68,69:69)-LOOKUP(C11,68:68,69:69)+100</f>
        <v>100</v>
      </c>
      <c r="I11" s="3229">
        <v>1</v>
      </c>
      <c r="J11" s="3222">
        <f>LOOKUP(I11,68:68,69:69)-LOOKUP(C11,68:68,69:69)+100</f>
        <v>100</v>
      </c>
      <c r="K11" s="3464">
        <f>'[1]土地比较法-住宅、综合'!K11</f>
        <v>2</v>
      </c>
      <c r="L11" s="3231"/>
      <c r="M11" s="3193"/>
      <c r="N11" s="3193"/>
      <c r="O11" s="3193"/>
      <c r="P11" s="3799"/>
      <c r="Q11" s="3217" t="str">
        <f t="shared" si="6"/>
        <v>容积率</v>
      </c>
      <c r="R11" s="3208" t="s">
        <v>3302</v>
      </c>
      <c r="S11" s="3209">
        <f t="shared" si="0"/>
        <v>100</v>
      </c>
      <c r="T11" s="3208" t="s">
        <v>3302</v>
      </c>
      <c r="U11" s="3209">
        <f t="shared" si="1"/>
        <v>100</v>
      </c>
      <c r="V11" s="3208" t="s">
        <v>3302</v>
      </c>
      <c r="W11" s="3209">
        <f t="shared" si="2"/>
        <v>100</v>
      </c>
      <c r="X11" s="3210"/>
      <c r="Y11" s="3800"/>
      <c r="Z11" s="3218" t="str">
        <f t="shared" si="7"/>
        <v>容积率</v>
      </c>
      <c r="AA11" s="3211">
        <f t="shared" si="3"/>
        <v>1</v>
      </c>
      <c r="AB11" s="3211">
        <f t="shared" si="4"/>
        <v>1</v>
      </c>
      <c r="AC11" s="3211">
        <f t="shared" si="5"/>
        <v>1</v>
      </c>
    </row>
    <row r="12" spans="1:29" s="3212" customFormat="1" ht="15">
      <c r="A12" s="3232"/>
      <c r="B12" s="3233">
        <v>111</v>
      </c>
      <c r="C12" s="3221"/>
      <c r="D12" s="3234">
        <v>100</v>
      </c>
      <c r="E12" s="3221"/>
      <c r="F12" s="3463">
        <f>SUMIF(70:70,E12,71:71)-SUMIF(70:70,C12,71:71)+100</f>
        <v>100</v>
      </c>
      <c r="G12" s="3221"/>
      <c r="H12" s="3222">
        <f>SUMIF(70:70,G12,71:71)-SUMIF(70:70,C12,71:71)+100</f>
        <v>100</v>
      </c>
      <c r="I12" s="3221"/>
      <c r="J12" s="3222">
        <f>SUMIF(70:70,I12,71:71)-SUMIF(70:70,C12,71:71)+100</f>
        <v>100</v>
      </c>
      <c r="K12" s="3465"/>
      <c r="L12" s="3206"/>
      <c r="M12" s="3207"/>
      <c r="N12" s="3207"/>
      <c r="O12" s="3207"/>
      <c r="P12" s="3799"/>
      <c r="Q12" s="3217">
        <f t="shared" si="6"/>
        <v>111</v>
      </c>
      <c r="R12" s="3208" t="s">
        <v>3302</v>
      </c>
      <c r="S12" s="3209">
        <f t="shared" si="0"/>
        <v>100</v>
      </c>
      <c r="T12" s="3208" t="s">
        <v>3302</v>
      </c>
      <c r="U12" s="3209">
        <f t="shared" si="1"/>
        <v>100</v>
      </c>
      <c r="V12" s="3208" t="s">
        <v>3302</v>
      </c>
      <c r="W12" s="3209">
        <f t="shared" si="2"/>
        <v>100</v>
      </c>
      <c r="X12" s="3210"/>
      <c r="Y12" s="3800"/>
      <c r="Z12" s="3218">
        <f t="shared" si="7"/>
        <v>111</v>
      </c>
      <c r="AA12" s="3211">
        <f>D12/F12</f>
        <v>1</v>
      </c>
      <c r="AB12" s="3211">
        <f>D12/H12</f>
        <v>1</v>
      </c>
      <c r="AC12" s="3211">
        <f>D12/J12</f>
        <v>1</v>
      </c>
    </row>
    <row r="13" spans="1:29" ht="15">
      <c r="A13" s="3228"/>
      <c r="B13" s="3233">
        <v>111</v>
      </c>
      <c r="C13" s="3235"/>
      <c r="D13" s="3236">
        <v>100</v>
      </c>
      <c r="E13" s="3235"/>
      <c r="F13" s="3463">
        <f>SUMIF(72:72,E13,73:73)-SUMIF(72:72,C13,73:73)+100</f>
        <v>100</v>
      </c>
      <c r="G13" s="3235"/>
      <c r="H13" s="3236">
        <f>SUMIF(72:72,G13,73:73)-SUMIF(72:72,C13,73:73)+100</f>
        <v>100</v>
      </c>
      <c r="I13" s="3235"/>
      <c r="J13" s="3236">
        <f>SUMIF(72:72,I13,73:73)-SUMIF(72:72,C13,73:73)+100</f>
        <v>100</v>
      </c>
      <c r="K13" s="3465"/>
      <c r="L13" s="3238"/>
      <c r="M13" s="3193"/>
      <c r="N13" s="3193"/>
      <c r="O13" s="3193"/>
      <c r="P13" s="3799"/>
      <c r="Q13" s="3217">
        <f t="shared" si="6"/>
        <v>111</v>
      </c>
      <c r="R13" s="3208" t="s">
        <v>3302</v>
      </c>
      <c r="S13" s="3209">
        <f t="shared" si="0"/>
        <v>100</v>
      </c>
      <c r="T13" s="3208" t="s">
        <v>3302</v>
      </c>
      <c r="U13" s="3209">
        <f t="shared" si="1"/>
        <v>100</v>
      </c>
      <c r="V13" s="3208" t="s">
        <v>3302</v>
      </c>
      <c r="W13" s="3209">
        <f t="shared" si="2"/>
        <v>100</v>
      </c>
      <c r="X13" s="3210"/>
      <c r="Y13" s="3800"/>
      <c r="Z13" s="3218">
        <f t="shared" si="7"/>
        <v>111</v>
      </c>
      <c r="AA13" s="3211">
        <f t="shared" si="3"/>
        <v>1</v>
      </c>
      <c r="AB13" s="3211">
        <f t="shared" si="4"/>
        <v>1</v>
      </c>
      <c r="AC13" s="3211">
        <f t="shared" si="5"/>
        <v>1</v>
      </c>
    </row>
    <row r="14" spans="1:29" ht="15.75" thickBot="1">
      <c r="A14" s="3239"/>
      <c r="B14" s="3240">
        <v>111</v>
      </c>
      <c r="C14" s="3241"/>
      <c r="D14" s="3242">
        <v>100</v>
      </c>
      <c r="E14" s="3241"/>
      <c r="F14" s="3466">
        <f>SUMIF(74:74,E14,75:75)-SUMIF(74:74,C14,75:75)+100</f>
        <v>100</v>
      </c>
      <c r="G14" s="3241"/>
      <c r="H14" s="3242">
        <f>SUMIF(74:74,G14,75:75)-SUMIF(74:74,C14,75:75)+100</f>
        <v>100</v>
      </c>
      <c r="I14" s="3241"/>
      <c r="J14" s="3242">
        <f>SUMIF(74:74,I14,75:75)-SUMIF(74:74,C14,75:75)+100</f>
        <v>100</v>
      </c>
      <c r="K14" s="3465"/>
      <c r="L14" s="3238"/>
      <c r="M14" s="3193"/>
      <c r="N14" s="3193"/>
      <c r="O14" s="3193"/>
      <c r="P14" s="3799"/>
      <c r="Q14" s="3217">
        <f t="shared" si="6"/>
        <v>111</v>
      </c>
      <c r="R14" s="3208" t="s">
        <v>3302</v>
      </c>
      <c r="S14" s="3209">
        <f t="shared" si="0"/>
        <v>100</v>
      </c>
      <c r="T14" s="3208" t="s">
        <v>3302</v>
      </c>
      <c r="U14" s="3209">
        <f t="shared" si="1"/>
        <v>100</v>
      </c>
      <c r="V14" s="3208" t="s">
        <v>3302</v>
      </c>
      <c r="W14" s="3209">
        <f t="shared" si="2"/>
        <v>100</v>
      </c>
      <c r="X14" s="3210"/>
      <c r="Y14" s="3800"/>
      <c r="Z14" s="3218">
        <f t="shared" si="7"/>
        <v>111</v>
      </c>
      <c r="AA14" s="3211">
        <f t="shared" si="3"/>
        <v>1</v>
      </c>
      <c r="AB14" s="3211">
        <f t="shared" si="4"/>
        <v>1</v>
      </c>
      <c r="AC14" s="3211">
        <f t="shared" si="5"/>
        <v>1</v>
      </c>
    </row>
    <row r="15" spans="1:29" ht="99.75">
      <c r="A15" s="3243" t="s">
        <v>3303</v>
      </c>
      <c r="B15" s="3244" t="s">
        <v>3035</v>
      </c>
      <c r="C15" s="3245" t="str">
        <f>[1]估价对象房地状况!C3</f>
        <v>估价对象周边居住用地比例、居住小区规模和社区发展完善程度，综合评价居住社区成熟度一般</v>
      </c>
      <c r="D15" s="3246">
        <v>100</v>
      </c>
      <c r="E15" s="3248"/>
      <c r="F15" s="3246">
        <f>SUMIF(76:76,E16,77:77)-SUMIF(76:76,C16,77:77)+100</f>
        <v>100</v>
      </c>
      <c r="G15" s="3247"/>
      <c r="H15" s="3246">
        <f>SUMIF(76:76,G16,77:77)-SUMIF(76:76,C16,77:77)+100</f>
        <v>100</v>
      </c>
      <c r="I15" s="3247"/>
      <c r="J15" s="3246">
        <f>SUMIF(76:76,I16,77:77)-SUMIF(76:76,C16,77:77)+100</f>
        <v>100</v>
      </c>
      <c r="K15" s="3467">
        <f>'[1]土地比较法-住宅、综合'!K15</f>
        <v>5</v>
      </c>
      <c r="L15" s="3238"/>
      <c r="M15" s="3193"/>
      <c r="N15" s="3193"/>
      <c r="O15" s="3193"/>
      <c r="P15" s="3801" t="s">
        <v>3036</v>
      </c>
      <c r="Q15" s="3249" t="str">
        <f t="shared" si="6"/>
        <v>居住社区成熟度</v>
      </c>
      <c r="R15" s="3250" t="s">
        <v>3032</v>
      </c>
      <c r="S15" s="3251">
        <f t="shared" si="0"/>
        <v>100</v>
      </c>
      <c r="T15" s="3250" t="s">
        <v>3032</v>
      </c>
      <c r="U15" s="3251">
        <f t="shared" si="1"/>
        <v>100</v>
      </c>
      <c r="V15" s="3250" t="s">
        <v>3032</v>
      </c>
      <c r="W15" s="3251">
        <f t="shared" si="2"/>
        <v>100</v>
      </c>
      <c r="X15" s="3194"/>
      <c r="Y15" s="3803" t="s">
        <v>3036</v>
      </c>
      <c r="Z15" s="3252" t="str">
        <f t="shared" si="7"/>
        <v>居住社区成熟度</v>
      </c>
      <c r="AA15" s="3253">
        <f t="shared" si="3"/>
        <v>1</v>
      </c>
      <c r="AB15" s="3253">
        <f t="shared" si="4"/>
        <v>1</v>
      </c>
      <c r="AC15" s="3253">
        <f t="shared" si="5"/>
        <v>1</v>
      </c>
    </row>
    <row r="16" spans="1:29" ht="15">
      <c r="A16" s="3228"/>
      <c r="B16" s="3254"/>
      <c r="C16" s="3255" t="str">
        <f>'[1]土地比较法-住宅、综合'!C16</f>
        <v>较好</v>
      </c>
      <c r="D16" s="3256"/>
      <c r="E16" s="3259" t="s">
        <v>3037</v>
      </c>
      <c r="F16" s="3256"/>
      <c r="G16" s="3257" t="s">
        <v>3037</v>
      </c>
      <c r="H16" s="3258"/>
      <c r="I16" s="3257" t="s">
        <v>3037</v>
      </c>
      <c r="J16" s="3256"/>
      <c r="K16" s="3468"/>
      <c r="L16" s="3238"/>
      <c r="M16" s="3193"/>
      <c r="N16" s="3193"/>
      <c r="O16" s="3193"/>
      <c r="P16" s="3802"/>
      <c r="Q16" s="3249"/>
      <c r="R16" s="3250"/>
      <c r="S16" s="3251"/>
      <c r="T16" s="3250"/>
      <c r="U16" s="3251"/>
      <c r="V16" s="3250"/>
      <c r="W16" s="3251"/>
      <c r="X16" s="3194"/>
      <c r="Y16" s="3804"/>
      <c r="Z16" s="3252"/>
      <c r="AA16" s="3253">
        <v>1</v>
      </c>
      <c r="AB16" s="3253">
        <v>1</v>
      </c>
      <c r="AC16" s="3253">
        <v>1</v>
      </c>
    </row>
    <row r="17" spans="1:29" ht="85.5">
      <c r="A17" s="3228"/>
      <c r="B17" s="3260" t="s">
        <v>3304</v>
      </c>
      <c r="C17" s="3270" t="str">
        <f>[1]估价对象房地状况!C6</f>
        <v>估价对象周边道路状况、公共交通通达情况、停车便捷程度，综合评价交通便捷度较好</v>
      </c>
      <c r="D17" s="3258">
        <v>100</v>
      </c>
      <c r="E17" s="3263"/>
      <c r="F17" s="3258">
        <f>SUMIF(78:78,E18,79:79)-SUMIF(78:78,C18,79:79)+100</f>
        <v>100</v>
      </c>
      <c r="G17" s="3261"/>
      <c r="H17" s="3262">
        <f>SUMIF(78:78,G18,79:79)-SUMIF(78:78,C18,79:79)+100</f>
        <v>100</v>
      </c>
      <c r="I17" s="3261"/>
      <c r="J17" s="3262">
        <f>SUMIF(78:78,I18,79:79)-SUMIF(78:78,C18,79:79)+100</f>
        <v>100</v>
      </c>
      <c r="K17" s="3467">
        <f>'[1]土地比较法-住宅、综合'!K21</f>
        <v>3</v>
      </c>
      <c r="L17" s="3238"/>
      <c r="M17" s="3193"/>
      <c r="N17" s="3193"/>
      <c r="O17" s="3193"/>
      <c r="P17" s="3802"/>
      <c r="Q17" s="3249" t="str">
        <f>B17</f>
        <v>交通便捷度</v>
      </c>
      <c r="R17" s="3250" t="s">
        <v>3032</v>
      </c>
      <c r="S17" s="3251">
        <f>F17</f>
        <v>100</v>
      </c>
      <c r="T17" s="3250" t="s">
        <v>3032</v>
      </c>
      <c r="U17" s="3251">
        <f>H17</f>
        <v>100</v>
      </c>
      <c r="V17" s="3250" t="s">
        <v>3032</v>
      </c>
      <c r="W17" s="3251">
        <f>J17</f>
        <v>100</v>
      </c>
      <c r="X17" s="3194"/>
      <c r="Y17" s="3804"/>
      <c r="Z17" s="3252" t="str">
        <f>Q17</f>
        <v>交通便捷度</v>
      </c>
      <c r="AA17" s="3253">
        <f t="shared" si="3"/>
        <v>1</v>
      </c>
      <c r="AB17" s="3253">
        <f t="shared" si="4"/>
        <v>1</v>
      </c>
      <c r="AC17" s="3253">
        <f t="shared" si="5"/>
        <v>1</v>
      </c>
    </row>
    <row r="18" spans="1:29" ht="15">
      <c r="A18" s="3228"/>
      <c r="B18" s="3264"/>
      <c r="C18" s="3265" t="str">
        <f>'[1]土地比较法-住宅、综合'!C22</f>
        <v>一般</v>
      </c>
      <c r="D18" s="3258"/>
      <c r="E18" s="3267" t="s">
        <v>3038</v>
      </c>
      <c r="F18" s="3258"/>
      <c r="G18" s="3266" t="s">
        <v>3038</v>
      </c>
      <c r="H18" s="3256"/>
      <c r="I18" s="3266" t="s">
        <v>3038</v>
      </c>
      <c r="J18" s="3256"/>
      <c r="K18" s="3468"/>
      <c r="L18" s="3238"/>
      <c r="M18" s="3193"/>
      <c r="N18" s="3193"/>
      <c r="O18" s="3193"/>
      <c r="P18" s="3802"/>
      <c r="Q18" s="3249"/>
      <c r="R18" s="3250"/>
      <c r="S18" s="3251"/>
      <c r="T18" s="3250"/>
      <c r="U18" s="3251"/>
      <c r="V18" s="3250"/>
      <c r="W18" s="3251"/>
      <c r="X18" s="3194"/>
      <c r="Y18" s="3804"/>
      <c r="Z18" s="3252"/>
      <c r="AA18" s="3253">
        <v>1</v>
      </c>
      <c r="AB18" s="3253">
        <v>1</v>
      </c>
      <c r="AC18" s="3253">
        <v>1</v>
      </c>
    </row>
    <row r="19" spans="1:29" ht="42.75">
      <c r="A19" s="3228"/>
      <c r="B19" s="3260" t="s">
        <v>3305</v>
      </c>
      <c r="C19" s="3270" t="str">
        <f>[1]估价对象房地状况!C7</f>
        <v>估价对象所在区域公共配套设施齐备情况</v>
      </c>
      <c r="D19" s="3262">
        <v>100</v>
      </c>
      <c r="E19" s="3269"/>
      <c r="F19" s="3262">
        <f>SUMIF(80:80,E20,81:81)-SUMIF(80:80,C20,81:81)+100</f>
        <v>100</v>
      </c>
      <c r="G19" s="3268"/>
      <c r="H19" s="3258">
        <f>SUMIF(80:80,G20,81:81)-SUMIF(80:80,C20,81:81)+100</f>
        <v>100</v>
      </c>
      <c r="I19" s="3268"/>
      <c r="J19" s="3258">
        <f>SUMIF(80:80,I20,81:81)-SUMIF(80:80,C20,81:81)+100</f>
        <v>100</v>
      </c>
      <c r="K19" s="3467">
        <f>'[1]土地比较法-住宅、综合'!K27</f>
        <v>2</v>
      </c>
      <c r="L19" s="3238"/>
      <c r="M19" s="3193"/>
      <c r="N19" s="3193"/>
      <c r="O19" s="3193"/>
      <c r="P19" s="3802"/>
      <c r="Q19" s="3249" t="str">
        <f>B19</f>
        <v>公共配套设施</v>
      </c>
      <c r="R19" s="3250" t="s">
        <v>3032</v>
      </c>
      <c r="S19" s="3251">
        <f>F19</f>
        <v>100</v>
      </c>
      <c r="T19" s="3250" t="s">
        <v>3306</v>
      </c>
      <c r="U19" s="3251">
        <f>H19</f>
        <v>100</v>
      </c>
      <c r="V19" s="3250" t="s">
        <v>3032</v>
      </c>
      <c r="W19" s="3251">
        <f>J19</f>
        <v>100</v>
      </c>
      <c r="X19" s="3194"/>
      <c r="Y19" s="3804"/>
      <c r="Z19" s="3252" t="str">
        <f>Q19</f>
        <v>公共配套设施</v>
      </c>
      <c r="AA19" s="3253">
        <f t="shared" si="3"/>
        <v>1</v>
      </c>
      <c r="AB19" s="3253">
        <f t="shared" si="4"/>
        <v>1</v>
      </c>
      <c r="AC19" s="3253">
        <f t="shared" si="5"/>
        <v>1</v>
      </c>
    </row>
    <row r="20" spans="1:29" ht="15">
      <c r="A20" s="3228"/>
      <c r="B20" s="3264"/>
      <c r="C20" s="3255" t="str">
        <f>'[1]土地比较法-住宅、综合'!C28</f>
        <v>一般</v>
      </c>
      <c r="D20" s="3256"/>
      <c r="E20" s="3259" t="s">
        <v>3038</v>
      </c>
      <c r="F20" s="3256"/>
      <c r="G20" s="3257" t="s">
        <v>3038</v>
      </c>
      <c r="H20" s="3256"/>
      <c r="I20" s="3257" t="s">
        <v>3038</v>
      </c>
      <c r="J20" s="3256"/>
      <c r="K20" s="3468"/>
      <c r="L20" s="3238"/>
      <c r="M20" s="3193"/>
      <c r="N20" s="3193"/>
      <c r="O20" s="3193"/>
      <c r="P20" s="3802"/>
      <c r="Q20" s="3249"/>
      <c r="R20" s="3250"/>
      <c r="S20" s="3251"/>
      <c r="T20" s="3250"/>
      <c r="U20" s="3251"/>
      <c r="V20" s="3250"/>
      <c r="W20" s="3251"/>
      <c r="X20" s="3194"/>
      <c r="Y20" s="3804"/>
      <c r="Z20" s="3252"/>
      <c r="AA20" s="3253">
        <v>1</v>
      </c>
      <c r="AB20" s="3253">
        <v>1</v>
      </c>
      <c r="AC20" s="3253">
        <v>1</v>
      </c>
    </row>
    <row r="21" spans="1:29" ht="28.5">
      <c r="A21" s="3228"/>
      <c r="B21" s="3271" t="s">
        <v>3307</v>
      </c>
      <c r="C21" s="3270" t="str">
        <f>[1]估价对象房地状况!C8</f>
        <v>估价对象所在区域基础设施水平</v>
      </c>
      <c r="D21" s="3258">
        <v>100</v>
      </c>
      <c r="E21" s="3269"/>
      <c r="F21" s="3262">
        <f>SUMIF(82:82,E22,83:83)-SUMIF(82:82,C22,83:83)+100</f>
        <v>100</v>
      </c>
      <c r="G21" s="3268"/>
      <c r="H21" s="3258">
        <f>SUMIF(82:82,G22,83:83)-SUMIF(82:82,C22,83:83)+100</f>
        <v>100</v>
      </c>
      <c r="I21" s="3268"/>
      <c r="J21" s="3258">
        <f>SUMIF(82:82,I22,83:83)-SUMIF(82:82,C22,83:83)+100</f>
        <v>100</v>
      </c>
      <c r="K21" s="3467">
        <f>'[1]土地比较法-住宅、综合'!K29</f>
        <v>1</v>
      </c>
      <c r="L21" s="3238"/>
      <c r="M21" s="3193"/>
      <c r="N21" s="3193"/>
      <c r="O21" s="3193"/>
      <c r="P21" s="3802"/>
      <c r="Q21" s="3249" t="str">
        <f>B21</f>
        <v>基础设施水平</v>
      </c>
      <c r="R21" s="3250" t="s">
        <v>3032</v>
      </c>
      <c r="S21" s="3251">
        <f>F21</f>
        <v>100</v>
      </c>
      <c r="T21" s="3250" t="s">
        <v>3032</v>
      </c>
      <c r="U21" s="3251">
        <f>H21</f>
        <v>100</v>
      </c>
      <c r="V21" s="3250" t="s">
        <v>3032</v>
      </c>
      <c r="W21" s="3251">
        <f>J21</f>
        <v>100</v>
      </c>
      <c r="X21" s="3194"/>
      <c r="Y21" s="3804"/>
      <c r="Z21" s="3252" t="str">
        <f>Q21</f>
        <v>基础设施水平</v>
      </c>
      <c r="AA21" s="3253">
        <f t="shared" ref="AA21" si="8">D21/F21</f>
        <v>1</v>
      </c>
      <c r="AB21" s="3253">
        <f t="shared" ref="AB21" si="9">D21/H21</f>
        <v>1</v>
      </c>
      <c r="AC21" s="3253">
        <f t="shared" ref="AC21" si="10">D21/J21</f>
        <v>1</v>
      </c>
    </row>
    <row r="22" spans="1:29" ht="15">
      <c r="A22" s="3228"/>
      <c r="B22" s="3271"/>
      <c r="C22" s="3265" t="s">
        <v>3040</v>
      </c>
      <c r="D22" s="3256"/>
      <c r="E22" s="3255" t="s">
        <v>3040</v>
      </c>
      <c r="F22" s="3256"/>
      <c r="G22" s="3272" t="s">
        <v>3040</v>
      </c>
      <c r="H22" s="3256"/>
      <c r="I22" s="3255" t="s">
        <v>3040</v>
      </c>
      <c r="J22" s="3256"/>
      <c r="K22" s="3469"/>
      <c r="L22" s="3238"/>
      <c r="M22" s="3193"/>
      <c r="N22" s="3193"/>
      <c r="O22" s="3193"/>
      <c r="P22" s="3802"/>
      <c r="Q22" s="3249"/>
      <c r="R22" s="3250"/>
      <c r="S22" s="3251"/>
      <c r="T22" s="3250"/>
      <c r="U22" s="3251"/>
      <c r="V22" s="3250"/>
      <c r="W22" s="3251"/>
      <c r="X22" s="3194"/>
      <c r="Y22" s="3804"/>
      <c r="Z22" s="3252"/>
      <c r="AA22" s="3253">
        <v>1</v>
      </c>
      <c r="AB22" s="3253">
        <v>1</v>
      </c>
      <c r="AC22" s="3253">
        <v>1</v>
      </c>
    </row>
    <row r="23" spans="1:29" ht="57">
      <c r="A23" s="3228"/>
      <c r="B23" s="3260" t="s">
        <v>3308</v>
      </c>
      <c r="C23" s="3270" t="str">
        <f>[1]估价对象房地状况!C9</f>
        <v>区域自然环境：；人文环境；综合评价环境状况一般</v>
      </c>
      <c r="D23" s="3258">
        <v>100</v>
      </c>
      <c r="E23" s="3263"/>
      <c r="F23" s="3258">
        <f>SUMIF(84:84,E24,85:85)-SUMIF(84:84,C24,85:85)+100</f>
        <v>100</v>
      </c>
      <c r="G23" s="3261"/>
      <c r="H23" s="3258">
        <f>SUMIF(84:84,G24,85:85)-SUMIF(84:84,C24,85:85)+100</f>
        <v>100</v>
      </c>
      <c r="I23" s="3261"/>
      <c r="J23" s="3258">
        <f>SUMIF(84:84,I24,85:85)-SUMIF(84:84,C24,85:85)+100</f>
        <v>100</v>
      </c>
      <c r="K23" s="3467">
        <f>'[1]土地比较法-住宅、综合'!K25</f>
        <v>5</v>
      </c>
      <c r="L23" s="3238"/>
      <c r="M23" s="3193"/>
      <c r="N23" s="3193"/>
      <c r="O23" s="3193"/>
      <c r="P23" s="3802"/>
      <c r="Q23" s="3249" t="str">
        <f>B23</f>
        <v>自然及人文环境</v>
      </c>
      <c r="R23" s="3250" t="s">
        <v>3032</v>
      </c>
      <c r="S23" s="3251">
        <f>F23</f>
        <v>100</v>
      </c>
      <c r="T23" s="3250" t="s">
        <v>3032</v>
      </c>
      <c r="U23" s="3251">
        <f>H23</f>
        <v>100</v>
      </c>
      <c r="V23" s="3250" t="s">
        <v>3032</v>
      </c>
      <c r="W23" s="3251">
        <f>J23</f>
        <v>100</v>
      </c>
      <c r="X23" s="3194"/>
      <c r="Y23" s="3804"/>
      <c r="Z23" s="3252" t="str">
        <f>Q23</f>
        <v>自然及人文环境</v>
      </c>
      <c r="AA23" s="3253">
        <f>D23/F23</f>
        <v>1</v>
      </c>
      <c r="AB23" s="3253">
        <f>D23/H23</f>
        <v>1</v>
      </c>
      <c r="AC23" s="3253">
        <f>D23/J23</f>
        <v>1</v>
      </c>
    </row>
    <row r="24" spans="1:29" ht="15">
      <c r="A24" s="3228"/>
      <c r="B24" s="3264"/>
      <c r="C24" s="3255" t="str">
        <f>'[1]土地比较法-住宅、综合'!C26</f>
        <v>较好</v>
      </c>
      <c r="D24" s="3256"/>
      <c r="E24" s="3259" t="s">
        <v>3037</v>
      </c>
      <c r="F24" s="3256"/>
      <c r="G24" s="3257" t="s">
        <v>3037</v>
      </c>
      <c r="H24" s="3256"/>
      <c r="I24" s="3257" t="s">
        <v>3037</v>
      </c>
      <c r="J24" s="3256"/>
      <c r="K24" s="3468"/>
      <c r="L24" s="3238"/>
      <c r="M24" s="3193"/>
      <c r="N24" s="3193"/>
      <c r="O24" s="3193"/>
      <c r="P24" s="3802"/>
      <c r="Q24" s="3249"/>
      <c r="R24" s="3250"/>
      <c r="S24" s="3251"/>
      <c r="T24" s="3250"/>
      <c r="U24" s="3251"/>
      <c r="V24" s="3250"/>
      <c r="W24" s="3251"/>
      <c r="X24" s="3194"/>
      <c r="Y24" s="3804"/>
      <c r="Z24" s="3252"/>
      <c r="AA24" s="3253">
        <v>1</v>
      </c>
      <c r="AB24" s="3253">
        <v>1</v>
      </c>
      <c r="AC24" s="3253">
        <v>1</v>
      </c>
    </row>
    <row r="25" spans="1:29" ht="15">
      <c r="A25" s="3228"/>
      <c r="B25" s="3220" t="s">
        <v>3309</v>
      </c>
      <c r="C25" s="3470"/>
      <c r="D25" s="3236">
        <v>100</v>
      </c>
      <c r="E25" s="3284"/>
      <c r="F25" s="3236">
        <f>SUMIF(86:86,E25,87:87)-SUMIF(86:86,C25,87:87)+100</f>
        <v>100</v>
      </c>
      <c r="G25" s="3471"/>
      <c r="H25" s="3236">
        <f>SUMIF(86:86,G25,87:87)-SUMIF(86:86,C25,87:87)+100</f>
        <v>100</v>
      </c>
      <c r="I25" s="3471"/>
      <c r="J25" s="3236">
        <f>SUMIF(86:86,I25,87:87)-SUMIF(86:86,C25,87:87)+100</f>
        <v>100</v>
      </c>
      <c r="K25" s="3464"/>
      <c r="L25" s="3238"/>
      <c r="M25" s="3193"/>
      <c r="N25" s="3193"/>
      <c r="O25" s="3193"/>
      <c r="P25" s="3802"/>
      <c r="Q25" s="3249" t="str">
        <f t="shared" ref="Q25:Q46" si="11">B25</f>
        <v>楼层-1</v>
      </c>
      <c r="R25" s="3250" t="s">
        <v>3302</v>
      </c>
      <c r="S25" s="3251">
        <f t="shared" ref="S25:S46" si="12">F25</f>
        <v>100</v>
      </c>
      <c r="T25" s="3250" t="s">
        <v>3310</v>
      </c>
      <c r="U25" s="3251">
        <f t="shared" ref="U25:U46" si="13">H25</f>
        <v>100</v>
      </c>
      <c r="V25" s="3250" t="s">
        <v>3032</v>
      </c>
      <c r="W25" s="3251">
        <f t="shared" ref="W25:W46" si="14">J25</f>
        <v>100</v>
      </c>
      <c r="X25" s="3194"/>
      <c r="Y25" s="3804"/>
      <c r="Z25" s="3252" t="str">
        <f>Q25</f>
        <v>楼层-1</v>
      </c>
      <c r="AA25" s="3253">
        <f t="shared" ref="AA25:AA46" si="15">D25/F25</f>
        <v>1</v>
      </c>
      <c r="AB25" s="3253">
        <f t="shared" ref="AB25:AB46" si="16">D25/H25</f>
        <v>1</v>
      </c>
      <c r="AC25" s="3253">
        <f t="shared" ref="AC25:AC46" si="17">D25/J25</f>
        <v>1</v>
      </c>
    </row>
    <row r="26" spans="1:29" ht="15">
      <c r="A26" s="3228"/>
      <c r="B26" s="3220" t="s">
        <v>3311</v>
      </c>
      <c r="C26" s="3470"/>
      <c r="D26" s="3236">
        <v>100</v>
      </c>
      <c r="E26" s="3284"/>
      <c r="F26" s="3236">
        <f>SUMIF(88:88,E26,89:89)-SUMIF(88:88,C26,89:89)+100</f>
        <v>100</v>
      </c>
      <c r="G26" s="3471"/>
      <c r="H26" s="3236">
        <f>SUMIF(88:88,G26,89:89)-SUMIF(88:88,C26,89:89)+100</f>
        <v>100</v>
      </c>
      <c r="I26" s="3471"/>
      <c r="J26" s="3236">
        <f>SUMIF(88:88,I26,89:89)-SUMIF(88:88,C26,89:89)+100</f>
        <v>100</v>
      </c>
      <c r="K26" s="3464"/>
      <c r="L26" s="3238"/>
      <c r="M26" s="3193"/>
      <c r="N26" s="3193"/>
      <c r="O26" s="3193"/>
      <c r="P26" s="3802"/>
      <c r="Q26" s="3249" t="str">
        <f t="shared" si="11"/>
        <v>朝向</v>
      </c>
      <c r="R26" s="3250" t="s">
        <v>3312</v>
      </c>
      <c r="S26" s="3251">
        <f t="shared" si="12"/>
        <v>100</v>
      </c>
      <c r="T26" s="3250" t="s">
        <v>3312</v>
      </c>
      <c r="U26" s="3251">
        <f t="shared" si="13"/>
        <v>100</v>
      </c>
      <c r="V26" s="3250" t="s">
        <v>3312</v>
      </c>
      <c r="W26" s="3251">
        <f t="shared" si="14"/>
        <v>100</v>
      </c>
      <c r="X26" s="3194"/>
      <c r="Y26" s="3804"/>
      <c r="Z26" s="3252" t="str">
        <f>Q26</f>
        <v>朝向</v>
      </c>
      <c r="AA26" s="3253">
        <f t="shared" si="15"/>
        <v>1</v>
      </c>
      <c r="AB26" s="3253">
        <f t="shared" si="16"/>
        <v>1</v>
      </c>
      <c r="AC26" s="3253">
        <f t="shared" si="17"/>
        <v>1</v>
      </c>
    </row>
    <row r="27" spans="1:29" s="3212" customFormat="1" ht="15">
      <c r="A27" s="3232"/>
      <c r="B27" s="3273">
        <v>111</v>
      </c>
      <c r="C27" s="3221"/>
      <c r="D27" s="3472">
        <v>100</v>
      </c>
      <c r="E27" s="3223"/>
      <c r="F27" s="3472">
        <f>SUMIF(90:90,E27,91:91)-SUMIF(90:90,C27,91:91)+100</f>
        <v>100</v>
      </c>
      <c r="G27" s="3224"/>
      <c r="H27" s="3472">
        <f>SUMIF(90:90,G27,91:91)-SUMIF(90:90,C27,91:91)+100</f>
        <v>100</v>
      </c>
      <c r="I27" s="3224"/>
      <c r="J27" s="3472">
        <f>SUMIF(90:90,I27,91:91)-SUMIF(90:90,C27,91:91)+100</f>
        <v>100</v>
      </c>
      <c r="K27" s="3465"/>
      <c r="L27" s="3206"/>
      <c r="M27" s="3207"/>
      <c r="N27" s="3207"/>
      <c r="O27" s="3207"/>
      <c r="P27" s="3802"/>
      <c r="Q27" s="3217">
        <f t="shared" si="11"/>
        <v>111</v>
      </c>
      <c r="R27" s="3208" t="s">
        <v>3032</v>
      </c>
      <c r="S27" s="3209">
        <f t="shared" si="12"/>
        <v>100</v>
      </c>
      <c r="T27" s="3208" t="s">
        <v>3032</v>
      </c>
      <c r="U27" s="3209">
        <f t="shared" si="13"/>
        <v>100</v>
      </c>
      <c r="V27" s="3208" t="s">
        <v>3032</v>
      </c>
      <c r="W27" s="3209">
        <f t="shared" si="14"/>
        <v>100</v>
      </c>
      <c r="X27" s="3210"/>
      <c r="Y27" s="3804"/>
      <c r="Z27" s="3218">
        <f>Q27</f>
        <v>111</v>
      </c>
      <c r="AA27" s="3253">
        <f t="shared" si="15"/>
        <v>1</v>
      </c>
      <c r="AB27" s="3253">
        <f t="shared" si="16"/>
        <v>1</v>
      </c>
      <c r="AC27" s="3253">
        <f t="shared" si="17"/>
        <v>1</v>
      </c>
    </row>
    <row r="28" spans="1:29" ht="15">
      <c r="A28" s="3228"/>
      <c r="B28" s="3273">
        <v>111</v>
      </c>
      <c r="C28" s="3235"/>
      <c r="D28" s="3236">
        <v>100</v>
      </c>
      <c r="E28" s="3235"/>
      <c r="F28" s="3236">
        <f>SUMIF(92:92,E28,93:93)-SUMIF(92:92,C28,93:93)+100</f>
        <v>100</v>
      </c>
      <c r="G28" s="3473"/>
      <c r="H28" s="3236">
        <f>SUMIF(92:92,G28,93:93)-SUMIF(92:92,C28,93:93)+100</f>
        <v>100</v>
      </c>
      <c r="I28" s="3235"/>
      <c r="J28" s="3236">
        <f>SUMIF(92:92,I28,93:93)-SUMIF(92:92,C28,93:93)+100</f>
        <v>100</v>
      </c>
      <c r="K28" s="3465"/>
      <c r="L28" s="3238"/>
      <c r="M28" s="3193"/>
      <c r="N28" s="3193"/>
      <c r="O28" s="3193"/>
      <c r="P28" s="3802"/>
      <c r="Q28" s="3249">
        <f t="shared" si="11"/>
        <v>111</v>
      </c>
      <c r="R28" s="3250" t="s">
        <v>3032</v>
      </c>
      <c r="S28" s="3251">
        <f t="shared" si="12"/>
        <v>100</v>
      </c>
      <c r="T28" s="3250" t="s">
        <v>3032</v>
      </c>
      <c r="U28" s="3251">
        <f t="shared" si="13"/>
        <v>100</v>
      </c>
      <c r="V28" s="3250" t="s">
        <v>3032</v>
      </c>
      <c r="W28" s="3251">
        <f t="shared" si="14"/>
        <v>100</v>
      </c>
      <c r="X28" s="3194"/>
      <c r="Y28" s="3804"/>
      <c r="Z28" s="3252">
        <f t="shared" ref="Z28:Z46" si="18">Q28</f>
        <v>111</v>
      </c>
      <c r="AA28" s="3253">
        <f t="shared" si="15"/>
        <v>1</v>
      </c>
      <c r="AB28" s="3253">
        <f t="shared" si="16"/>
        <v>1</v>
      </c>
      <c r="AC28" s="3253">
        <f t="shared" si="17"/>
        <v>1</v>
      </c>
    </row>
    <row r="29" spans="1:29" ht="15">
      <c r="A29" s="3228"/>
      <c r="B29" s="3273">
        <v>111</v>
      </c>
      <c r="C29" s="3235"/>
      <c r="D29" s="3236">
        <v>100</v>
      </c>
      <c r="E29" s="3235"/>
      <c r="F29" s="3236">
        <f>SUMIF(94:94,E29,95:95)-SUMIF(94:94,C29,95:95)+100</f>
        <v>100</v>
      </c>
      <c r="G29" s="3473"/>
      <c r="H29" s="3236">
        <f>SUMIF(94:94,G29,95:95)-SUMIF(94:94,C29,95:95)+100</f>
        <v>100</v>
      </c>
      <c r="I29" s="3235"/>
      <c r="J29" s="3236">
        <f>SUMIF(94:94,I29,95:95)-SUMIF(94:94,C29,95:95)+100</f>
        <v>100</v>
      </c>
      <c r="K29" s="3465"/>
      <c r="L29" s="3238"/>
      <c r="M29" s="3193"/>
      <c r="N29" s="3193"/>
      <c r="O29" s="3193"/>
      <c r="P29" s="3802"/>
      <c r="Q29" s="3249">
        <f t="shared" si="11"/>
        <v>111</v>
      </c>
      <c r="R29" s="3250" t="s">
        <v>3032</v>
      </c>
      <c r="S29" s="3251">
        <f t="shared" si="12"/>
        <v>100</v>
      </c>
      <c r="T29" s="3250" t="s">
        <v>3032</v>
      </c>
      <c r="U29" s="3251">
        <f t="shared" si="13"/>
        <v>100</v>
      </c>
      <c r="V29" s="3250" t="s">
        <v>3032</v>
      </c>
      <c r="W29" s="3251">
        <f t="shared" si="14"/>
        <v>100</v>
      </c>
      <c r="X29" s="3194"/>
      <c r="Y29" s="3804"/>
      <c r="Z29" s="3252">
        <f t="shared" si="18"/>
        <v>111</v>
      </c>
      <c r="AA29" s="3253">
        <f t="shared" si="15"/>
        <v>1</v>
      </c>
      <c r="AB29" s="3253">
        <f t="shared" si="16"/>
        <v>1</v>
      </c>
      <c r="AC29" s="3253">
        <f t="shared" si="17"/>
        <v>1</v>
      </c>
    </row>
    <row r="30" spans="1:29" ht="15">
      <c r="A30" s="3228"/>
      <c r="B30" s="3273">
        <v>111</v>
      </c>
      <c r="C30" s="3235"/>
      <c r="D30" s="3236">
        <v>100</v>
      </c>
      <c r="E30" s="3235"/>
      <c r="F30" s="3236">
        <f>SUMIF(96:96,E30,97:97)-SUMIF(96:96,C30,97:97)+100</f>
        <v>100</v>
      </c>
      <c r="G30" s="3473"/>
      <c r="H30" s="3236">
        <f>SUMIF(96:96,G30,97:97)-SUMIF(96:96,C30,97:97)+100</f>
        <v>100</v>
      </c>
      <c r="I30" s="3235"/>
      <c r="J30" s="3236">
        <f>SUMIF(96:96,I30,97:97)-SUMIF(96:96,C30,97:97)+100</f>
        <v>100</v>
      </c>
      <c r="K30" s="3465"/>
      <c r="L30" s="3238"/>
      <c r="M30" s="3193"/>
      <c r="N30" s="3193"/>
      <c r="O30" s="3193"/>
      <c r="P30" s="3802"/>
      <c r="Q30" s="3249">
        <f t="shared" si="11"/>
        <v>111</v>
      </c>
      <c r="R30" s="3250" t="s">
        <v>3032</v>
      </c>
      <c r="S30" s="3251">
        <f t="shared" si="12"/>
        <v>100</v>
      </c>
      <c r="T30" s="3250" t="s">
        <v>3032</v>
      </c>
      <c r="U30" s="3251">
        <f t="shared" si="13"/>
        <v>100</v>
      </c>
      <c r="V30" s="3250" t="s">
        <v>3032</v>
      </c>
      <c r="W30" s="3251">
        <f t="shared" si="14"/>
        <v>100</v>
      </c>
      <c r="X30" s="3194"/>
      <c r="Y30" s="3804"/>
      <c r="Z30" s="3252">
        <f t="shared" si="18"/>
        <v>111</v>
      </c>
      <c r="AA30" s="3253">
        <f t="shared" si="15"/>
        <v>1</v>
      </c>
      <c r="AB30" s="3253">
        <f t="shared" si="16"/>
        <v>1</v>
      </c>
      <c r="AC30" s="3253">
        <f t="shared" si="17"/>
        <v>1</v>
      </c>
    </row>
    <row r="31" spans="1:29" ht="15.75" thickBot="1">
      <c r="A31" s="3239"/>
      <c r="B31" s="3273">
        <v>111</v>
      </c>
      <c r="C31" s="3241"/>
      <c r="D31" s="3242">
        <v>100</v>
      </c>
      <c r="E31" s="3241"/>
      <c r="F31" s="3242">
        <f>SUMIF(98:98,E31,99:99)-SUMIF(98:98,C31,99:99)+100</f>
        <v>100</v>
      </c>
      <c r="G31" s="3474"/>
      <c r="H31" s="3242">
        <f>SUMIF(98:98,G31,99:99)-SUMIF(98:98,C31,99:99)+100</f>
        <v>100</v>
      </c>
      <c r="I31" s="3241"/>
      <c r="J31" s="3242">
        <f>SUMIF(98:98,I31,99:99)-SUMIF(98:98,C31,99:99)+100</f>
        <v>100</v>
      </c>
      <c r="K31" s="3465"/>
      <c r="L31" s="3238"/>
      <c r="M31" s="3193"/>
      <c r="N31" s="3193"/>
      <c r="O31" s="3193"/>
      <c r="P31" s="3802"/>
      <c r="Q31" s="3249">
        <f t="shared" si="11"/>
        <v>111</v>
      </c>
      <c r="R31" s="3250" t="s">
        <v>3032</v>
      </c>
      <c r="S31" s="3251">
        <f t="shared" si="12"/>
        <v>100</v>
      </c>
      <c r="T31" s="3250" t="s">
        <v>3032</v>
      </c>
      <c r="U31" s="3251">
        <f t="shared" si="13"/>
        <v>100</v>
      </c>
      <c r="V31" s="3250" t="s">
        <v>3032</v>
      </c>
      <c r="W31" s="3251">
        <f t="shared" si="14"/>
        <v>100</v>
      </c>
      <c r="X31" s="3194"/>
      <c r="Y31" s="3804"/>
      <c r="Z31" s="3252">
        <f t="shared" si="18"/>
        <v>111</v>
      </c>
      <c r="AA31" s="3253">
        <f t="shared" si="15"/>
        <v>1</v>
      </c>
      <c r="AB31" s="3253">
        <f t="shared" si="16"/>
        <v>1</v>
      </c>
      <c r="AC31" s="3253">
        <f t="shared" si="17"/>
        <v>1</v>
      </c>
    </row>
    <row r="32" spans="1:29" ht="15">
      <c r="A32" s="3243" t="s">
        <v>3313</v>
      </c>
      <c r="B32" s="3215" t="s">
        <v>3314</v>
      </c>
      <c r="C32" s="3475" t="s">
        <v>3015</v>
      </c>
      <c r="D32" s="3282">
        <v>100</v>
      </c>
      <c r="E32" s="3476" t="s">
        <v>3015</v>
      </c>
      <c r="F32" s="3477">
        <f>SUMIF(100:100,E32,101:101)-SUMIF(100:100,C32,101:101)+100</f>
        <v>100</v>
      </c>
      <c r="G32" s="3475" t="s">
        <v>3015</v>
      </c>
      <c r="H32" s="3282">
        <f>SUMIF(100:100,G32,101:101)-SUMIF(100:100,C32,101:101)+100</f>
        <v>100</v>
      </c>
      <c r="I32" s="3476" t="s">
        <v>3015</v>
      </c>
      <c r="J32" s="3236">
        <f>SUMIF(100:100,I32,101:101)-SUMIF(100:100,C32,101:101)+100</f>
        <v>100</v>
      </c>
      <c r="K32" s="3464">
        <v>1</v>
      </c>
      <c r="L32" s="3238"/>
      <c r="M32" s="3193"/>
      <c r="N32" s="3193"/>
      <c r="O32" s="3193"/>
      <c r="P32" s="3805" t="s">
        <v>3315</v>
      </c>
      <c r="Q32" s="3249" t="str">
        <f t="shared" si="11"/>
        <v>建筑类型</v>
      </c>
      <c r="R32" s="3250" t="s">
        <v>3032</v>
      </c>
      <c r="S32" s="3251">
        <f t="shared" si="12"/>
        <v>100</v>
      </c>
      <c r="T32" s="3250" t="s">
        <v>3032</v>
      </c>
      <c r="U32" s="3251">
        <f t="shared" si="13"/>
        <v>100</v>
      </c>
      <c r="V32" s="3250" t="s">
        <v>3032</v>
      </c>
      <c r="W32" s="3251">
        <f t="shared" si="14"/>
        <v>100</v>
      </c>
      <c r="X32" s="3194"/>
      <c r="Y32" s="3808" t="s">
        <v>3315</v>
      </c>
      <c r="Z32" s="3252" t="str">
        <f t="shared" si="18"/>
        <v>建筑类型</v>
      </c>
      <c r="AA32" s="3253">
        <f t="shared" si="15"/>
        <v>1</v>
      </c>
      <c r="AB32" s="3253">
        <f t="shared" si="16"/>
        <v>1</v>
      </c>
      <c r="AC32" s="3253">
        <f t="shared" si="17"/>
        <v>1</v>
      </c>
    </row>
    <row r="33" spans="1:29" s="3280" customFormat="1" ht="15">
      <c r="A33" s="3286"/>
      <c r="B33" s="3220" t="s">
        <v>3316</v>
      </c>
      <c r="C33" s="3478">
        <f>面积表!E16</f>
        <v>36240.31</v>
      </c>
      <c r="D33" s="3222">
        <v>100</v>
      </c>
      <c r="E33" s="3230">
        <v>99833</v>
      </c>
      <c r="F33" s="3463">
        <f>LOOKUP(E33,103:103,104:104)-LOOKUP(C33,103:103,104:104)+100</f>
        <v>102</v>
      </c>
      <c r="G33" s="3229">
        <v>50000</v>
      </c>
      <c r="H33" s="3222">
        <f>LOOKUP(G33,103:103,104:104)-LOOKUP(C33,103:103,104:104)+100</f>
        <v>101</v>
      </c>
      <c r="I33" s="3230">
        <v>80261</v>
      </c>
      <c r="J33" s="3222">
        <f>LOOKUP(I33,103:103,104:104)-LOOKUP(C33,103:103,104:104)+100</f>
        <v>102</v>
      </c>
      <c r="K33" s="3465"/>
      <c r="L33" s="3231"/>
      <c r="M33" s="3275"/>
      <c r="N33" s="3275"/>
      <c r="O33" s="3275"/>
      <c r="P33" s="3806"/>
      <c r="Q33" s="3479" t="str">
        <f t="shared" si="11"/>
        <v>项目建筑规模</v>
      </c>
      <c r="R33" s="3276" t="s">
        <v>3032</v>
      </c>
      <c r="S33" s="3277">
        <f t="shared" si="12"/>
        <v>102</v>
      </c>
      <c r="T33" s="3276" t="s">
        <v>3032</v>
      </c>
      <c r="U33" s="3277">
        <f t="shared" si="13"/>
        <v>101</v>
      </c>
      <c r="V33" s="3276" t="s">
        <v>3032</v>
      </c>
      <c r="W33" s="3277">
        <f t="shared" si="14"/>
        <v>102</v>
      </c>
      <c r="X33" s="3278"/>
      <c r="Y33" s="3808"/>
      <c r="Z33" s="3279" t="str">
        <f t="shared" si="18"/>
        <v>项目建筑规模</v>
      </c>
      <c r="AA33" s="3253">
        <f t="shared" si="15"/>
        <v>0.98039215686274506</v>
      </c>
      <c r="AB33" s="3253">
        <f t="shared" si="16"/>
        <v>0.99009900990099009</v>
      </c>
      <c r="AC33" s="3253">
        <f t="shared" si="17"/>
        <v>0.98039215686274506</v>
      </c>
    </row>
    <row r="34" spans="1:29" ht="15">
      <c r="A34" s="3281"/>
      <c r="B34" s="3220" t="s">
        <v>3317</v>
      </c>
      <c r="C34" s="3480" t="s">
        <v>3318</v>
      </c>
      <c r="D34" s="3236">
        <v>100</v>
      </c>
      <c r="E34" s="3481" t="s">
        <v>3318</v>
      </c>
      <c r="F34" s="3477">
        <f>SUMIF(105:105,E34,106:106)-SUMIF(105:105,C34,106:106)+100</f>
        <v>100</v>
      </c>
      <c r="G34" s="3480" t="s">
        <v>3318</v>
      </c>
      <c r="H34" s="3236">
        <f>SUMIF(105:105,G34,106:106)-SUMIF(105:105,C34,106:106)+100</f>
        <v>100</v>
      </c>
      <c r="I34" s="3481" t="s">
        <v>3318</v>
      </c>
      <c r="J34" s="3236">
        <f>SUMIF(105:105,I34,106:106)-SUMIF(105:105,C34,106:106)+100</f>
        <v>100</v>
      </c>
      <c r="K34" s="3464">
        <v>1</v>
      </c>
      <c r="L34" s="3238"/>
      <c r="M34" s="3193"/>
      <c r="N34" s="3193"/>
      <c r="O34" s="3193"/>
      <c r="P34" s="3806"/>
      <c r="Q34" s="3249" t="str">
        <f t="shared" si="11"/>
        <v>建筑结构</v>
      </c>
      <c r="R34" s="3250" t="s">
        <v>3032</v>
      </c>
      <c r="S34" s="3251">
        <f t="shared" si="12"/>
        <v>100</v>
      </c>
      <c r="T34" s="3250" t="s">
        <v>3032</v>
      </c>
      <c r="U34" s="3251">
        <f t="shared" si="13"/>
        <v>100</v>
      </c>
      <c r="V34" s="3250" t="s">
        <v>3032</v>
      </c>
      <c r="W34" s="3251">
        <f t="shared" si="14"/>
        <v>100</v>
      </c>
      <c r="X34" s="3194"/>
      <c r="Y34" s="3808"/>
      <c r="Z34" s="3252" t="str">
        <f t="shared" si="18"/>
        <v>建筑结构</v>
      </c>
      <c r="AA34" s="3253">
        <f t="shared" si="15"/>
        <v>1</v>
      </c>
      <c r="AB34" s="3253">
        <f t="shared" si="16"/>
        <v>1</v>
      </c>
      <c r="AC34" s="3253">
        <f t="shared" si="17"/>
        <v>1</v>
      </c>
    </row>
    <row r="35" spans="1:29" ht="15">
      <c r="A35" s="3281"/>
      <c r="B35" s="3220" t="s">
        <v>3319</v>
      </c>
      <c r="C35" s="3284" t="s">
        <v>3039</v>
      </c>
      <c r="D35" s="3236">
        <v>100</v>
      </c>
      <c r="E35" s="3471" t="s">
        <v>3039</v>
      </c>
      <c r="F35" s="3477">
        <f>SUMIF(107:107,E35,108:108)-SUMIF(107:107,C35,108:108)+100</f>
        <v>100</v>
      </c>
      <c r="G35" s="3284" t="s">
        <v>3039</v>
      </c>
      <c r="H35" s="3236">
        <f>SUMIF(107:107,G35,108:108)-SUMIF(107:107,C35,108:108)+100</f>
        <v>100</v>
      </c>
      <c r="I35" s="3471" t="s">
        <v>3039</v>
      </c>
      <c r="J35" s="3236">
        <f>SUMIF(107:107,I35,108:108)-SUMIF(107:107,C35,108:108)+100</f>
        <v>100</v>
      </c>
      <c r="K35" s="3464">
        <v>2</v>
      </c>
      <c r="L35" s="3238"/>
      <c r="M35" s="3193"/>
      <c r="N35" s="3193"/>
      <c r="O35" s="3193"/>
      <c r="P35" s="3806"/>
      <c r="Q35" s="3249" t="str">
        <f t="shared" si="11"/>
        <v>建筑品质</v>
      </c>
      <c r="R35" s="3250" t="s">
        <v>3032</v>
      </c>
      <c r="S35" s="3251">
        <f t="shared" si="12"/>
        <v>100</v>
      </c>
      <c r="T35" s="3250" t="s">
        <v>3032</v>
      </c>
      <c r="U35" s="3251">
        <f t="shared" si="13"/>
        <v>100</v>
      </c>
      <c r="V35" s="3250" t="s">
        <v>3032</v>
      </c>
      <c r="W35" s="3251">
        <f t="shared" si="14"/>
        <v>100</v>
      </c>
      <c r="X35" s="3194"/>
      <c r="Y35" s="3808"/>
      <c r="Z35" s="3252" t="str">
        <f t="shared" si="18"/>
        <v>建筑品质</v>
      </c>
      <c r="AA35" s="3253">
        <f t="shared" si="15"/>
        <v>1</v>
      </c>
      <c r="AB35" s="3253">
        <f t="shared" si="16"/>
        <v>1</v>
      </c>
      <c r="AC35" s="3253">
        <f t="shared" si="17"/>
        <v>1</v>
      </c>
    </row>
    <row r="36" spans="1:29" ht="15">
      <c r="A36" s="3281"/>
      <c r="B36" s="3220" t="s">
        <v>3320</v>
      </c>
      <c r="C36" s="3284" t="s">
        <v>3321</v>
      </c>
      <c r="D36" s="3236">
        <v>100</v>
      </c>
      <c r="E36" s="3471" t="s">
        <v>3321</v>
      </c>
      <c r="F36" s="3477">
        <f>SUMIF(109:109,E36,110:110)-SUMIF(109:109,C36,110:110)+100</f>
        <v>100</v>
      </c>
      <c r="G36" s="3284" t="s">
        <v>3321</v>
      </c>
      <c r="H36" s="3236">
        <f>SUMIF(109:109,G36,110:110)-SUMIF(109:109,C36,110:110)+100</f>
        <v>100</v>
      </c>
      <c r="I36" s="3471" t="s">
        <v>3321</v>
      </c>
      <c r="J36" s="3236">
        <f>SUMIF(109:109,I36,110:110)-SUMIF(109:109,C36,110:110)+100</f>
        <v>100</v>
      </c>
      <c r="K36" s="3464">
        <v>1</v>
      </c>
      <c r="L36" s="3238"/>
      <c r="M36" s="3193"/>
      <c r="N36" s="3193"/>
      <c r="O36" s="3193"/>
      <c r="P36" s="3806"/>
      <c r="Q36" s="3249" t="str">
        <f t="shared" si="11"/>
        <v>公共部分装修</v>
      </c>
      <c r="R36" s="3250" t="s">
        <v>3032</v>
      </c>
      <c r="S36" s="3251">
        <f t="shared" si="12"/>
        <v>100</v>
      </c>
      <c r="T36" s="3250" t="s">
        <v>3032</v>
      </c>
      <c r="U36" s="3251">
        <f t="shared" si="13"/>
        <v>100</v>
      </c>
      <c r="V36" s="3250" t="s">
        <v>3032</v>
      </c>
      <c r="W36" s="3251">
        <f t="shared" si="14"/>
        <v>100</v>
      </c>
      <c r="X36" s="3194"/>
      <c r="Y36" s="3808"/>
      <c r="Z36" s="3252" t="str">
        <f t="shared" si="18"/>
        <v>公共部分装修</v>
      </c>
      <c r="AA36" s="3253">
        <f t="shared" si="15"/>
        <v>1</v>
      </c>
      <c r="AB36" s="3253">
        <f t="shared" si="16"/>
        <v>1</v>
      </c>
      <c r="AC36" s="3253">
        <f t="shared" si="17"/>
        <v>1</v>
      </c>
    </row>
    <row r="37" spans="1:29" s="3212" customFormat="1" ht="15">
      <c r="A37" s="3285"/>
      <c r="B37" s="3220" t="s">
        <v>3322</v>
      </c>
      <c r="C37" s="3482">
        <v>1</v>
      </c>
      <c r="D37" s="3222">
        <v>100</v>
      </c>
      <c r="E37" s="3482">
        <v>1</v>
      </c>
      <c r="F37" s="3463">
        <f>LOOKUP(E37,112:112,113:113)-LOOKUP(C37,112:112,113:113)+100</f>
        <v>100</v>
      </c>
      <c r="G37" s="3483">
        <v>1</v>
      </c>
      <c r="H37" s="3222">
        <f>LOOKUP(G37,112:112,113:113)-LOOKUP(C37,112:112,113:113)+100</f>
        <v>100</v>
      </c>
      <c r="I37" s="3484">
        <v>1</v>
      </c>
      <c r="J37" s="3222">
        <f>LOOKUP(I37,112:112,113:113)-LOOKUP(C37,112:112,113:113)+100</f>
        <v>100</v>
      </c>
      <c r="K37" s="3464">
        <v>1</v>
      </c>
      <c r="L37" s="3206"/>
      <c r="M37" s="3207"/>
      <c r="N37" s="3207"/>
      <c r="O37" s="3207"/>
      <c r="P37" s="3806"/>
      <c r="Q37" s="3217" t="str">
        <f t="shared" si="11"/>
        <v>成新度</v>
      </c>
      <c r="R37" s="3208" t="s">
        <v>3312</v>
      </c>
      <c r="S37" s="3209">
        <f t="shared" si="12"/>
        <v>100</v>
      </c>
      <c r="T37" s="3208" t="s">
        <v>3312</v>
      </c>
      <c r="U37" s="3209">
        <f t="shared" si="13"/>
        <v>100</v>
      </c>
      <c r="V37" s="3208" t="s">
        <v>3312</v>
      </c>
      <c r="W37" s="3209">
        <f t="shared" si="14"/>
        <v>100</v>
      </c>
      <c r="X37" s="3210"/>
      <c r="Y37" s="3808"/>
      <c r="Z37" s="3218" t="str">
        <f t="shared" si="18"/>
        <v>成新度</v>
      </c>
      <c r="AA37" s="3211">
        <f t="shared" si="15"/>
        <v>1</v>
      </c>
      <c r="AB37" s="3211">
        <f t="shared" si="16"/>
        <v>1</v>
      </c>
      <c r="AC37" s="3211">
        <f t="shared" si="17"/>
        <v>1</v>
      </c>
    </row>
    <row r="38" spans="1:29" ht="15">
      <c r="A38" s="3281"/>
      <c r="B38" s="3220" t="s">
        <v>3323</v>
      </c>
      <c r="C38" s="3284" t="s">
        <v>3324</v>
      </c>
      <c r="D38" s="3236">
        <v>100</v>
      </c>
      <c r="E38" s="3471" t="s">
        <v>3324</v>
      </c>
      <c r="F38" s="3477">
        <f>SUMIF(114:114,E38,115:115)-SUMIF(114:114,C38,115:115)+100</f>
        <v>100</v>
      </c>
      <c r="G38" s="3284" t="s">
        <v>3324</v>
      </c>
      <c r="H38" s="3236">
        <f>SUMIF(114:114,G38,115:115)-SUMIF(114:114,C38,115:115)+100</f>
        <v>100</v>
      </c>
      <c r="I38" s="3471" t="s">
        <v>3324</v>
      </c>
      <c r="J38" s="3236">
        <f>SUMIF(114:114,I38,115:115)-SUMIF(114:114,C38,115:115)+100</f>
        <v>100</v>
      </c>
      <c r="K38" s="3464">
        <v>1</v>
      </c>
      <c r="L38" s="3238"/>
      <c r="M38" s="3193"/>
      <c r="N38" s="3193"/>
      <c r="O38" s="3193"/>
      <c r="P38" s="3806" t="s">
        <v>3315</v>
      </c>
      <c r="Q38" s="3249" t="str">
        <f t="shared" si="11"/>
        <v>物业管理</v>
      </c>
      <c r="R38" s="3250" t="s">
        <v>3312</v>
      </c>
      <c r="S38" s="3251">
        <f t="shared" si="12"/>
        <v>100</v>
      </c>
      <c r="T38" s="3250" t="s">
        <v>3312</v>
      </c>
      <c r="U38" s="3251">
        <f t="shared" si="13"/>
        <v>100</v>
      </c>
      <c r="V38" s="3250" t="s">
        <v>3312</v>
      </c>
      <c r="W38" s="3251">
        <f t="shared" si="14"/>
        <v>100</v>
      </c>
      <c r="X38" s="3194"/>
      <c r="Y38" s="3808" t="s">
        <v>3325</v>
      </c>
      <c r="Z38" s="3252" t="str">
        <f t="shared" si="18"/>
        <v>物业管理</v>
      </c>
      <c r="AA38" s="3253">
        <f t="shared" si="15"/>
        <v>1</v>
      </c>
      <c r="AB38" s="3253">
        <f t="shared" si="16"/>
        <v>1</v>
      </c>
      <c r="AC38" s="3253">
        <f t="shared" si="17"/>
        <v>1</v>
      </c>
    </row>
    <row r="39" spans="1:29" ht="15">
      <c r="A39" s="3281"/>
      <c r="B39" s="3220" t="s">
        <v>3326</v>
      </c>
      <c r="C39" s="3284" t="s">
        <v>3040</v>
      </c>
      <c r="D39" s="3236">
        <v>100</v>
      </c>
      <c r="E39" s="3471" t="s">
        <v>3040</v>
      </c>
      <c r="F39" s="3477">
        <f>SUMIF(116:116,E39,117:117)-SUMIF(116:116,C39,117:117)+100</f>
        <v>100</v>
      </c>
      <c r="G39" s="3284" t="s">
        <v>3040</v>
      </c>
      <c r="H39" s="3236">
        <f>SUMIF(116:116,G39,117:117)-SUMIF(116:116,C39,117:117)+100</f>
        <v>100</v>
      </c>
      <c r="I39" s="3471" t="s">
        <v>3040</v>
      </c>
      <c r="J39" s="3236">
        <f>SUMIF(116:116,I39,117:117)-SUMIF(116:116,C39,117:117)+100</f>
        <v>100</v>
      </c>
      <c r="K39" s="3464">
        <v>1</v>
      </c>
      <c r="L39" s="3238"/>
      <c r="M39" s="3193"/>
      <c r="N39" s="3193"/>
      <c r="O39" s="3193"/>
      <c r="P39" s="3806"/>
      <c r="Q39" s="3249" t="str">
        <f t="shared" si="11"/>
        <v>市政基础设施</v>
      </c>
      <c r="R39" s="3250" t="s">
        <v>3327</v>
      </c>
      <c r="S39" s="3251">
        <f t="shared" si="12"/>
        <v>100</v>
      </c>
      <c r="T39" s="3250" t="s">
        <v>3327</v>
      </c>
      <c r="U39" s="3251">
        <f t="shared" si="13"/>
        <v>100</v>
      </c>
      <c r="V39" s="3250" t="s">
        <v>3327</v>
      </c>
      <c r="W39" s="3251">
        <f t="shared" si="14"/>
        <v>100</v>
      </c>
      <c r="X39" s="3194"/>
      <c r="Y39" s="3808"/>
      <c r="Z39" s="3252" t="str">
        <f t="shared" si="18"/>
        <v>市政基础设施</v>
      </c>
      <c r="AA39" s="3253">
        <f t="shared" si="15"/>
        <v>1</v>
      </c>
      <c r="AB39" s="3253">
        <f t="shared" si="16"/>
        <v>1</v>
      </c>
      <c r="AC39" s="3253">
        <f t="shared" si="17"/>
        <v>1</v>
      </c>
    </row>
    <row r="40" spans="1:29" ht="15">
      <c r="A40" s="3281"/>
      <c r="B40" s="3220" t="s">
        <v>3328</v>
      </c>
      <c r="C40" s="3284"/>
      <c r="D40" s="3236">
        <v>100</v>
      </c>
      <c r="E40" s="3471"/>
      <c r="F40" s="3477">
        <f>SUMIF(118:118,E40,119:119)-SUMIF(118:118,C40,119:119)+100</f>
        <v>100</v>
      </c>
      <c r="G40" s="3284"/>
      <c r="H40" s="3236">
        <f>SUMIF(118:118,G40,119:119)-SUMIF(118:118,C40,119:119)+100</f>
        <v>100</v>
      </c>
      <c r="I40" s="3471"/>
      <c r="J40" s="3236">
        <f>SUMIF(118:118,I40,119:119)-SUMIF(118:118,C40,119:119)+100</f>
        <v>100</v>
      </c>
      <c r="K40" s="3464"/>
      <c r="L40" s="3238"/>
      <c r="M40" s="3193"/>
      <c r="N40" s="3193"/>
      <c r="O40" s="3193"/>
      <c r="P40" s="3806"/>
      <c r="Q40" s="3249" t="str">
        <f t="shared" si="11"/>
        <v>房型</v>
      </c>
      <c r="R40" s="3250" t="s">
        <v>3310</v>
      </c>
      <c r="S40" s="3251">
        <f t="shared" si="12"/>
        <v>100</v>
      </c>
      <c r="T40" s="3250" t="s">
        <v>3310</v>
      </c>
      <c r="U40" s="3251">
        <f t="shared" si="13"/>
        <v>100</v>
      </c>
      <c r="V40" s="3250" t="s">
        <v>3310</v>
      </c>
      <c r="W40" s="3251">
        <f t="shared" si="14"/>
        <v>100</v>
      </c>
      <c r="X40" s="3194"/>
      <c r="Y40" s="3808"/>
      <c r="Z40" s="3252" t="str">
        <f t="shared" si="18"/>
        <v>房型</v>
      </c>
      <c r="AA40" s="3253">
        <f t="shared" si="15"/>
        <v>1</v>
      </c>
      <c r="AB40" s="3253">
        <f t="shared" si="16"/>
        <v>1</v>
      </c>
      <c r="AC40" s="3253">
        <f t="shared" si="17"/>
        <v>1</v>
      </c>
    </row>
    <row r="41" spans="1:29" s="3280" customFormat="1" ht="28.5">
      <c r="A41" s="3286"/>
      <c r="B41" s="3220" t="s">
        <v>3329</v>
      </c>
      <c r="C41" s="3478"/>
      <c r="D41" s="3222">
        <v>100</v>
      </c>
      <c r="E41" s="3230"/>
      <c r="F41" s="3463">
        <f>SUMIF(120:120,E41,121:121)-SUMIF(120:120,C41,121:121)+100</f>
        <v>100</v>
      </c>
      <c r="G41" s="3229"/>
      <c r="H41" s="3222">
        <f>SUMIF(120:120,G41,121:121)-SUMIF(120:120,C41,121:121)+100</f>
        <v>100</v>
      </c>
      <c r="I41" s="3274"/>
      <c r="J41" s="3236">
        <f>SUMIF(120:120,I41,121:121)-SUMIF(120:120,C41,121:121)+100</f>
        <v>100</v>
      </c>
      <c r="K41" s="3465"/>
      <c r="L41" s="3231"/>
      <c r="M41" s="3275"/>
      <c r="N41" s="3275"/>
      <c r="O41" s="3275"/>
      <c r="P41" s="3806"/>
      <c r="Q41" s="3479" t="str">
        <f t="shared" si="11"/>
        <v>单套/主力户型建筑面积</v>
      </c>
      <c r="R41" s="3276" t="s">
        <v>3310</v>
      </c>
      <c r="S41" s="3277">
        <f t="shared" si="12"/>
        <v>100</v>
      </c>
      <c r="T41" s="3276" t="s">
        <v>3310</v>
      </c>
      <c r="U41" s="3277">
        <f t="shared" si="13"/>
        <v>100</v>
      </c>
      <c r="V41" s="3276" t="s">
        <v>3310</v>
      </c>
      <c r="W41" s="3277">
        <f t="shared" si="14"/>
        <v>100</v>
      </c>
      <c r="X41" s="3278"/>
      <c r="Y41" s="3808"/>
      <c r="Z41" s="3279" t="str">
        <f t="shared" si="18"/>
        <v>单套/主力户型建筑面积</v>
      </c>
      <c r="AA41" s="3253">
        <f t="shared" si="15"/>
        <v>1</v>
      </c>
      <c r="AB41" s="3253">
        <f t="shared" si="16"/>
        <v>1</v>
      </c>
      <c r="AC41" s="3253">
        <f t="shared" si="17"/>
        <v>1</v>
      </c>
    </row>
    <row r="42" spans="1:29" ht="15">
      <c r="A42" s="3281"/>
      <c r="B42" s="3220" t="s">
        <v>3330</v>
      </c>
      <c r="C42" s="3284" t="s">
        <v>3321</v>
      </c>
      <c r="D42" s="3236">
        <v>100</v>
      </c>
      <c r="E42" s="3471" t="s">
        <v>3321</v>
      </c>
      <c r="F42" s="3477">
        <f>SUMIF(122:122,E42,123:123)-SUMIF(122:122,C42,123:123)+100</f>
        <v>100</v>
      </c>
      <c r="G42" s="3284" t="s">
        <v>3321</v>
      </c>
      <c r="H42" s="3236">
        <f>SUMIF(122:122,G42,123:123)-SUMIF(122:122,C42,123:123)+100</f>
        <v>100</v>
      </c>
      <c r="I42" s="3471" t="s">
        <v>3331</v>
      </c>
      <c r="J42" s="3236">
        <f>SUMIF(122:122,I42,123:123)-SUMIF(122:122,C42,123:123)+100</f>
        <v>94</v>
      </c>
      <c r="K42" s="3464">
        <v>2</v>
      </c>
      <c r="L42" s="3238"/>
      <c r="M42" s="3193"/>
      <c r="N42" s="3193"/>
      <c r="O42" s="3193"/>
      <c r="P42" s="3806"/>
      <c r="Q42" s="3249" t="str">
        <f t="shared" si="11"/>
        <v>内部装修</v>
      </c>
      <c r="R42" s="3250" t="s">
        <v>3310</v>
      </c>
      <c r="S42" s="3251">
        <f t="shared" si="12"/>
        <v>100</v>
      </c>
      <c r="T42" s="3250" t="s">
        <v>3310</v>
      </c>
      <c r="U42" s="3251">
        <f t="shared" si="13"/>
        <v>100</v>
      </c>
      <c r="V42" s="3250" t="s">
        <v>3310</v>
      </c>
      <c r="W42" s="3251">
        <f t="shared" si="14"/>
        <v>94</v>
      </c>
      <c r="X42" s="3194"/>
      <c r="Y42" s="3808"/>
      <c r="Z42" s="3252" t="str">
        <f t="shared" si="18"/>
        <v>内部装修</v>
      </c>
      <c r="AA42" s="3253">
        <f t="shared" si="15"/>
        <v>1</v>
      </c>
      <c r="AB42" s="3253">
        <f t="shared" si="16"/>
        <v>1</v>
      </c>
      <c r="AC42" s="3253">
        <f t="shared" si="17"/>
        <v>1.0638297872340425</v>
      </c>
    </row>
    <row r="43" spans="1:29" ht="15">
      <c r="A43" s="3281"/>
      <c r="B43" s="3220" t="s">
        <v>3332</v>
      </c>
      <c r="C43" s="3284"/>
      <c r="D43" s="3236">
        <v>100</v>
      </c>
      <c r="E43" s="3471"/>
      <c r="F43" s="3477">
        <f>SUMIF(124:124,E43,125:125)-SUMIF(124:124,C43,125:125)+100</f>
        <v>100</v>
      </c>
      <c r="G43" s="3284"/>
      <c r="H43" s="3236">
        <f>SUMIF(124:124,G43,125:125)-SUMIF(124:124,C43,125:125)+100</f>
        <v>100</v>
      </c>
      <c r="I43" s="3471"/>
      <c r="J43" s="3236">
        <f>SUMIF(124:124,I43,125:125)-SUMIF(124:124,C43,125:125)+100</f>
        <v>100</v>
      </c>
      <c r="K43" s="3464">
        <v>2</v>
      </c>
      <c r="L43" s="3238"/>
      <c r="M43" s="3193"/>
      <c r="N43" s="3193"/>
      <c r="O43" s="3193"/>
      <c r="P43" s="3806"/>
      <c r="Q43" s="3249" t="str">
        <f t="shared" si="11"/>
        <v>内部装修维护情况</v>
      </c>
      <c r="R43" s="3250" t="s">
        <v>3032</v>
      </c>
      <c r="S43" s="3251">
        <f t="shared" si="12"/>
        <v>100</v>
      </c>
      <c r="T43" s="3250" t="s">
        <v>3032</v>
      </c>
      <c r="U43" s="3251">
        <f t="shared" si="13"/>
        <v>100</v>
      </c>
      <c r="V43" s="3250" t="s">
        <v>3032</v>
      </c>
      <c r="W43" s="3251">
        <f t="shared" si="14"/>
        <v>100</v>
      </c>
      <c r="X43" s="3194"/>
      <c r="Y43" s="3808"/>
      <c r="Z43" s="3252" t="str">
        <f t="shared" si="18"/>
        <v>内部装修维护情况</v>
      </c>
      <c r="AA43" s="3253">
        <f t="shared" si="15"/>
        <v>1</v>
      </c>
      <c r="AB43" s="3253">
        <f t="shared" si="16"/>
        <v>1</v>
      </c>
      <c r="AC43" s="3253">
        <f t="shared" si="17"/>
        <v>1</v>
      </c>
    </row>
    <row r="44" spans="1:29" s="3212" customFormat="1" ht="15">
      <c r="A44" s="3285"/>
      <c r="B44" s="3273">
        <v>111</v>
      </c>
      <c r="C44" s="3478"/>
      <c r="D44" s="3222">
        <v>100</v>
      </c>
      <c r="E44" s="3478"/>
      <c r="F44" s="3463">
        <f>SUMIF(126:126,E44,127:127)-SUMIF(126:126,C44,127:127)+100</f>
        <v>100</v>
      </c>
      <c r="G44" s="3478"/>
      <c r="H44" s="3222">
        <f>SUMIF(126:126,G44,127:127)-SUMIF(126:126,C44,127:127)+100</f>
        <v>100</v>
      </c>
      <c r="I44" s="3478"/>
      <c r="J44" s="3222">
        <f>SUMIF(126:126,I44,127:127)-SUMIF(126:126,C44,127:127)+100</f>
        <v>100</v>
      </c>
      <c r="K44" s="3465"/>
      <c r="L44" s="3206"/>
      <c r="M44" s="3207"/>
      <c r="N44" s="3207"/>
      <c r="O44" s="3207"/>
      <c r="P44" s="3806"/>
      <c r="Q44" s="3217">
        <f t="shared" si="11"/>
        <v>111</v>
      </c>
      <c r="R44" s="3208" t="s">
        <v>3032</v>
      </c>
      <c r="S44" s="3209">
        <f t="shared" si="12"/>
        <v>100</v>
      </c>
      <c r="T44" s="3208" t="s">
        <v>3032</v>
      </c>
      <c r="U44" s="3209">
        <f t="shared" si="13"/>
        <v>100</v>
      </c>
      <c r="V44" s="3208" t="s">
        <v>3032</v>
      </c>
      <c r="W44" s="3209">
        <f t="shared" si="14"/>
        <v>100</v>
      </c>
      <c r="X44" s="3210"/>
      <c r="Y44" s="3808"/>
      <c r="Z44" s="3218">
        <f t="shared" si="18"/>
        <v>111</v>
      </c>
      <c r="AA44" s="3211">
        <f t="shared" si="15"/>
        <v>1</v>
      </c>
      <c r="AB44" s="3211">
        <f t="shared" si="16"/>
        <v>1</v>
      </c>
      <c r="AC44" s="3211">
        <f t="shared" si="17"/>
        <v>1</v>
      </c>
    </row>
    <row r="45" spans="1:29" ht="15">
      <c r="A45" s="3281"/>
      <c r="B45" s="3273">
        <v>111</v>
      </c>
      <c r="C45" s="3235"/>
      <c r="D45" s="3236">
        <v>100</v>
      </c>
      <c r="E45" s="3235"/>
      <c r="F45" s="3477">
        <f>SUMIF(128:128,E45,129:129)-SUMIF(128:128,C45,129:129)+100</f>
        <v>100</v>
      </c>
      <c r="G45" s="3235"/>
      <c r="H45" s="3236">
        <f>SUMIF(128:128,G45,129:129)-SUMIF(128:128,C45,129:129)+100</f>
        <v>100</v>
      </c>
      <c r="I45" s="3235"/>
      <c r="J45" s="3236">
        <f>SUMIF(128:128,I45,129:129)-SUMIF(128:128,C45,129:129)+100</f>
        <v>100</v>
      </c>
      <c r="K45" s="3465"/>
      <c r="L45" s="3238"/>
      <c r="M45" s="3193"/>
      <c r="N45" s="3193"/>
      <c r="O45" s="3193"/>
      <c r="P45" s="3806"/>
      <c r="Q45" s="3249">
        <f t="shared" si="11"/>
        <v>111</v>
      </c>
      <c r="R45" s="3250" t="s">
        <v>3032</v>
      </c>
      <c r="S45" s="3251">
        <f t="shared" si="12"/>
        <v>100</v>
      </c>
      <c r="T45" s="3250" t="s">
        <v>3032</v>
      </c>
      <c r="U45" s="3251">
        <f t="shared" si="13"/>
        <v>100</v>
      </c>
      <c r="V45" s="3250" t="s">
        <v>3032</v>
      </c>
      <c r="W45" s="3251">
        <f t="shared" si="14"/>
        <v>100</v>
      </c>
      <c r="X45" s="3194"/>
      <c r="Y45" s="3808"/>
      <c r="Z45" s="3252">
        <f t="shared" si="18"/>
        <v>111</v>
      </c>
      <c r="AA45" s="3253">
        <f t="shared" si="15"/>
        <v>1</v>
      </c>
      <c r="AB45" s="3253">
        <f t="shared" si="16"/>
        <v>1</v>
      </c>
      <c r="AC45" s="3253">
        <f t="shared" si="17"/>
        <v>1</v>
      </c>
    </row>
    <row r="46" spans="1:29" ht="15.75" thickBot="1">
      <c r="A46" s="3485"/>
      <c r="B46" s="3240">
        <v>111</v>
      </c>
      <c r="C46" s="3241"/>
      <c r="D46" s="3242">
        <v>100</v>
      </c>
      <c r="E46" s="3241"/>
      <c r="F46" s="3466">
        <f>SUMIF(130:130,E46,131:131)-SUMIF(130:130,C46,131:131)+100</f>
        <v>100</v>
      </c>
      <c r="G46" s="3241"/>
      <c r="H46" s="3242">
        <f>SUMIF(130:130,G46,131:131)-SUMIF(130:130,C46,131:131)+100</f>
        <v>100</v>
      </c>
      <c r="I46" s="3241"/>
      <c r="J46" s="3242">
        <f>SUMIF(130:130,I46,131:131)-SUMIF(130:130,C46,131:131)+100</f>
        <v>100</v>
      </c>
      <c r="K46" s="3465"/>
      <c r="L46" s="3238"/>
      <c r="M46" s="3193"/>
      <c r="N46" s="3193"/>
      <c r="O46" s="3193"/>
      <c r="P46" s="3807"/>
      <c r="Q46" s="3249">
        <f t="shared" si="11"/>
        <v>111</v>
      </c>
      <c r="R46" s="3250" t="s">
        <v>3032</v>
      </c>
      <c r="S46" s="3251">
        <f t="shared" si="12"/>
        <v>100</v>
      </c>
      <c r="T46" s="3250" t="s">
        <v>3032</v>
      </c>
      <c r="U46" s="3251">
        <f t="shared" si="13"/>
        <v>100</v>
      </c>
      <c r="V46" s="3250" t="s">
        <v>3032</v>
      </c>
      <c r="W46" s="3251">
        <f t="shared" si="14"/>
        <v>100</v>
      </c>
      <c r="X46" s="3194"/>
      <c r="Y46" s="3809"/>
      <c r="Z46" s="3252">
        <f t="shared" si="18"/>
        <v>111</v>
      </c>
      <c r="AA46" s="3253">
        <f t="shared" si="15"/>
        <v>1</v>
      </c>
      <c r="AB46" s="3253">
        <f t="shared" si="16"/>
        <v>1</v>
      </c>
      <c r="AC46" s="3253">
        <f t="shared" si="17"/>
        <v>1</v>
      </c>
    </row>
    <row r="47" spans="1:29" ht="15">
      <c r="A47" s="3287" t="s">
        <v>3333</v>
      </c>
      <c r="B47" s="3486"/>
      <c r="C47" s="3487" t="s">
        <v>3334</v>
      </c>
      <c r="D47" s="3488"/>
      <c r="E47" s="3489">
        <v>35000</v>
      </c>
      <c r="F47" s="3490"/>
      <c r="G47" s="3491">
        <v>33000</v>
      </c>
      <c r="H47" s="3492"/>
      <c r="I47" s="3489">
        <v>29000</v>
      </c>
      <c r="J47" s="3492"/>
      <c r="K47" s="3493"/>
      <c r="L47" s="3288"/>
      <c r="M47" s="3289"/>
      <c r="N47" s="3193"/>
      <c r="O47" s="3289"/>
      <c r="P47" s="3810" t="str">
        <f>A47</f>
        <v>成交单价（元/平方米）</v>
      </c>
      <c r="Q47" s="3810"/>
      <c r="R47" s="3811">
        <f>E47</f>
        <v>35000</v>
      </c>
      <c r="S47" s="3811"/>
      <c r="T47" s="3811">
        <f>G47</f>
        <v>33000</v>
      </c>
      <c r="U47" s="3811"/>
      <c r="V47" s="3811">
        <f>I47</f>
        <v>29000</v>
      </c>
      <c r="W47" s="3811"/>
      <c r="X47" s="3290"/>
      <c r="Y47" s="3291"/>
      <c r="Z47" s="3290"/>
      <c r="AA47" s="3290"/>
      <c r="AB47" s="3290"/>
      <c r="AC47" s="3290"/>
    </row>
    <row r="48" spans="1:29" ht="15.75" thickBot="1">
      <c r="A48" s="3292" t="s">
        <v>3045</v>
      </c>
      <c r="B48" s="3494"/>
      <c r="C48" s="3495">
        <f>R49</f>
        <v>32411</v>
      </c>
      <c r="D48" s="3496"/>
      <c r="E48" s="3497">
        <f>R48</f>
        <v>34314</v>
      </c>
      <c r="F48" s="3497"/>
      <c r="G48" s="3495">
        <f>T48</f>
        <v>32673</v>
      </c>
      <c r="H48" s="3496"/>
      <c r="I48" s="3497">
        <f>V48</f>
        <v>30246</v>
      </c>
      <c r="J48" s="3496"/>
      <c r="K48" s="3498"/>
      <c r="L48" s="3288"/>
      <c r="M48" s="3289"/>
      <c r="N48" s="3289"/>
      <c r="O48" s="3289"/>
      <c r="P48" s="3810" t="str">
        <f>A48</f>
        <v>比较价值（元/平方米）</v>
      </c>
      <c r="Q48" s="3810"/>
      <c r="R48" s="3811">
        <f>IF(F1="售价",ROUND(PRODUCT(R47,AA7:AA46),0),ROUND(PRODUCT(R47,AA7:AA46),1))</f>
        <v>34314</v>
      </c>
      <c r="S48" s="3811"/>
      <c r="T48" s="3811">
        <f>IF(F1="售价",ROUND(PRODUCT(T47,AB7:AB46),0),ROUND(PRODUCT(T47,AB7:AB46),1))</f>
        <v>32673</v>
      </c>
      <c r="U48" s="3811"/>
      <c r="V48" s="3811">
        <f>IF(F1="售价",ROUND(PRODUCT(V47,AC7:AC46),0),ROUND(PRODUCT(V47,AC7:AC46),1))</f>
        <v>30246</v>
      </c>
      <c r="W48" s="3811"/>
      <c r="X48" s="3290"/>
      <c r="Y48" s="3290"/>
      <c r="Z48" s="3290"/>
      <c r="AA48" s="3290"/>
      <c r="AB48" s="3290"/>
      <c r="AC48" s="3290"/>
    </row>
    <row r="49" spans="1:29" ht="15.75" thickBot="1">
      <c r="A49" s="3293" t="s">
        <v>3335</v>
      </c>
      <c r="B49" s="3294"/>
      <c r="C49" s="3499">
        <f>R49</f>
        <v>32411</v>
      </c>
      <c r="D49" s="3500"/>
      <c r="E49" s="3500"/>
      <c r="F49" s="3500"/>
      <c r="G49" s="3500"/>
      <c r="H49" s="3500"/>
      <c r="I49" s="3500"/>
      <c r="J49" s="3500"/>
      <c r="K49" s="3501"/>
      <c r="L49" s="3288"/>
      <c r="M49" s="3289"/>
      <c r="N49" s="3289"/>
      <c r="O49" s="3289"/>
      <c r="P49" s="3812" t="str">
        <f>A49</f>
        <v>估价对象XX用房的比较价值（楼面单价，元/平方米）</v>
      </c>
      <c r="Q49" s="3813"/>
      <c r="R49" s="3814">
        <f>IF(F1="售价",ROUND(AVERAGE(R48:V48),0),ROUND(AVERAGE(R48:V48),1))</f>
        <v>32411</v>
      </c>
      <c r="S49" s="3814"/>
      <c r="T49" s="3814"/>
      <c r="U49" s="3814"/>
      <c r="V49" s="3814"/>
      <c r="W49" s="3814"/>
      <c r="X49" s="3290"/>
      <c r="Y49" s="3290"/>
      <c r="Z49" s="3290"/>
      <c r="AA49" s="3290"/>
      <c r="AB49" s="3290"/>
      <c r="AC49" s="3290"/>
    </row>
    <row r="50" spans="1:29">
      <c r="A50" s="3289"/>
      <c r="B50" s="3289"/>
      <c r="C50" s="3289"/>
      <c r="D50" s="3289"/>
      <c r="E50" s="3289"/>
      <c r="F50" s="3289"/>
      <c r="G50" s="3295"/>
      <c r="H50" s="3289"/>
      <c r="I50" s="3289"/>
      <c r="J50" s="3289"/>
      <c r="K50" s="3296"/>
      <c r="L50" s="3297"/>
      <c r="M50" s="3289"/>
      <c r="N50" s="3289"/>
      <c r="O50" s="3289"/>
    </row>
    <row r="51" spans="1:29">
      <c r="A51" s="3289"/>
      <c r="B51" s="3289"/>
      <c r="C51" s="3289"/>
      <c r="D51" s="3289"/>
      <c r="E51" s="3289"/>
      <c r="F51" s="3289"/>
      <c r="G51" s="3289"/>
      <c r="H51" s="3289"/>
      <c r="I51" s="3289"/>
      <c r="J51" s="3289"/>
      <c r="K51" s="3296"/>
      <c r="L51" s="3297"/>
      <c r="M51" s="3289"/>
      <c r="N51" s="3289"/>
      <c r="O51" s="3289"/>
    </row>
    <row r="52" spans="1:29" ht="13.5" customHeight="1">
      <c r="A52" s="3289"/>
      <c r="B52" s="3289"/>
      <c r="C52" s="3298" t="s">
        <v>3046</v>
      </c>
      <c r="D52" s="3299"/>
      <c r="E52" s="3300">
        <f>IF(E47&lt;E48,E48/E47-1,E47/E48-1)</f>
        <v>1.9991840065279431E-2</v>
      </c>
      <c r="F52" s="3301" t="str">
        <f>IF(OR(E52&gt;=0.3,E52&lt;=-0.3),"超过30%","")</f>
        <v/>
      </c>
      <c r="G52" s="3300">
        <f>IF(G47&lt;G48,G48/G47-1,G47/G48-1)</f>
        <v>1.0008263703975784E-2</v>
      </c>
      <c r="H52" s="3301" t="str">
        <f>IF(OR(G52&gt;=0.3,G52&lt;=-0.3),"超过30%","")</f>
        <v/>
      </c>
      <c r="I52" s="3300">
        <f>IF(I47&lt;I48,I48/I47-1,I47/I48-1)</f>
        <v>4.2965517241379203E-2</v>
      </c>
      <c r="J52" s="3301" t="str">
        <f>IF(OR(I52&gt;=0.3,I52&lt;=-0.3),"超过30%","")</f>
        <v/>
      </c>
      <c r="K52" s="3296"/>
      <c r="L52" s="3297"/>
      <c r="M52" s="3289"/>
      <c r="N52" s="3289"/>
      <c r="O52" s="3289"/>
    </row>
    <row r="53" spans="1:29" ht="13.5" customHeight="1">
      <c r="A53" s="3289"/>
      <c r="B53" s="3289"/>
      <c r="C53" s="3298" t="s">
        <v>3047</v>
      </c>
      <c r="D53" s="3302"/>
      <c r="E53" s="3300">
        <f>IF(E48&lt;G48,G48/E48-1,E48/G48-1)</f>
        <v>5.022495638600688E-2</v>
      </c>
      <c r="F53" s="3301" t="str">
        <f>IF(OR(E53&gt;=0.2,E53&lt;=-0.2),"超过20%","")</f>
        <v/>
      </c>
      <c r="G53" s="3300">
        <f>IF(G48&lt;I48,I48/G48-1,G48/I48-1)</f>
        <v>8.0242015473120487E-2</v>
      </c>
      <c r="H53" s="3301" t="str">
        <f>IF(OR(G53&gt;=0.2,G53&lt;=-0.2),"超过20%","")</f>
        <v/>
      </c>
      <c r="I53" s="3300">
        <f>IF(I48&lt;E48,E48/I48-1,I48/E48-1)</f>
        <v>0.13449712358658994</v>
      </c>
      <c r="J53" s="3301" t="str">
        <f>IF(OR(I53&gt;=0.2,I53&lt;=-0.2),"超过20%","")</f>
        <v/>
      </c>
      <c r="K53" s="3296"/>
      <c r="L53" s="3297"/>
      <c r="M53" s="3289"/>
      <c r="N53" s="3289"/>
      <c r="O53" s="3289"/>
    </row>
    <row r="54" spans="1:29" s="3306" customFormat="1" ht="13.5" customHeight="1">
      <c r="A54" s="3303"/>
      <c r="B54" s="3303"/>
      <c r="C54" s="3298" t="s">
        <v>3336</v>
      </c>
      <c r="D54" s="3302"/>
      <c r="E54" s="3300">
        <f>IF(E47&lt;G47,G47/E47-1,E47/G47-1)</f>
        <v>6.0606060606060552E-2</v>
      </c>
      <c r="F54" s="3301" t="str">
        <f>IF(OR(E54&gt;=0.3,E54&lt;=-0.3),"超过30%","")</f>
        <v/>
      </c>
      <c r="G54" s="3300">
        <f>IF(G47&lt;I47,I47/G47-1,G47/I47-1)</f>
        <v>0.13793103448275867</v>
      </c>
      <c r="H54" s="3301" t="str">
        <f>IF(OR(G54&gt;=0.3,G54&lt;=-0.3),"超过30%","")</f>
        <v/>
      </c>
      <c r="I54" s="3300">
        <f>IF(I47&lt;E47,E47/I47-1,I47/E47-1)</f>
        <v>0.2068965517241379</v>
      </c>
      <c r="J54" s="3301" t="str">
        <f>IF(OR(I54&gt;=0.3,I54&lt;=-0.3),"超过30%","")</f>
        <v/>
      </c>
      <c r="K54" s="3304"/>
      <c r="L54" s="3305"/>
      <c r="M54" s="3303"/>
      <c r="N54" s="3303"/>
      <c r="O54" s="3303"/>
      <c r="P54" s="3503"/>
    </row>
    <row r="55" spans="1:29" s="3306" customFormat="1">
      <c r="A55" s="3303"/>
      <c r="B55" s="3307"/>
      <c r="C55" s="3504"/>
      <c r="D55" s="3303"/>
      <c r="E55" s="3303"/>
      <c r="F55" s="3303"/>
      <c r="G55" s="3303"/>
      <c r="H55" s="3303"/>
      <c r="I55" s="3303"/>
      <c r="J55" s="3303"/>
      <c r="K55" s="3304"/>
      <c r="L55" s="3305"/>
      <c r="M55" s="3303"/>
      <c r="N55" s="3303"/>
      <c r="O55" s="3303"/>
      <c r="P55" s="3503"/>
    </row>
    <row r="56" spans="1:29">
      <c r="A56" s="3289"/>
      <c r="B56" s="3307"/>
      <c r="C56" s="3504"/>
      <c r="D56" s="3289"/>
      <c r="E56" s="3289"/>
      <c r="F56" s="3289"/>
      <c r="G56" s="3289"/>
      <c r="H56" s="3289"/>
      <c r="I56" s="3289"/>
      <c r="J56" s="3289"/>
      <c r="K56" s="3296"/>
      <c r="L56" s="3297"/>
      <c r="M56" s="3289"/>
      <c r="N56" s="3289"/>
      <c r="O56" s="3289"/>
    </row>
    <row r="57" spans="1:29" ht="21.75" thickBot="1">
      <c r="A57" s="3308" t="s">
        <v>3337</v>
      </c>
      <c r="B57" s="3290"/>
      <c r="C57" s="3309"/>
      <c r="D57" s="3309"/>
      <c r="E57" s="3309"/>
      <c r="F57" s="3310"/>
      <c r="G57" s="3310"/>
      <c r="H57" s="3309"/>
      <c r="I57" s="3309"/>
      <c r="J57" s="3309"/>
      <c r="K57" s="3312"/>
      <c r="L57" s="3313"/>
      <c r="M57" s="3311"/>
      <c r="N57" s="3311"/>
      <c r="O57" s="3311"/>
      <c r="P57" s="3505"/>
      <c r="Q57" s="3314"/>
    </row>
    <row r="58" spans="1:29" s="3315" customFormat="1" ht="15">
      <c r="A58" s="3506" t="s">
        <v>3025</v>
      </c>
      <c r="B58" s="3507"/>
      <c r="C58" s="3508" t="str">
        <f>YEAR(C7)&amp;"-"&amp;MONTH(C7)</f>
        <v>2019-10</v>
      </c>
      <c r="D58" s="3509">
        <f>EDATE(C58,-1)</f>
        <v>43709</v>
      </c>
      <c r="E58" s="3509">
        <f>EDATE(D58,-1)</f>
        <v>43678</v>
      </c>
      <c r="F58" s="3509">
        <f t="shared" ref="F58:O58" si="19">EDATE(E58,-1)</f>
        <v>43647</v>
      </c>
      <c r="G58" s="3509">
        <f t="shared" si="19"/>
        <v>43617</v>
      </c>
      <c r="H58" s="3509">
        <f t="shared" si="19"/>
        <v>43586</v>
      </c>
      <c r="I58" s="3509">
        <f t="shared" si="19"/>
        <v>43556</v>
      </c>
      <c r="J58" s="3509">
        <f t="shared" si="19"/>
        <v>43525</v>
      </c>
      <c r="K58" s="3509">
        <f t="shared" si="19"/>
        <v>43497</v>
      </c>
      <c r="L58" s="3509">
        <f t="shared" si="19"/>
        <v>43466</v>
      </c>
      <c r="M58" s="3509">
        <f t="shared" si="19"/>
        <v>43435</v>
      </c>
      <c r="N58" s="3509">
        <f t="shared" si="19"/>
        <v>43405</v>
      </c>
      <c r="O58" s="3509">
        <f t="shared" si="19"/>
        <v>43374</v>
      </c>
      <c r="P58" s="3510"/>
    </row>
    <row r="59" spans="1:29" s="3212" customFormat="1" ht="15">
      <c r="A59" s="3511"/>
      <c r="B59" s="3512"/>
      <c r="C59" s="3513">
        <v>100</v>
      </c>
      <c r="D59" s="3514"/>
      <c r="E59" s="3331"/>
      <c r="F59" s="3331"/>
      <c r="G59" s="3331"/>
      <c r="H59" s="3331"/>
      <c r="I59" s="3331"/>
      <c r="J59" s="3331"/>
      <c r="K59" s="3331"/>
      <c r="L59" s="3331"/>
      <c r="M59" s="3515"/>
      <c r="N59" s="3331"/>
      <c r="O59" s="3515"/>
      <c r="P59" s="3516"/>
    </row>
    <row r="60" spans="1:29" s="3212" customFormat="1" ht="15.75" thickBot="1">
      <c r="A60" s="3319" t="s">
        <v>3338</v>
      </c>
      <c r="B60" s="3320"/>
      <c r="C60" s="3321"/>
      <c r="D60" s="3322"/>
      <c r="E60" s="3322"/>
      <c r="F60" s="3322"/>
      <c r="G60" s="3322"/>
      <c r="H60" s="3322"/>
      <c r="I60" s="3322"/>
      <c r="J60" s="3322"/>
      <c r="K60" s="3322"/>
      <c r="L60" s="3322"/>
      <c r="M60" s="3323"/>
      <c r="N60" s="3322"/>
      <c r="O60" s="3323"/>
      <c r="P60" s="3516"/>
      <c r="Q60" s="3314"/>
    </row>
    <row r="61" spans="1:29" s="3212" customFormat="1" ht="15">
      <c r="A61" s="3324" t="s">
        <v>3026</v>
      </c>
      <c r="B61" s="3325"/>
      <c r="C61" s="3326" t="s">
        <v>3339</v>
      </c>
      <c r="D61" s="3327"/>
      <c r="E61" s="3327"/>
      <c r="F61" s="3327"/>
      <c r="G61" s="3327"/>
      <c r="H61" s="3327"/>
      <c r="I61" s="3327"/>
      <c r="J61" s="3327"/>
      <c r="K61" s="3327"/>
      <c r="L61" s="3328"/>
      <c r="M61" s="3329"/>
      <c r="N61" s="3330"/>
      <c r="O61" s="3330"/>
      <c r="P61" s="3517"/>
      <c r="Q61" s="3314"/>
    </row>
    <row r="62" spans="1:29" s="3212" customFormat="1" ht="15.75" thickBot="1">
      <c r="A62" s="3324"/>
      <c r="B62" s="3325"/>
      <c r="C62" s="3514">
        <v>100</v>
      </c>
      <c r="D62" s="3331"/>
      <c r="E62" s="3331"/>
      <c r="F62" s="3331"/>
      <c r="G62" s="3331"/>
      <c r="H62" s="3331"/>
      <c r="I62" s="3331"/>
      <c r="J62" s="3331"/>
      <c r="K62" s="3331"/>
      <c r="L62" s="3331"/>
      <c r="M62" s="3332"/>
      <c r="N62" s="3330"/>
      <c r="O62" s="3330"/>
      <c r="P62" s="3516"/>
      <c r="Q62" s="3314"/>
    </row>
    <row r="63" spans="1:29">
      <c r="A63" s="3333" t="s">
        <v>3340</v>
      </c>
      <c r="B63" s="3334" t="s">
        <v>3029</v>
      </c>
      <c r="C63" s="3380" t="str">
        <f>C9</f>
        <v>住宅</v>
      </c>
      <c r="D63" s="3283"/>
      <c r="E63" s="3283"/>
      <c r="F63" s="3283"/>
      <c r="G63" s="3283"/>
      <c r="H63" s="3283"/>
      <c r="I63" s="3283"/>
      <c r="J63" s="3283"/>
      <c r="K63" s="3336"/>
      <c r="L63" s="3337"/>
      <c r="M63" s="3338"/>
      <c r="N63" s="3339"/>
      <c r="O63" s="3339"/>
      <c r="P63" s="3518"/>
      <c r="Q63" s="3314"/>
    </row>
    <row r="64" spans="1:29" ht="15.75" thickBot="1">
      <c r="A64" s="3340"/>
      <c r="B64" s="3341"/>
      <c r="C64" s="3342">
        <v>100</v>
      </c>
      <c r="D64" s="3342"/>
      <c r="E64" s="3342"/>
      <c r="F64" s="3342"/>
      <c r="G64" s="3342"/>
      <c r="H64" s="3342"/>
      <c r="I64" s="3342"/>
      <c r="J64" s="3342"/>
      <c r="K64" s="3342"/>
      <c r="L64" s="3342"/>
      <c r="M64" s="3343"/>
      <c r="N64" s="3344"/>
      <c r="O64" s="3344"/>
      <c r="P64" s="3518"/>
      <c r="Q64" s="3314"/>
    </row>
    <row r="65" spans="1:17" ht="27.75" thickTop="1">
      <c r="A65" s="3340"/>
      <c r="B65" s="3345" t="s">
        <v>3031</v>
      </c>
      <c r="C65" s="3346" t="s">
        <v>3341</v>
      </c>
      <c r="D65" s="3346" t="s">
        <v>3342</v>
      </c>
      <c r="E65" s="3346" t="s">
        <v>3343</v>
      </c>
      <c r="F65" s="3346" t="s">
        <v>3344</v>
      </c>
      <c r="G65" s="3346" t="s">
        <v>3345</v>
      </c>
      <c r="H65" s="3346" t="s">
        <v>3346</v>
      </c>
      <c r="I65" s="3346" t="s">
        <v>3347</v>
      </c>
      <c r="J65" s="3346"/>
      <c r="K65" s="3347"/>
      <c r="L65" s="3348"/>
      <c r="M65" s="3349"/>
      <c r="N65" s="3339"/>
      <c r="O65" s="3339"/>
      <c r="P65" s="3518"/>
      <c r="Q65" s="3314"/>
    </row>
    <row r="66" spans="1:17" ht="15.75" thickBot="1">
      <c r="A66" s="3340"/>
      <c r="B66" s="3350"/>
      <c r="C66" s="3351">
        <v>100</v>
      </c>
      <c r="D66" s="3351">
        <f t="shared" ref="D66:I66" si="20">C66-$K10</f>
        <v>98</v>
      </c>
      <c r="E66" s="3351">
        <f t="shared" si="20"/>
        <v>96</v>
      </c>
      <c r="F66" s="3351">
        <f t="shared" si="20"/>
        <v>94</v>
      </c>
      <c r="G66" s="3351">
        <f t="shared" si="20"/>
        <v>92</v>
      </c>
      <c r="H66" s="3351">
        <f t="shared" si="20"/>
        <v>90</v>
      </c>
      <c r="I66" s="3351">
        <f t="shared" si="20"/>
        <v>88</v>
      </c>
      <c r="J66" s="3351"/>
      <c r="K66" s="3351"/>
      <c r="L66" s="3351"/>
      <c r="M66" s="3352"/>
      <c r="N66" s="3344"/>
      <c r="O66" s="3344"/>
      <c r="P66" s="3518"/>
      <c r="Q66" s="3314"/>
    </row>
    <row r="67" spans="1:17" ht="15.75" thickTop="1">
      <c r="A67" s="3340"/>
      <c r="B67" s="3353" t="s">
        <v>3348</v>
      </c>
      <c r="C67" s="3354" t="str">
        <f>C68&amp;"（含）"&amp;"-"&amp;D68</f>
        <v>0（含）-1</v>
      </c>
      <c r="D67" s="3354" t="str">
        <f t="shared" ref="D67:L67" si="21">D68&amp;"（含）"&amp;"-"&amp;E68</f>
        <v>1（含）-2</v>
      </c>
      <c r="E67" s="3354" t="str">
        <f t="shared" si="21"/>
        <v>2（含）-3</v>
      </c>
      <c r="F67" s="3354" t="str">
        <f t="shared" si="21"/>
        <v>3（含）-</v>
      </c>
      <c r="G67" s="3354" t="str">
        <f t="shared" si="21"/>
        <v>（含）-</v>
      </c>
      <c r="H67" s="3354" t="str">
        <f t="shared" si="21"/>
        <v>（含）-</v>
      </c>
      <c r="I67" s="3354" t="str">
        <f t="shared" si="21"/>
        <v>（含）-</v>
      </c>
      <c r="J67" s="3354" t="str">
        <f t="shared" si="21"/>
        <v>（含）-</v>
      </c>
      <c r="K67" s="3354" t="str">
        <f>K68&amp;"（含）"&amp;"-"&amp;L68</f>
        <v>（含）-</v>
      </c>
      <c r="L67" s="3354" t="str">
        <f t="shared" si="21"/>
        <v>（含）-</v>
      </c>
      <c r="M67" s="3256" t="str">
        <f>M68&amp;"（含）"&amp;"-"&amp;P68</f>
        <v>（含）-</v>
      </c>
      <c r="N67" s="3344"/>
      <c r="O67" s="3344"/>
      <c r="P67" s="3518"/>
      <c r="Q67" s="3314"/>
    </row>
    <row r="68" spans="1:17" ht="15">
      <c r="A68" s="3340"/>
      <c r="B68" s="3355"/>
      <c r="C68" s="3237">
        <v>0</v>
      </c>
      <c r="D68" s="3237">
        <v>1</v>
      </c>
      <c r="E68" s="3237">
        <v>2</v>
      </c>
      <c r="F68" s="3237">
        <v>3</v>
      </c>
      <c r="G68" s="3237"/>
      <c r="H68" s="3237"/>
      <c r="I68" s="3237"/>
      <c r="J68" s="3237"/>
      <c r="K68" s="3356"/>
      <c r="L68" s="3357"/>
      <c r="M68" s="3358"/>
      <c r="N68" s="3339"/>
      <c r="O68" s="3339"/>
      <c r="P68" s="3518"/>
      <c r="Q68" s="3314"/>
    </row>
    <row r="69" spans="1:17" ht="15.75" thickBot="1">
      <c r="A69" s="3340"/>
      <c r="B69" s="3341"/>
      <c r="C69" s="3351">
        <v>100</v>
      </c>
      <c r="D69" s="3351">
        <f t="shared" ref="D69:M69" si="22">C69-$K11</f>
        <v>98</v>
      </c>
      <c r="E69" s="3351">
        <f t="shared" si="22"/>
        <v>96</v>
      </c>
      <c r="F69" s="3351">
        <f t="shared" si="22"/>
        <v>94</v>
      </c>
      <c r="G69" s="3351">
        <f t="shared" si="22"/>
        <v>92</v>
      </c>
      <c r="H69" s="3351">
        <f t="shared" si="22"/>
        <v>90</v>
      </c>
      <c r="I69" s="3351">
        <f t="shared" si="22"/>
        <v>88</v>
      </c>
      <c r="J69" s="3351">
        <f t="shared" si="22"/>
        <v>86</v>
      </c>
      <c r="K69" s="3351">
        <f t="shared" si="22"/>
        <v>84</v>
      </c>
      <c r="L69" s="3351">
        <f t="shared" si="22"/>
        <v>82</v>
      </c>
      <c r="M69" s="3352">
        <f t="shared" si="22"/>
        <v>80</v>
      </c>
      <c r="N69" s="3344"/>
      <c r="O69" s="3344"/>
      <c r="P69" s="3518"/>
      <c r="Q69" s="3314"/>
    </row>
    <row r="70" spans="1:17" s="3280" customFormat="1" ht="15.75" thickTop="1">
      <c r="A70" s="3359"/>
      <c r="B70" s="3345">
        <f>B12</f>
        <v>111</v>
      </c>
      <c r="C70" s="3361"/>
      <c r="D70" s="3361"/>
      <c r="E70" s="3361"/>
      <c r="F70" s="3361"/>
      <c r="G70" s="3361"/>
      <c r="H70" s="3362"/>
      <c r="I70" s="3362"/>
      <c r="J70" s="3362"/>
      <c r="K70" s="3362"/>
      <c r="L70" s="3363"/>
      <c r="M70" s="3364"/>
      <c r="N70" s="3365"/>
      <c r="O70" s="3365"/>
      <c r="P70" s="3519"/>
      <c r="Q70" s="3366"/>
    </row>
    <row r="71" spans="1:17" s="3280" customFormat="1" ht="15.75" thickBot="1">
      <c r="A71" s="3359"/>
      <c r="B71" s="3350"/>
      <c r="C71" s="3367"/>
      <c r="D71" s="3342"/>
      <c r="E71" s="3342"/>
      <c r="F71" s="3342"/>
      <c r="G71" s="3342"/>
      <c r="H71" s="3342"/>
      <c r="I71" s="3342"/>
      <c r="J71" s="3342"/>
      <c r="K71" s="3342"/>
      <c r="L71" s="3342"/>
      <c r="M71" s="3343"/>
      <c r="N71" s="3344"/>
      <c r="O71" s="3344"/>
      <c r="P71" s="3519"/>
      <c r="Q71" s="3366"/>
    </row>
    <row r="72" spans="1:17" s="3280" customFormat="1" ht="15.75" thickTop="1">
      <c r="A72" s="3359"/>
      <c r="B72" s="3345">
        <f>B13</f>
        <v>111</v>
      </c>
      <c r="C72" s="3361"/>
      <c r="D72" s="3361"/>
      <c r="E72" s="3361"/>
      <c r="F72" s="3361"/>
      <c r="G72" s="3361"/>
      <c r="H72" s="3362"/>
      <c r="I72" s="3362"/>
      <c r="J72" s="3362"/>
      <c r="K72" s="3362"/>
      <c r="L72" s="3363"/>
      <c r="M72" s="3364"/>
      <c r="N72" s="3365"/>
      <c r="O72" s="3365"/>
      <c r="P72" s="3520"/>
      <c r="Q72" s="3368"/>
    </row>
    <row r="73" spans="1:17" s="3280" customFormat="1" ht="15.75" thickBot="1">
      <c r="A73" s="3359"/>
      <c r="B73" s="3350"/>
      <c r="C73" s="3367"/>
      <c r="D73" s="3367"/>
      <c r="E73" s="3367"/>
      <c r="F73" s="3367"/>
      <c r="G73" s="3367"/>
      <c r="H73" s="3369"/>
      <c r="I73" s="3369"/>
      <c r="J73" s="3369"/>
      <c r="K73" s="3369"/>
      <c r="L73" s="3369"/>
      <c r="M73" s="3370"/>
      <c r="N73" s="3365"/>
      <c r="O73" s="3365"/>
      <c r="P73" s="3519"/>
      <c r="Q73" s="3366"/>
    </row>
    <row r="74" spans="1:17" s="3280" customFormat="1" ht="15.75" thickTop="1">
      <c r="A74" s="3359"/>
      <c r="B74" s="3353">
        <f>B14</f>
        <v>111</v>
      </c>
      <c r="C74" s="3361"/>
      <c r="D74" s="3361"/>
      <c r="E74" s="3361"/>
      <c r="F74" s="3361"/>
      <c r="G74" s="3327"/>
      <c r="H74" s="3371"/>
      <c r="I74" s="3371"/>
      <c r="J74" s="3371"/>
      <c r="K74" s="3371"/>
      <c r="L74" s="3372"/>
      <c r="M74" s="3373"/>
      <c r="N74" s="3365"/>
      <c r="O74" s="3365"/>
      <c r="P74" s="3521"/>
      <c r="Q74" s="3366"/>
    </row>
    <row r="75" spans="1:17" s="3280" customFormat="1" ht="15.75" thickBot="1">
      <c r="A75" s="3374"/>
      <c r="B75" s="3375"/>
      <c r="C75" s="3376"/>
      <c r="D75" s="3376"/>
      <c r="E75" s="3376"/>
      <c r="F75" s="3376"/>
      <c r="G75" s="3376"/>
      <c r="H75" s="3377"/>
      <c r="I75" s="3377"/>
      <c r="J75" s="3377"/>
      <c r="K75" s="3377"/>
      <c r="L75" s="3377"/>
      <c r="M75" s="3378"/>
      <c r="N75" s="3365"/>
      <c r="O75" s="3365"/>
      <c r="P75" s="3519"/>
      <c r="Q75" s="3366"/>
    </row>
    <row r="76" spans="1:17">
      <c r="A76" s="3333" t="s">
        <v>3034</v>
      </c>
      <c r="B76" s="3334" t="s">
        <v>3349</v>
      </c>
      <c r="C76" s="3379" t="s">
        <v>3350</v>
      </c>
      <c r="D76" s="3379" t="s">
        <v>3351</v>
      </c>
      <c r="E76" s="3379" t="s">
        <v>3352</v>
      </c>
      <c r="F76" s="3379" t="s">
        <v>3353</v>
      </c>
      <c r="G76" s="3379" t="s">
        <v>3354</v>
      </c>
      <c r="H76" s="3380"/>
      <c r="I76" s="3380"/>
      <c r="J76" s="3380"/>
      <c r="K76" s="3381"/>
      <c r="L76" s="3382"/>
      <c r="M76" s="3383"/>
      <c r="N76" s="3339"/>
      <c r="O76" s="3339"/>
      <c r="P76" s="3522"/>
      <c r="Q76" s="3314"/>
    </row>
    <row r="77" spans="1:17" ht="15.75" thickBot="1">
      <c r="A77" s="3340"/>
      <c r="B77" s="3350"/>
      <c r="C77" s="3351">
        <v>100</v>
      </c>
      <c r="D77" s="3351">
        <f>C77-$K15</f>
        <v>95</v>
      </c>
      <c r="E77" s="3351">
        <f>D77-$K15</f>
        <v>90</v>
      </c>
      <c r="F77" s="3351">
        <f>E77-$K15</f>
        <v>85</v>
      </c>
      <c r="G77" s="3351">
        <f>F77-$K15</f>
        <v>80</v>
      </c>
      <c r="H77" s="3351"/>
      <c r="I77" s="3351"/>
      <c r="J77" s="3351"/>
      <c r="K77" s="3351"/>
      <c r="L77" s="3351"/>
      <c r="M77" s="3352"/>
      <c r="N77" s="3344"/>
      <c r="O77" s="3344"/>
      <c r="P77" s="3518"/>
      <c r="Q77" s="3314"/>
    </row>
    <row r="78" spans="1:17" ht="15.75" thickTop="1">
      <c r="A78" s="3340"/>
      <c r="B78" s="3345" t="s">
        <v>3355</v>
      </c>
      <c r="C78" s="3384" t="s">
        <v>3350</v>
      </c>
      <c r="D78" s="3384" t="s">
        <v>3351</v>
      </c>
      <c r="E78" s="3384" t="s">
        <v>3352</v>
      </c>
      <c r="F78" s="3384" t="s">
        <v>3353</v>
      </c>
      <c r="G78" s="3384" t="s">
        <v>3354</v>
      </c>
      <c r="H78" s="3346"/>
      <c r="I78" s="3346"/>
      <c r="J78" s="3346"/>
      <c r="K78" s="3347"/>
      <c r="L78" s="3348"/>
      <c r="M78" s="3349"/>
      <c r="N78" s="3339"/>
      <c r="O78" s="3339"/>
      <c r="P78" s="3518"/>
      <c r="Q78" s="3314"/>
    </row>
    <row r="79" spans="1:17" ht="15.75" thickBot="1">
      <c r="A79" s="3340"/>
      <c r="B79" s="3350"/>
      <c r="C79" s="3351">
        <v>100</v>
      </c>
      <c r="D79" s="3351">
        <f>C79-$K17</f>
        <v>97</v>
      </c>
      <c r="E79" s="3351">
        <f>D79-$K17</f>
        <v>94</v>
      </c>
      <c r="F79" s="3351">
        <f>E79-$K17</f>
        <v>91</v>
      </c>
      <c r="G79" s="3351">
        <f>F79-$K17</f>
        <v>88</v>
      </c>
      <c r="H79" s="3351"/>
      <c r="I79" s="3351"/>
      <c r="J79" s="3351"/>
      <c r="K79" s="3351"/>
      <c r="L79" s="3351"/>
      <c r="M79" s="3352"/>
      <c r="N79" s="3344"/>
      <c r="O79" s="3344"/>
      <c r="P79" s="3518"/>
      <c r="Q79" s="3314"/>
    </row>
    <row r="80" spans="1:17" ht="15.75" thickTop="1">
      <c r="A80" s="3340"/>
      <c r="B80" s="3345" t="s">
        <v>3305</v>
      </c>
      <c r="C80" s="3384" t="s">
        <v>3350</v>
      </c>
      <c r="D80" s="3384" t="s">
        <v>3351</v>
      </c>
      <c r="E80" s="3384" t="s">
        <v>3352</v>
      </c>
      <c r="F80" s="3384" t="s">
        <v>3353</v>
      </c>
      <c r="G80" s="3384" t="s">
        <v>3354</v>
      </c>
      <c r="H80" s="3346"/>
      <c r="I80" s="3346"/>
      <c r="J80" s="3346"/>
      <c r="K80" s="3347"/>
      <c r="L80" s="3348"/>
      <c r="M80" s="3349"/>
      <c r="N80" s="3339"/>
      <c r="O80" s="3339"/>
      <c r="P80" s="3518"/>
      <c r="Q80" s="3314"/>
    </row>
    <row r="81" spans="1:17" ht="15.75" thickBot="1">
      <c r="A81" s="3340"/>
      <c r="B81" s="3350"/>
      <c r="C81" s="3351">
        <v>100</v>
      </c>
      <c r="D81" s="3351">
        <f>C81-$K19</f>
        <v>98</v>
      </c>
      <c r="E81" s="3351">
        <f>D81-$K19</f>
        <v>96</v>
      </c>
      <c r="F81" s="3351">
        <f>E81-$K19</f>
        <v>94</v>
      </c>
      <c r="G81" s="3351">
        <f>F81-$K19</f>
        <v>92</v>
      </c>
      <c r="H81" s="3351"/>
      <c r="I81" s="3351"/>
      <c r="J81" s="3351"/>
      <c r="K81" s="3351"/>
      <c r="L81" s="3351"/>
      <c r="M81" s="3352"/>
      <c r="N81" s="3344"/>
      <c r="O81" s="3344"/>
      <c r="P81" s="3518"/>
      <c r="Q81" s="3314"/>
    </row>
    <row r="82" spans="1:17" ht="15.75" thickTop="1">
      <c r="A82" s="3340"/>
      <c r="B82" s="3353" t="s">
        <v>3356</v>
      </c>
      <c r="C82" s="3346" t="s">
        <v>3357</v>
      </c>
      <c r="D82" s="3346" t="s">
        <v>3358</v>
      </c>
      <c r="E82" s="3346" t="s">
        <v>3052</v>
      </c>
      <c r="F82" s="3346" t="s">
        <v>3359</v>
      </c>
      <c r="G82" s="3346" t="s">
        <v>3360</v>
      </c>
      <c r="H82" s="3346"/>
      <c r="I82" s="3346"/>
      <c r="J82" s="3346"/>
      <c r="K82" s="3346"/>
      <c r="L82" s="3346"/>
      <c r="M82" s="3523"/>
      <c r="N82" s="3344"/>
      <c r="O82" s="3344"/>
      <c r="P82" s="3518"/>
      <c r="Q82" s="3314"/>
    </row>
    <row r="83" spans="1:17" ht="15.75" thickBot="1">
      <c r="A83" s="3340"/>
      <c r="B83" s="3353"/>
      <c r="C83" s="3392">
        <v>100</v>
      </c>
      <c r="D83" s="3392">
        <f>C83-$K21</f>
        <v>99</v>
      </c>
      <c r="E83" s="3392">
        <f t="shared" ref="E83:G83" si="23">D83-$K21</f>
        <v>98</v>
      </c>
      <c r="F83" s="3392">
        <f t="shared" si="23"/>
        <v>97</v>
      </c>
      <c r="G83" s="3392">
        <f t="shared" si="23"/>
        <v>96</v>
      </c>
      <c r="H83" s="3392"/>
      <c r="I83" s="3392"/>
      <c r="J83" s="3392"/>
      <c r="K83" s="3392"/>
      <c r="L83" s="3392"/>
      <c r="M83" s="3258"/>
      <c r="N83" s="3344"/>
      <c r="O83" s="3344"/>
      <c r="P83" s="3518"/>
      <c r="Q83" s="3314"/>
    </row>
    <row r="84" spans="1:17" ht="15.75" thickTop="1">
      <c r="A84" s="3340"/>
      <c r="B84" s="3345" t="s">
        <v>3361</v>
      </c>
      <c r="C84" s="3384" t="s">
        <v>3350</v>
      </c>
      <c r="D84" s="3384" t="s">
        <v>3351</v>
      </c>
      <c r="E84" s="3384" t="s">
        <v>3352</v>
      </c>
      <c r="F84" s="3384" t="s">
        <v>3353</v>
      </c>
      <c r="G84" s="3384" t="s">
        <v>3354</v>
      </c>
      <c r="H84" s="3346"/>
      <c r="I84" s="3346"/>
      <c r="J84" s="3346"/>
      <c r="K84" s="3347"/>
      <c r="L84" s="3348"/>
      <c r="M84" s="3349"/>
      <c r="N84" s="3339"/>
      <c r="O84" s="3339"/>
      <c r="P84" s="3518"/>
      <c r="Q84" s="3314"/>
    </row>
    <row r="85" spans="1:17" ht="15.75" thickBot="1">
      <c r="A85" s="3340"/>
      <c r="B85" s="3350"/>
      <c r="C85" s="3351">
        <v>100</v>
      </c>
      <c r="D85" s="3351">
        <f>C85-$K23</f>
        <v>95</v>
      </c>
      <c r="E85" s="3351">
        <f>D85-$K23</f>
        <v>90</v>
      </c>
      <c r="F85" s="3351">
        <f>E85-$K23</f>
        <v>85</v>
      </c>
      <c r="G85" s="3351">
        <f>F85-$K23</f>
        <v>80</v>
      </c>
      <c r="H85" s="3351"/>
      <c r="I85" s="3351"/>
      <c r="J85" s="3351"/>
      <c r="K85" s="3351"/>
      <c r="L85" s="3351"/>
      <c r="M85" s="3352"/>
      <c r="N85" s="3344"/>
      <c r="O85" s="3344"/>
      <c r="P85" s="3518"/>
      <c r="Q85" s="3314"/>
    </row>
    <row r="86" spans="1:17" s="3212" customFormat="1" ht="15.75" thickTop="1">
      <c r="A86" s="3385"/>
      <c r="B86" s="3345" t="s">
        <v>3309</v>
      </c>
      <c r="C86" s="3361"/>
      <c r="D86" s="3361"/>
      <c r="E86" s="3361"/>
      <c r="F86" s="3361"/>
      <c r="G86" s="3361"/>
      <c r="H86" s="3361"/>
      <c r="I86" s="3361"/>
      <c r="J86" s="3361"/>
      <c r="K86" s="3361"/>
      <c r="L86" s="3524"/>
      <c r="M86" s="3525"/>
      <c r="N86" s="3330"/>
      <c r="O86" s="3330"/>
      <c r="P86" s="3518"/>
      <c r="Q86" s="3314"/>
    </row>
    <row r="87" spans="1:17" s="3212" customFormat="1" ht="15.75" thickBot="1">
      <c r="A87" s="3385"/>
      <c r="B87" s="3350"/>
      <c r="C87" s="3386">
        <v>100</v>
      </c>
      <c r="D87" s="3351">
        <f t="shared" ref="D87:M87" si="24">$C$87-($C$86-D86)*$K$25</f>
        <v>100</v>
      </c>
      <c r="E87" s="3351">
        <f t="shared" si="24"/>
        <v>100</v>
      </c>
      <c r="F87" s="3351">
        <f t="shared" si="24"/>
        <v>100</v>
      </c>
      <c r="G87" s="3351">
        <f t="shared" si="24"/>
        <v>100</v>
      </c>
      <c r="H87" s="3351">
        <f t="shared" si="24"/>
        <v>100</v>
      </c>
      <c r="I87" s="3351">
        <f t="shared" si="24"/>
        <v>100</v>
      </c>
      <c r="J87" s="3351">
        <f t="shared" si="24"/>
        <v>100</v>
      </c>
      <c r="K87" s="3351">
        <f t="shared" si="24"/>
        <v>100</v>
      </c>
      <c r="L87" s="3351">
        <f t="shared" si="24"/>
        <v>100</v>
      </c>
      <c r="M87" s="3351">
        <f t="shared" si="24"/>
        <v>100</v>
      </c>
      <c r="N87" s="3344"/>
      <c r="O87" s="3344"/>
      <c r="P87" s="3518"/>
      <c r="Q87" s="3314"/>
    </row>
    <row r="88" spans="1:17" s="3212" customFormat="1" ht="15.75" thickTop="1">
      <c r="A88" s="3385"/>
      <c r="B88" s="3345" t="s">
        <v>3362</v>
      </c>
      <c r="C88" s="3361"/>
      <c r="D88" s="3361"/>
      <c r="E88" s="3361"/>
      <c r="F88" s="3526"/>
      <c r="G88" s="3361"/>
      <c r="H88" s="3361"/>
      <c r="I88" s="3361"/>
      <c r="J88" s="3361"/>
      <c r="K88" s="3361"/>
      <c r="L88" s="3361"/>
      <c r="M88" s="3525"/>
      <c r="N88" s="3330"/>
      <c r="O88" s="3330"/>
      <c r="P88" s="3518"/>
      <c r="Q88" s="3314"/>
    </row>
    <row r="89" spans="1:17" s="3212" customFormat="1" ht="15.75" thickBot="1">
      <c r="A89" s="3385"/>
      <c r="B89" s="3350"/>
      <c r="C89" s="3386">
        <v>100</v>
      </c>
      <c r="D89" s="3351">
        <f t="shared" ref="D89:M89" si="25">C89-$K26</f>
        <v>100</v>
      </c>
      <c r="E89" s="3351">
        <f t="shared" si="25"/>
        <v>100</v>
      </c>
      <c r="F89" s="3351">
        <f t="shared" si="25"/>
        <v>100</v>
      </c>
      <c r="G89" s="3351">
        <f t="shared" si="25"/>
        <v>100</v>
      </c>
      <c r="H89" s="3351">
        <f t="shared" si="25"/>
        <v>100</v>
      </c>
      <c r="I89" s="3351">
        <f t="shared" si="25"/>
        <v>100</v>
      </c>
      <c r="J89" s="3351">
        <f t="shared" si="25"/>
        <v>100</v>
      </c>
      <c r="K89" s="3351">
        <f t="shared" si="25"/>
        <v>100</v>
      </c>
      <c r="L89" s="3351">
        <f t="shared" si="25"/>
        <v>100</v>
      </c>
      <c r="M89" s="3351">
        <f t="shared" si="25"/>
        <v>100</v>
      </c>
      <c r="N89" s="3344"/>
      <c r="O89" s="3344"/>
      <c r="P89" s="3518"/>
      <c r="Q89" s="3314"/>
    </row>
    <row r="90" spans="1:17" s="3280" customFormat="1" ht="15.75" thickTop="1">
      <c r="A90" s="3359"/>
      <c r="B90" s="3345">
        <f>B27</f>
        <v>111</v>
      </c>
      <c r="C90" s="3361"/>
      <c r="D90" s="3361"/>
      <c r="E90" s="3361"/>
      <c r="F90" s="3361"/>
      <c r="G90" s="3361"/>
      <c r="H90" s="3362"/>
      <c r="I90" s="3362"/>
      <c r="J90" s="3362"/>
      <c r="K90" s="3362"/>
      <c r="L90" s="3363"/>
      <c r="M90" s="3364"/>
      <c r="N90" s="3365"/>
      <c r="O90" s="3365"/>
      <c r="P90" s="3519"/>
      <c r="Q90" s="3366"/>
    </row>
    <row r="91" spans="1:17" s="3280" customFormat="1" ht="15.75" thickBot="1">
      <c r="A91" s="3359"/>
      <c r="B91" s="3350"/>
      <c r="C91" s="3367"/>
      <c r="D91" s="3367"/>
      <c r="E91" s="3367"/>
      <c r="F91" s="3367"/>
      <c r="G91" s="3367"/>
      <c r="H91" s="3369"/>
      <c r="I91" s="3369"/>
      <c r="J91" s="3369"/>
      <c r="K91" s="3369"/>
      <c r="L91" s="3369"/>
      <c r="M91" s="3370"/>
      <c r="N91" s="3365"/>
      <c r="O91" s="3365"/>
      <c r="P91" s="3519"/>
      <c r="Q91" s="3366"/>
    </row>
    <row r="92" spans="1:17" ht="15.75" thickTop="1">
      <c r="A92" s="3340"/>
      <c r="B92" s="3345">
        <f>B28</f>
        <v>111</v>
      </c>
      <c r="C92" s="3361"/>
      <c r="D92" s="3361"/>
      <c r="E92" s="3361"/>
      <c r="F92" s="3361"/>
      <c r="G92" s="3393"/>
      <c r="H92" s="3393"/>
      <c r="I92" s="3393"/>
      <c r="J92" s="3393"/>
      <c r="K92" s="3394"/>
      <c r="L92" s="3395"/>
      <c r="M92" s="3396"/>
      <c r="N92" s="3339"/>
      <c r="O92" s="3339"/>
      <c r="P92" s="3518"/>
      <c r="Q92" s="3314"/>
    </row>
    <row r="93" spans="1:17" ht="15.75" thickBot="1">
      <c r="A93" s="3340"/>
      <c r="B93" s="3350"/>
      <c r="C93" s="3367"/>
      <c r="D93" s="3342"/>
      <c r="E93" s="3342"/>
      <c r="F93" s="3342"/>
      <c r="G93" s="3342"/>
      <c r="H93" s="3342"/>
      <c r="I93" s="3342"/>
      <c r="J93" s="3342"/>
      <c r="K93" s="3342"/>
      <c r="L93" s="3342"/>
      <c r="M93" s="3343"/>
      <c r="N93" s="3344"/>
      <c r="O93" s="3344"/>
      <c r="P93" s="3518"/>
      <c r="Q93" s="3314"/>
    </row>
    <row r="94" spans="1:17" ht="15.75" thickTop="1">
      <c r="A94" s="3340"/>
      <c r="B94" s="3345">
        <f>B29</f>
        <v>111</v>
      </c>
      <c r="C94" s="3361"/>
      <c r="D94" s="3361"/>
      <c r="E94" s="3361"/>
      <c r="F94" s="3361"/>
      <c r="G94" s="3393"/>
      <c r="H94" s="3393"/>
      <c r="I94" s="3393"/>
      <c r="J94" s="3393"/>
      <c r="K94" s="3394"/>
      <c r="L94" s="3395"/>
      <c r="M94" s="3396"/>
      <c r="N94" s="3339"/>
      <c r="O94" s="3339"/>
      <c r="P94" s="3518"/>
      <c r="Q94" s="3314"/>
    </row>
    <row r="95" spans="1:17" ht="15.75" thickBot="1">
      <c r="A95" s="3340"/>
      <c r="B95" s="3350"/>
      <c r="C95" s="3367"/>
      <c r="D95" s="3367"/>
      <c r="E95" s="3367"/>
      <c r="F95" s="3367"/>
      <c r="G95" s="3342"/>
      <c r="H95" s="3342"/>
      <c r="I95" s="3342"/>
      <c r="J95" s="3342"/>
      <c r="K95" s="3342"/>
      <c r="L95" s="3342"/>
      <c r="M95" s="3343"/>
      <c r="N95" s="3344"/>
      <c r="O95" s="3344"/>
      <c r="P95" s="3518"/>
      <c r="Q95" s="3314"/>
    </row>
    <row r="96" spans="1:17" ht="15.75" thickTop="1">
      <c r="A96" s="3340"/>
      <c r="B96" s="3345">
        <f>B30</f>
        <v>111</v>
      </c>
      <c r="C96" s="3361"/>
      <c r="D96" s="3361"/>
      <c r="E96" s="3361"/>
      <c r="F96" s="3361"/>
      <c r="G96" s="3393"/>
      <c r="H96" s="3393"/>
      <c r="I96" s="3393"/>
      <c r="J96" s="3393"/>
      <c r="K96" s="3394"/>
      <c r="L96" s="3395"/>
      <c r="M96" s="3396"/>
      <c r="N96" s="3339"/>
      <c r="O96" s="3339"/>
      <c r="P96" s="3518"/>
      <c r="Q96" s="3314"/>
    </row>
    <row r="97" spans="1:17" ht="15.75" thickBot="1">
      <c r="A97" s="3340"/>
      <c r="B97" s="3350"/>
      <c r="C97" s="3376"/>
      <c r="D97" s="3376"/>
      <c r="E97" s="3376"/>
      <c r="F97" s="3376"/>
      <c r="G97" s="3342"/>
      <c r="H97" s="3342"/>
      <c r="I97" s="3342"/>
      <c r="J97" s="3342"/>
      <c r="K97" s="3342"/>
      <c r="L97" s="3342"/>
      <c r="M97" s="3343"/>
      <c r="N97" s="3344"/>
      <c r="O97" s="3344"/>
      <c r="P97" s="3518"/>
      <c r="Q97" s="3314"/>
    </row>
    <row r="98" spans="1:17" ht="15.75" thickTop="1">
      <c r="A98" s="3340"/>
      <c r="B98" s="3353">
        <f>B31</f>
        <v>111</v>
      </c>
      <c r="C98" s="3397"/>
      <c r="D98" s="3397"/>
      <c r="E98" s="3397"/>
      <c r="F98" s="3397"/>
      <c r="G98" s="3397"/>
      <c r="H98" s="3397"/>
      <c r="I98" s="3397"/>
      <c r="J98" s="3397"/>
      <c r="K98" s="3398"/>
      <c r="L98" s="3399"/>
      <c r="M98" s="3400"/>
      <c r="N98" s="3339"/>
      <c r="O98" s="3339"/>
      <c r="P98" s="3518"/>
      <c r="Q98" s="3314"/>
    </row>
    <row r="99" spans="1:17" ht="15.75" thickBot="1">
      <c r="A99" s="3527"/>
      <c r="B99" s="3375"/>
      <c r="C99" s="3401"/>
      <c r="D99" s="3401"/>
      <c r="E99" s="3401"/>
      <c r="F99" s="3401"/>
      <c r="G99" s="3401"/>
      <c r="H99" s="3401"/>
      <c r="I99" s="3401"/>
      <c r="J99" s="3401"/>
      <c r="K99" s="3401"/>
      <c r="L99" s="3401"/>
      <c r="M99" s="3402"/>
      <c r="N99" s="3344"/>
      <c r="O99" s="3344"/>
      <c r="P99" s="3518"/>
      <c r="Q99" s="3314"/>
    </row>
    <row r="100" spans="1:17">
      <c r="A100" s="3333" t="s">
        <v>3363</v>
      </c>
      <c r="B100" s="3334" t="s">
        <v>3364</v>
      </c>
      <c r="C100" s="3335" t="s">
        <v>3365</v>
      </c>
      <c r="D100" s="3283"/>
      <c r="E100" s="3283"/>
      <c r="F100" s="3283"/>
      <c r="G100" s="3283"/>
      <c r="H100" s="3283"/>
      <c r="I100" s="3283"/>
      <c r="J100" s="3283"/>
      <c r="K100" s="3336"/>
      <c r="L100" s="3337"/>
      <c r="M100" s="3338"/>
      <c r="N100" s="3339"/>
      <c r="O100" s="3339"/>
      <c r="P100" s="3518"/>
      <c r="Q100" s="3314"/>
    </row>
    <row r="101" spans="1:17" ht="15.75" thickBot="1">
      <c r="A101" s="3340"/>
      <c r="B101" s="3350"/>
      <c r="C101" s="3351">
        <v>100</v>
      </c>
      <c r="D101" s="3351">
        <f t="shared" ref="D101:M101" si="26">C101-$K32</f>
        <v>99</v>
      </c>
      <c r="E101" s="3351">
        <f t="shared" si="26"/>
        <v>98</v>
      </c>
      <c r="F101" s="3351">
        <f t="shared" si="26"/>
        <v>97</v>
      </c>
      <c r="G101" s="3351">
        <f t="shared" si="26"/>
        <v>96</v>
      </c>
      <c r="H101" s="3351">
        <f t="shared" si="26"/>
        <v>95</v>
      </c>
      <c r="I101" s="3351">
        <f t="shared" si="26"/>
        <v>94</v>
      </c>
      <c r="J101" s="3351">
        <f t="shared" si="26"/>
        <v>93</v>
      </c>
      <c r="K101" s="3351">
        <f t="shared" si="26"/>
        <v>92</v>
      </c>
      <c r="L101" s="3351">
        <f t="shared" si="26"/>
        <v>91</v>
      </c>
      <c r="M101" s="3351">
        <f t="shared" si="26"/>
        <v>90</v>
      </c>
      <c r="N101" s="3344"/>
      <c r="O101" s="3344"/>
      <c r="P101" s="3518"/>
      <c r="Q101" s="3314"/>
    </row>
    <row r="102" spans="1:17" ht="29.25" thickTop="1">
      <c r="A102" s="3340"/>
      <c r="B102" s="3345" t="s">
        <v>3366</v>
      </c>
      <c r="C102" s="3384" t="str">
        <f>C103&amp;"(含)"&amp;"-"&amp;D103</f>
        <v>0(含)-10000</v>
      </c>
      <c r="D102" s="3384" t="str">
        <f t="shared" ref="D102:L102" si="27">D103&amp;"(含)"&amp;"-"&amp;E103</f>
        <v>10000(含)-20000</v>
      </c>
      <c r="E102" s="3384" t="str">
        <f t="shared" si="27"/>
        <v>20000(含)-50000</v>
      </c>
      <c r="F102" s="3384" t="str">
        <f t="shared" si="27"/>
        <v>50000(含)-80000</v>
      </c>
      <c r="G102" s="3384" t="str">
        <f t="shared" si="27"/>
        <v>80000(含)-120000</v>
      </c>
      <c r="H102" s="3384" t="str">
        <f t="shared" si="27"/>
        <v>120000(含)-180000</v>
      </c>
      <c r="I102" s="3384" t="str">
        <f t="shared" si="27"/>
        <v>180000(含)-</v>
      </c>
      <c r="J102" s="3384" t="str">
        <f t="shared" si="27"/>
        <v>(含)-</v>
      </c>
      <c r="K102" s="3384" t="str">
        <f>K103&amp;"(含)"&amp;"-"&amp;L103</f>
        <v>(含)-</v>
      </c>
      <c r="L102" s="3384" t="str">
        <f t="shared" si="27"/>
        <v>(含)-</v>
      </c>
      <c r="M102" s="3384" t="str">
        <f>M103&amp;"(含)"&amp;"-"&amp;P103</f>
        <v>(含)-</v>
      </c>
      <c r="N102" s="3330"/>
      <c r="O102" s="3330"/>
      <c r="P102" s="3518"/>
      <c r="Q102" s="3314"/>
    </row>
    <row r="103" spans="1:17" s="3280" customFormat="1">
      <c r="A103" s="3403"/>
      <c r="B103" s="3404"/>
      <c r="C103" s="3317">
        <v>0</v>
      </c>
      <c r="D103" s="3317">
        <v>10000</v>
      </c>
      <c r="E103" s="3317">
        <v>20000</v>
      </c>
      <c r="F103" s="3317">
        <v>50000</v>
      </c>
      <c r="G103" s="3317">
        <v>80000</v>
      </c>
      <c r="H103" s="3317">
        <v>120000</v>
      </c>
      <c r="I103" s="3317">
        <v>180000</v>
      </c>
      <c r="J103" s="3405"/>
      <c r="K103" s="3405"/>
      <c r="L103" s="3406"/>
      <c r="M103" s="3407"/>
      <c r="N103" s="3365"/>
      <c r="O103" s="3365"/>
      <c r="P103" s="3519"/>
      <c r="Q103" s="3366"/>
    </row>
    <row r="104" spans="1:17" s="3280" customFormat="1" ht="15.75" thickBot="1">
      <c r="A104" s="3359"/>
      <c r="B104" s="3350"/>
      <c r="C104" s="3367">
        <v>100</v>
      </c>
      <c r="D104" s="3342">
        <v>101</v>
      </c>
      <c r="E104" s="3342">
        <v>102</v>
      </c>
      <c r="F104" s="3342">
        <v>103</v>
      </c>
      <c r="G104" s="3342">
        <v>104</v>
      </c>
      <c r="H104" s="3342">
        <v>105</v>
      </c>
      <c r="I104" s="3342">
        <v>106</v>
      </c>
      <c r="J104" s="3342"/>
      <c r="K104" s="3342"/>
      <c r="L104" s="3342"/>
      <c r="M104" s="3342"/>
      <c r="N104" s="3344"/>
      <c r="O104" s="3344"/>
      <c r="P104" s="3519"/>
      <c r="Q104" s="3366"/>
    </row>
    <row r="105" spans="1:17" ht="15" thickTop="1">
      <c r="A105" s="3408"/>
      <c r="B105" s="3345" t="s">
        <v>3367</v>
      </c>
      <c r="C105" s="3360" t="s">
        <v>3368</v>
      </c>
      <c r="D105" s="3361"/>
      <c r="E105" s="3393"/>
      <c r="F105" s="3393"/>
      <c r="G105" s="3393"/>
      <c r="H105" s="3393"/>
      <c r="I105" s="3393"/>
      <c r="J105" s="3393"/>
      <c r="K105" s="3394"/>
      <c r="L105" s="3395"/>
      <c r="M105" s="3396"/>
      <c r="N105" s="3339"/>
      <c r="O105" s="3339"/>
      <c r="P105" s="3518"/>
      <c r="Q105" s="3314"/>
    </row>
    <row r="106" spans="1:17" ht="15.75" thickBot="1">
      <c r="A106" s="3340"/>
      <c r="B106" s="3350"/>
      <c r="C106" s="3351">
        <v>100</v>
      </c>
      <c r="D106" s="3351">
        <f t="shared" ref="D106:M106" si="28">C106-$K34</f>
        <v>99</v>
      </c>
      <c r="E106" s="3351">
        <f t="shared" si="28"/>
        <v>98</v>
      </c>
      <c r="F106" s="3351">
        <f t="shared" si="28"/>
        <v>97</v>
      </c>
      <c r="G106" s="3351">
        <f t="shared" si="28"/>
        <v>96</v>
      </c>
      <c r="H106" s="3351">
        <f t="shared" si="28"/>
        <v>95</v>
      </c>
      <c r="I106" s="3351">
        <f t="shared" si="28"/>
        <v>94</v>
      </c>
      <c r="J106" s="3351">
        <f t="shared" si="28"/>
        <v>93</v>
      </c>
      <c r="K106" s="3351">
        <f t="shared" si="28"/>
        <v>92</v>
      </c>
      <c r="L106" s="3351">
        <f t="shared" si="28"/>
        <v>91</v>
      </c>
      <c r="M106" s="3351">
        <f t="shared" si="28"/>
        <v>90</v>
      </c>
      <c r="N106" s="3344"/>
      <c r="O106" s="3344"/>
      <c r="P106" s="3518"/>
      <c r="Q106" s="3314"/>
    </row>
    <row r="107" spans="1:17" ht="15" thickTop="1">
      <c r="A107" s="3408"/>
      <c r="B107" s="3345" t="s">
        <v>3369</v>
      </c>
      <c r="C107" s="3409" t="s">
        <v>3370</v>
      </c>
      <c r="D107" s="3393"/>
      <c r="E107" s="3393"/>
      <c r="F107" s="3393"/>
      <c r="G107" s="3393"/>
      <c r="H107" s="3393"/>
      <c r="I107" s="3393"/>
      <c r="J107" s="3393"/>
      <c r="K107" s="3394"/>
      <c r="L107" s="3395"/>
      <c r="M107" s="3396"/>
      <c r="N107" s="3339"/>
      <c r="O107" s="3339"/>
      <c r="P107" s="3518"/>
      <c r="Q107" s="3314"/>
    </row>
    <row r="108" spans="1:17" ht="15.75" thickBot="1">
      <c r="A108" s="3340"/>
      <c r="B108" s="3350"/>
      <c r="C108" s="3351">
        <v>100</v>
      </c>
      <c r="D108" s="3351">
        <f t="shared" ref="D108:M108" si="29">C108-$K35</f>
        <v>98</v>
      </c>
      <c r="E108" s="3351">
        <f t="shared" si="29"/>
        <v>96</v>
      </c>
      <c r="F108" s="3351">
        <f t="shared" si="29"/>
        <v>94</v>
      </c>
      <c r="G108" s="3351">
        <f t="shared" si="29"/>
        <v>92</v>
      </c>
      <c r="H108" s="3351">
        <f t="shared" si="29"/>
        <v>90</v>
      </c>
      <c r="I108" s="3351">
        <f t="shared" si="29"/>
        <v>88</v>
      </c>
      <c r="J108" s="3351">
        <f t="shared" si="29"/>
        <v>86</v>
      </c>
      <c r="K108" s="3351">
        <f t="shared" si="29"/>
        <v>84</v>
      </c>
      <c r="L108" s="3351">
        <f t="shared" si="29"/>
        <v>82</v>
      </c>
      <c r="M108" s="3351">
        <f t="shared" si="29"/>
        <v>80</v>
      </c>
      <c r="N108" s="3344"/>
      <c r="O108" s="3344"/>
      <c r="P108" s="3518"/>
      <c r="Q108" s="3314"/>
    </row>
    <row r="109" spans="1:17" ht="15" thickTop="1">
      <c r="A109" s="3408"/>
      <c r="B109" s="3345" t="s">
        <v>3371</v>
      </c>
      <c r="C109" s="3360" t="s">
        <v>3372</v>
      </c>
      <c r="D109" s="3361"/>
      <c r="E109" s="3361"/>
      <c r="F109" s="3393"/>
      <c r="G109" s="3393"/>
      <c r="H109" s="3393"/>
      <c r="I109" s="3393"/>
      <c r="J109" s="3393"/>
      <c r="K109" s="3394"/>
      <c r="L109" s="3395"/>
      <c r="M109" s="3396"/>
      <c r="N109" s="3339"/>
      <c r="O109" s="3339"/>
      <c r="P109" s="3518"/>
      <c r="Q109" s="3314"/>
    </row>
    <row r="110" spans="1:17" ht="15.75" thickBot="1">
      <c r="A110" s="3340"/>
      <c r="B110" s="3350"/>
      <c r="C110" s="3351">
        <v>100</v>
      </c>
      <c r="D110" s="3351">
        <f t="shared" ref="D110:M110" si="30">C110-$K36</f>
        <v>99</v>
      </c>
      <c r="E110" s="3351">
        <f t="shared" si="30"/>
        <v>98</v>
      </c>
      <c r="F110" s="3351">
        <f t="shared" si="30"/>
        <v>97</v>
      </c>
      <c r="G110" s="3351">
        <f t="shared" si="30"/>
        <v>96</v>
      </c>
      <c r="H110" s="3351">
        <f t="shared" si="30"/>
        <v>95</v>
      </c>
      <c r="I110" s="3351">
        <f t="shared" si="30"/>
        <v>94</v>
      </c>
      <c r="J110" s="3351">
        <f t="shared" si="30"/>
        <v>93</v>
      </c>
      <c r="K110" s="3351">
        <f t="shared" si="30"/>
        <v>92</v>
      </c>
      <c r="L110" s="3351">
        <f t="shared" si="30"/>
        <v>91</v>
      </c>
      <c r="M110" s="3351">
        <f t="shared" si="30"/>
        <v>90</v>
      </c>
      <c r="N110" s="3344"/>
      <c r="O110" s="3344"/>
      <c r="P110" s="3518"/>
      <c r="Q110" s="3314"/>
    </row>
    <row r="111" spans="1:17" s="3280" customFormat="1" ht="15" thickTop="1">
      <c r="A111" s="3403"/>
      <c r="B111" s="3345" t="s">
        <v>3373</v>
      </c>
      <c r="C111" s="3384" t="str">
        <f>C112&amp;"(含)"&amp;"-"&amp;D112</f>
        <v>0.5(含)-0.6</v>
      </c>
      <c r="D111" s="3384" t="str">
        <f>D112&amp;"(含)"&amp;"-"&amp;E112</f>
        <v>0.6(含)-0.7</v>
      </c>
      <c r="E111" s="3384" t="str">
        <f>E112&amp;"(含)"&amp;"-"&amp;F112</f>
        <v>0.7(含)-0.8</v>
      </c>
      <c r="F111" s="3384" t="str">
        <f>F112&amp;"(含)"&amp;"-"&amp;G112</f>
        <v>0.8(含)-0.9</v>
      </c>
      <c r="G111" s="3384" t="str">
        <f>G112&amp;"(含)"&amp;"-"&amp;ROUND(H112,0)&amp;"(含)"</f>
        <v>0.9(含)-1(含)</v>
      </c>
      <c r="H111" s="3384" t="str">
        <f>ROUND(H112,0)&amp;"(含)"&amp;"-"&amp;I112</f>
        <v>1(含)-</v>
      </c>
      <c r="I111" s="3384"/>
      <c r="J111" s="3387"/>
      <c r="K111" s="3387"/>
      <c r="L111" s="3388"/>
      <c r="M111" s="3389"/>
      <c r="N111" s="3365"/>
      <c r="O111" s="3365"/>
      <c r="P111" s="3519"/>
      <c r="Q111" s="3366"/>
    </row>
    <row r="112" spans="1:17" s="3280" customFormat="1">
      <c r="A112" s="3403"/>
      <c r="B112" s="3353"/>
      <c r="C112" s="3316">
        <v>0.5</v>
      </c>
      <c r="D112" s="3316">
        <v>0.6</v>
      </c>
      <c r="E112" s="3316">
        <v>0.7</v>
      </c>
      <c r="F112" s="3316">
        <v>0.8</v>
      </c>
      <c r="G112" s="3316">
        <v>0.9</v>
      </c>
      <c r="H112" s="3316">
        <v>1.0001</v>
      </c>
      <c r="I112" s="3316"/>
      <c r="J112" s="3528"/>
      <c r="K112" s="3528"/>
      <c r="L112" s="3529"/>
      <c r="M112" s="3530"/>
      <c r="N112" s="3365"/>
      <c r="O112" s="3365"/>
      <c r="P112" s="3519"/>
      <c r="Q112" s="3366"/>
    </row>
    <row r="113" spans="1:17" s="3280" customFormat="1" ht="15.75" thickBot="1">
      <c r="A113" s="3359"/>
      <c r="B113" s="3350"/>
      <c r="C113" s="3386">
        <v>100</v>
      </c>
      <c r="D113" s="3351">
        <f>C113+$K37</f>
        <v>101</v>
      </c>
      <c r="E113" s="3351">
        <f>D113+$K37</f>
        <v>102</v>
      </c>
      <c r="F113" s="3351">
        <f>E113+$K37</f>
        <v>103</v>
      </c>
      <c r="G113" s="3351">
        <f>F113+$K37</f>
        <v>104</v>
      </c>
      <c r="H113" s="3351">
        <f>G113+$K37</f>
        <v>105</v>
      </c>
      <c r="I113" s="3386"/>
      <c r="J113" s="3390"/>
      <c r="K113" s="3390"/>
      <c r="L113" s="3390"/>
      <c r="M113" s="3391"/>
      <c r="N113" s="3365"/>
      <c r="O113" s="3365"/>
      <c r="P113" s="3519"/>
      <c r="Q113" s="3366"/>
    </row>
    <row r="114" spans="1:17" ht="15" thickTop="1">
      <c r="A114" s="3408"/>
      <c r="B114" s="3345" t="s">
        <v>3374</v>
      </c>
      <c r="C114" s="3360" t="s">
        <v>3375</v>
      </c>
      <c r="D114" s="3361"/>
      <c r="E114" s="3393"/>
      <c r="F114" s="3393"/>
      <c r="G114" s="3393"/>
      <c r="H114" s="3393"/>
      <c r="I114" s="3393"/>
      <c r="J114" s="3393"/>
      <c r="K114" s="3394"/>
      <c r="L114" s="3395"/>
      <c r="M114" s="3396"/>
      <c r="N114" s="3339"/>
      <c r="O114" s="3339"/>
      <c r="P114" s="3518"/>
      <c r="Q114" s="3314"/>
    </row>
    <row r="115" spans="1:17" ht="15.75" thickBot="1">
      <c r="A115" s="3340"/>
      <c r="B115" s="3350"/>
      <c r="C115" s="3351">
        <v>100</v>
      </c>
      <c r="D115" s="3351">
        <f t="shared" ref="D115:M115" si="31">C115-$K38</f>
        <v>99</v>
      </c>
      <c r="E115" s="3351">
        <f t="shared" si="31"/>
        <v>98</v>
      </c>
      <c r="F115" s="3351">
        <f t="shared" si="31"/>
        <v>97</v>
      </c>
      <c r="G115" s="3351">
        <f t="shared" si="31"/>
        <v>96</v>
      </c>
      <c r="H115" s="3351">
        <f t="shared" si="31"/>
        <v>95</v>
      </c>
      <c r="I115" s="3351">
        <f t="shared" si="31"/>
        <v>94</v>
      </c>
      <c r="J115" s="3351">
        <f t="shared" si="31"/>
        <v>93</v>
      </c>
      <c r="K115" s="3351">
        <f t="shared" si="31"/>
        <v>92</v>
      </c>
      <c r="L115" s="3351">
        <f t="shared" si="31"/>
        <v>91</v>
      </c>
      <c r="M115" s="3351">
        <f t="shared" si="31"/>
        <v>90</v>
      </c>
      <c r="N115" s="3344"/>
      <c r="O115" s="3344"/>
      <c r="P115" s="3518"/>
      <c r="Q115" s="3314"/>
    </row>
    <row r="116" spans="1:17" ht="15" thickTop="1">
      <c r="A116" s="3408"/>
      <c r="B116" s="3345" t="s">
        <v>3376</v>
      </c>
      <c r="C116" s="3360" t="s">
        <v>3377</v>
      </c>
      <c r="D116" s="3360" t="s">
        <v>3378</v>
      </c>
      <c r="E116" s="3360" t="s">
        <v>3379</v>
      </c>
      <c r="F116" s="3360" t="s">
        <v>3380</v>
      </c>
      <c r="G116" s="3361"/>
      <c r="H116" s="3393"/>
      <c r="I116" s="3393"/>
      <c r="J116" s="3393"/>
      <c r="K116" s="3394"/>
      <c r="L116" s="3395"/>
      <c r="M116" s="3396"/>
      <c r="N116" s="3339"/>
      <c r="O116" s="3339"/>
      <c r="P116" s="3518"/>
      <c r="Q116" s="3314"/>
    </row>
    <row r="117" spans="1:17" ht="15.75" thickBot="1">
      <c r="A117" s="3340"/>
      <c r="B117" s="3350"/>
      <c r="C117" s="3351">
        <v>100</v>
      </c>
      <c r="D117" s="3351">
        <f>C117-$K39</f>
        <v>99</v>
      </c>
      <c r="E117" s="3351">
        <f>D117-$K39</f>
        <v>98</v>
      </c>
      <c r="F117" s="3351">
        <f>E117-$K39</f>
        <v>97</v>
      </c>
      <c r="G117" s="3351">
        <f>F117-$K39</f>
        <v>96</v>
      </c>
      <c r="H117" s="3351"/>
      <c r="I117" s="3351"/>
      <c r="J117" s="3351"/>
      <c r="K117" s="3351"/>
      <c r="L117" s="3351"/>
      <c r="M117" s="3352"/>
      <c r="N117" s="3344"/>
      <c r="O117" s="3344"/>
      <c r="P117" s="3518"/>
      <c r="Q117" s="3314"/>
    </row>
    <row r="118" spans="1:17" ht="15" thickTop="1">
      <c r="A118" s="3408"/>
      <c r="B118" s="3345" t="s">
        <v>3381</v>
      </c>
      <c r="C118" s="3393"/>
      <c r="D118" s="3393"/>
      <c r="E118" s="3393"/>
      <c r="F118" s="3393"/>
      <c r="G118" s="3393"/>
      <c r="H118" s="3393"/>
      <c r="I118" s="3393"/>
      <c r="J118" s="3393"/>
      <c r="K118" s="3394"/>
      <c r="L118" s="3395"/>
      <c r="M118" s="3396"/>
      <c r="N118" s="3339"/>
      <c r="O118" s="3339"/>
      <c r="P118" s="3518"/>
      <c r="Q118" s="3314"/>
    </row>
    <row r="119" spans="1:17" ht="15.75" thickBot="1">
      <c r="A119" s="3340"/>
      <c r="B119" s="3350"/>
      <c r="C119" s="3351">
        <v>100</v>
      </c>
      <c r="D119" s="3351">
        <f t="shared" ref="D119:M119" si="32">C119-$K40</f>
        <v>100</v>
      </c>
      <c r="E119" s="3351">
        <f t="shared" si="32"/>
        <v>100</v>
      </c>
      <c r="F119" s="3351">
        <f t="shared" si="32"/>
        <v>100</v>
      </c>
      <c r="G119" s="3351">
        <f t="shared" si="32"/>
        <v>100</v>
      </c>
      <c r="H119" s="3351">
        <f t="shared" si="32"/>
        <v>100</v>
      </c>
      <c r="I119" s="3351">
        <f t="shared" si="32"/>
        <v>100</v>
      </c>
      <c r="J119" s="3351">
        <f t="shared" si="32"/>
        <v>100</v>
      </c>
      <c r="K119" s="3351">
        <f t="shared" si="32"/>
        <v>100</v>
      </c>
      <c r="L119" s="3351">
        <f t="shared" si="32"/>
        <v>100</v>
      </c>
      <c r="M119" s="3351">
        <f t="shared" si="32"/>
        <v>100</v>
      </c>
      <c r="N119" s="3344"/>
      <c r="O119" s="3344"/>
      <c r="P119" s="3518"/>
      <c r="Q119" s="3314"/>
    </row>
    <row r="120" spans="1:17" s="3280" customFormat="1" ht="28.5" thickTop="1">
      <c r="A120" s="3403"/>
      <c r="B120" s="3345" t="s">
        <v>3382</v>
      </c>
      <c r="C120" s="3361"/>
      <c r="D120" s="3361"/>
      <c r="E120" s="3361"/>
      <c r="F120" s="3361"/>
      <c r="G120" s="3361"/>
      <c r="H120" s="3361"/>
      <c r="I120" s="3361"/>
      <c r="J120" s="3361"/>
      <c r="K120" s="3361"/>
      <c r="L120" s="3524"/>
      <c r="M120" s="3525"/>
      <c r="N120" s="3365"/>
      <c r="O120" s="3365"/>
      <c r="P120" s="3519"/>
      <c r="Q120" s="3366"/>
    </row>
    <row r="121" spans="1:17" s="3280" customFormat="1" ht="15.75" thickBot="1">
      <c r="A121" s="3359"/>
      <c r="B121" s="3341"/>
      <c r="C121" s="3367"/>
      <c r="D121" s="3342"/>
      <c r="E121" s="3342"/>
      <c r="F121" s="3342"/>
      <c r="G121" s="3342"/>
      <c r="H121" s="3342"/>
      <c r="I121" s="3342"/>
      <c r="J121" s="3342"/>
      <c r="K121" s="3342"/>
      <c r="L121" s="3342"/>
      <c r="M121" s="3342"/>
      <c r="N121" s="3365"/>
      <c r="O121" s="3365"/>
      <c r="P121" s="3519"/>
      <c r="Q121" s="3366"/>
    </row>
    <row r="122" spans="1:17" ht="15" thickTop="1">
      <c r="A122" s="3408"/>
      <c r="B122" s="3345" t="s">
        <v>3383</v>
      </c>
      <c r="C122" s="3360" t="s">
        <v>3384</v>
      </c>
      <c r="D122" s="3360" t="s">
        <v>3385</v>
      </c>
      <c r="E122" s="3360" t="s">
        <v>3386</v>
      </c>
      <c r="F122" s="3409" t="s">
        <v>3387</v>
      </c>
      <c r="G122" s="3393"/>
      <c r="H122" s="3393"/>
      <c r="I122" s="3393"/>
      <c r="J122" s="3393"/>
      <c r="K122" s="3394"/>
      <c r="L122" s="3395"/>
      <c r="M122" s="3396"/>
      <c r="N122" s="3339"/>
      <c r="O122" s="3339"/>
      <c r="P122" s="3518"/>
      <c r="Q122" s="3314"/>
    </row>
    <row r="123" spans="1:17" ht="15.75" thickBot="1">
      <c r="A123" s="3340"/>
      <c r="B123" s="3350"/>
      <c r="C123" s="3351">
        <v>100</v>
      </c>
      <c r="D123" s="3351">
        <f t="shared" ref="D123:M123" si="33">C123-$K42</f>
        <v>98</v>
      </c>
      <c r="E123" s="3351">
        <f t="shared" si="33"/>
        <v>96</v>
      </c>
      <c r="F123" s="3351">
        <f t="shared" si="33"/>
        <v>94</v>
      </c>
      <c r="G123" s="3351">
        <f t="shared" si="33"/>
        <v>92</v>
      </c>
      <c r="H123" s="3351">
        <f t="shared" si="33"/>
        <v>90</v>
      </c>
      <c r="I123" s="3351">
        <f t="shared" si="33"/>
        <v>88</v>
      </c>
      <c r="J123" s="3351">
        <f t="shared" si="33"/>
        <v>86</v>
      </c>
      <c r="K123" s="3351">
        <f t="shared" si="33"/>
        <v>84</v>
      </c>
      <c r="L123" s="3351">
        <f t="shared" si="33"/>
        <v>82</v>
      </c>
      <c r="M123" s="3351">
        <f t="shared" si="33"/>
        <v>80</v>
      </c>
      <c r="N123" s="3344"/>
      <c r="O123" s="3344"/>
      <c r="P123" s="3518"/>
      <c r="Q123" s="3314"/>
    </row>
    <row r="124" spans="1:17" ht="15" thickTop="1">
      <c r="A124" s="3408"/>
      <c r="B124" s="3345" t="s">
        <v>3389</v>
      </c>
      <c r="C124" s="3384" t="s">
        <v>3390</v>
      </c>
      <c r="D124" s="3384" t="s">
        <v>3391</v>
      </c>
      <c r="E124" s="3384" t="s">
        <v>3392</v>
      </c>
      <c r="F124" s="3384" t="s">
        <v>3393</v>
      </c>
      <c r="G124" s="3384" t="s">
        <v>3394</v>
      </c>
      <c r="H124" s="3346"/>
      <c r="I124" s="3346"/>
      <c r="J124" s="3346"/>
      <c r="K124" s="3347"/>
      <c r="L124" s="3348"/>
      <c r="M124" s="3349"/>
      <c r="N124" s="3339"/>
      <c r="O124" s="3339"/>
      <c r="P124" s="3519"/>
      <c r="Q124" s="3314"/>
    </row>
    <row r="125" spans="1:17" ht="15.75" thickBot="1">
      <c r="A125" s="3340"/>
      <c r="B125" s="3350"/>
      <c r="C125" s="3351">
        <v>100</v>
      </c>
      <c r="D125" s="3351">
        <f>C125-$K43</f>
        <v>98</v>
      </c>
      <c r="E125" s="3351">
        <f>D125-$K43</f>
        <v>96</v>
      </c>
      <c r="F125" s="3351">
        <f>E125-$K43</f>
        <v>94</v>
      </c>
      <c r="G125" s="3351">
        <f>F125-$K43</f>
        <v>92</v>
      </c>
      <c r="H125" s="3351"/>
      <c r="I125" s="3351"/>
      <c r="J125" s="3351"/>
      <c r="K125" s="3351"/>
      <c r="L125" s="3351"/>
      <c r="M125" s="3352"/>
      <c r="N125" s="3344"/>
      <c r="O125" s="3344"/>
      <c r="P125" s="3518"/>
      <c r="Q125" s="3314"/>
    </row>
    <row r="126" spans="1:17" s="3280" customFormat="1" ht="15" thickTop="1">
      <c r="A126" s="3403"/>
      <c r="B126" s="3345">
        <f>B44</f>
        <v>111</v>
      </c>
      <c r="C126" s="3361"/>
      <c r="D126" s="3361"/>
      <c r="E126" s="3361"/>
      <c r="F126" s="3361"/>
      <c r="G126" s="3361"/>
      <c r="H126" s="3362"/>
      <c r="I126" s="3362"/>
      <c r="J126" s="3362"/>
      <c r="K126" s="3362"/>
      <c r="L126" s="3363"/>
      <c r="M126" s="3364"/>
      <c r="N126" s="3365"/>
      <c r="O126" s="3365"/>
      <c r="P126" s="3519"/>
      <c r="Q126" s="3366"/>
    </row>
    <row r="127" spans="1:17" s="3280" customFormat="1" ht="15.75" thickBot="1">
      <c r="A127" s="3359"/>
      <c r="B127" s="3350"/>
      <c r="C127" s="3367"/>
      <c r="D127" s="3342"/>
      <c r="E127" s="3342"/>
      <c r="F127" s="3342"/>
      <c r="G127" s="3367"/>
      <c r="H127" s="3369"/>
      <c r="I127" s="3369"/>
      <c r="J127" s="3369"/>
      <c r="K127" s="3369"/>
      <c r="L127" s="3369"/>
      <c r="M127" s="3370"/>
      <c r="N127" s="3365"/>
      <c r="O127" s="3365"/>
      <c r="P127" s="3519"/>
      <c r="Q127" s="3366"/>
    </row>
    <row r="128" spans="1:17" ht="15" thickTop="1">
      <c r="A128" s="3408"/>
      <c r="B128" s="3345">
        <f>B45</f>
        <v>111</v>
      </c>
      <c r="C128" s="3361"/>
      <c r="D128" s="3361"/>
      <c r="E128" s="3361"/>
      <c r="F128" s="3361"/>
      <c r="G128" s="3393"/>
      <c r="H128" s="3393"/>
      <c r="I128" s="3393"/>
      <c r="J128" s="3393"/>
      <c r="K128" s="3394"/>
      <c r="L128" s="3395"/>
      <c r="M128" s="3396"/>
      <c r="N128" s="3339"/>
      <c r="O128" s="3339"/>
      <c r="P128" s="3518"/>
      <c r="Q128" s="3314"/>
    </row>
    <row r="129" spans="1:17" ht="15.75" thickBot="1">
      <c r="A129" s="3340"/>
      <c r="B129" s="3350"/>
      <c r="C129" s="3367"/>
      <c r="D129" s="3367"/>
      <c r="E129" s="3367"/>
      <c r="F129" s="3367"/>
      <c r="G129" s="3342"/>
      <c r="H129" s="3342"/>
      <c r="I129" s="3342"/>
      <c r="J129" s="3342"/>
      <c r="K129" s="3342"/>
      <c r="L129" s="3342"/>
      <c r="M129" s="3343"/>
      <c r="N129" s="3344"/>
      <c r="O129" s="3344"/>
      <c r="P129" s="3518"/>
      <c r="Q129" s="3314"/>
    </row>
    <row r="130" spans="1:17" ht="15" thickTop="1">
      <c r="A130" s="3408"/>
      <c r="B130" s="3353">
        <f>B46</f>
        <v>111</v>
      </c>
      <c r="C130" s="3361"/>
      <c r="D130" s="3361"/>
      <c r="E130" s="3361"/>
      <c r="F130" s="3361"/>
      <c r="G130" s="3397"/>
      <c r="H130" s="3397"/>
      <c r="I130" s="3397"/>
      <c r="J130" s="3397"/>
      <c r="K130" s="3327"/>
      <c r="L130" s="3328"/>
      <c r="M130" s="3400"/>
      <c r="N130" s="3339"/>
      <c r="O130" s="3339"/>
      <c r="P130" s="3518"/>
      <c r="Q130" s="3314"/>
    </row>
    <row r="131" spans="1:17" ht="15.75" thickBot="1">
      <c r="A131" s="3527"/>
      <c r="B131" s="3375"/>
      <c r="C131" s="3376"/>
      <c r="D131" s="3376"/>
      <c r="E131" s="3376"/>
      <c r="F131" s="3376"/>
      <c r="G131" s="3401"/>
      <c r="H131" s="3401"/>
      <c r="I131" s="3401"/>
      <c r="J131" s="3401"/>
      <c r="K131" s="3401"/>
      <c r="L131" s="3401"/>
      <c r="M131" s="3402"/>
      <c r="N131" s="3344"/>
      <c r="O131" s="3344"/>
      <c r="P131" s="3518"/>
      <c r="Q131" s="3314"/>
    </row>
    <row r="136" spans="1:17" ht="15" thickBot="1">
      <c r="B136" s="3531" t="s">
        <v>3395</v>
      </c>
    </row>
    <row r="137" spans="1:17" ht="15">
      <c r="B137" s="3532" t="s">
        <v>3396</v>
      </c>
      <c r="C137" s="3533"/>
      <c r="D137" s="3533"/>
      <c r="E137" s="3533"/>
      <c r="F137" s="3533"/>
      <c r="G137" s="3534"/>
      <c r="H137" s="3535"/>
      <c r="I137" s="3536" t="s">
        <v>3397</v>
      </c>
      <c r="J137" s="3533"/>
      <c r="K137" s="3537"/>
    </row>
    <row r="138" spans="1:17" ht="15">
      <c r="B138" s="3538"/>
      <c r="C138" s="3539" t="s">
        <v>3398</v>
      </c>
      <c r="D138" s="3539" t="s">
        <v>3399</v>
      </c>
      <c r="E138" s="3540" t="s">
        <v>3400</v>
      </c>
      <c r="F138" s="3541" t="s">
        <v>3401</v>
      </c>
      <c r="G138" s="3539" t="s">
        <v>3399</v>
      </c>
      <c r="H138" s="3542" t="s">
        <v>3400</v>
      </c>
      <c r="I138" s="3543"/>
      <c r="J138" s="3539" t="s">
        <v>3402</v>
      </c>
      <c r="K138" s="3542" t="s">
        <v>3403</v>
      </c>
    </row>
    <row r="139" spans="1:17" ht="15">
      <c r="B139" s="3544">
        <v>6</v>
      </c>
      <c r="C139" s="3545">
        <v>96</v>
      </c>
      <c r="D139" s="3546" t="s">
        <v>3404</v>
      </c>
      <c r="E139" s="3547">
        <v>100</v>
      </c>
      <c r="F139" s="3548">
        <v>102.5</v>
      </c>
      <c r="G139" s="3546" t="s">
        <v>3404</v>
      </c>
      <c r="H139" s="3549">
        <v>105</v>
      </c>
      <c r="I139" s="3550" t="s">
        <v>3405</v>
      </c>
      <c r="J139" s="3545">
        <v>20</v>
      </c>
      <c r="K139" s="3551">
        <f>C145/(J139-2)</f>
        <v>4.0555555555555553E-3</v>
      </c>
    </row>
    <row r="140" spans="1:17" ht="15">
      <c r="B140" s="3552">
        <v>5</v>
      </c>
      <c r="C140" s="3553">
        <v>100</v>
      </c>
      <c r="D140" s="3553"/>
      <c r="E140" s="3554"/>
      <c r="F140" s="3555">
        <v>102</v>
      </c>
      <c r="G140" s="3553"/>
      <c r="H140" s="3556"/>
      <c r="I140" s="3557" t="s">
        <v>3406</v>
      </c>
      <c r="J140" s="3558">
        <f>ROUNDUP((J139-1)/2,0)</f>
        <v>10</v>
      </c>
      <c r="K140" s="3559">
        <v>100</v>
      </c>
    </row>
    <row r="141" spans="1:17" ht="15">
      <c r="B141" s="3552">
        <v>4</v>
      </c>
      <c r="C141" s="3553">
        <v>102</v>
      </c>
      <c r="D141" s="3553"/>
      <c r="E141" s="3554"/>
      <c r="F141" s="3555">
        <v>101.5</v>
      </c>
      <c r="G141" s="3553"/>
      <c r="H141" s="3556"/>
      <c r="I141" s="3557" t="s">
        <v>3407</v>
      </c>
      <c r="J141" s="3558">
        <v>1</v>
      </c>
      <c r="K141" s="3560">
        <f>ROUND(100+(J141-J140)*K139*100,1)</f>
        <v>96.4</v>
      </c>
    </row>
    <row r="142" spans="1:17" ht="15">
      <c r="B142" s="3552">
        <v>3</v>
      </c>
      <c r="C142" s="3553">
        <v>103</v>
      </c>
      <c r="D142" s="3553"/>
      <c r="E142" s="3554"/>
      <c r="F142" s="3555">
        <v>101</v>
      </c>
      <c r="G142" s="3553"/>
      <c r="H142" s="3556"/>
      <c r="I142" s="3557" t="s">
        <v>3408</v>
      </c>
      <c r="J142" s="3558">
        <f>J139</f>
        <v>20</v>
      </c>
      <c r="K142" s="3561">
        <v>95</v>
      </c>
    </row>
    <row r="143" spans="1:17" ht="15">
      <c r="B143" s="3552">
        <v>2</v>
      </c>
      <c r="C143" s="3553">
        <v>100</v>
      </c>
      <c r="D143" s="3553"/>
      <c r="E143" s="3554"/>
      <c r="F143" s="3555">
        <v>100.5</v>
      </c>
      <c r="G143" s="3553"/>
      <c r="H143" s="3556"/>
      <c r="I143" s="3557" t="s">
        <v>3409</v>
      </c>
      <c r="J143" s="3553">
        <v>15</v>
      </c>
      <c r="K143" s="3560">
        <f>ROUND(100+(J143-J140)*K139*100,1)</f>
        <v>102</v>
      </c>
    </row>
    <row r="144" spans="1:17" ht="15">
      <c r="B144" s="3552">
        <v>1</v>
      </c>
      <c r="C144" s="3553">
        <v>98</v>
      </c>
      <c r="D144" s="3562" t="s">
        <v>3410</v>
      </c>
      <c r="E144" s="3554">
        <v>102</v>
      </c>
      <c r="F144" s="3563">
        <v>100</v>
      </c>
      <c r="G144" s="3562" t="s">
        <v>3410</v>
      </c>
      <c r="H144" s="3556">
        <v>105</v>
      </c>
      <c r="I144" s="3557" t="s">
        <v>3409</v>
      </c>
      <c r="J144" s="3553">
        <v>18</v>
      </c>
      <c r="K144" s="3560">
        <f>ROUND(100+(J144-J140)*K139*100,1)</f>
        <v>103.2</v>
      </c>
    </row>
    <row r="145" spans="2:11" ht="15.75" thickBot="1">
      <c r="B145" s="3564" t="s">
        <v>3411</v>
      </c>
      <c r="C145" s="3565">
        <f>ROUND(MAX(C139:C144)/MIN(C139:C144)-1,3)</f>
        <v>7.2999999999999995E-2</v>
      </c>
      <c r="D145" s="3566"/>
      <c r="E145" s="3566"/>
      <c r="F145" s="3567" t="s">
        <v>3412</v>
      </c>
      <c r="G145" s="3568"/>
      <c r="H145" s="3569"/>
      <c r="I145" s="3570" t="s">
        <v>3409</v>
      </c>
      <c r="J145" s="3571">
        <v>8</v>
      </c>
      <c r="K145" s="3572">
        <f>ROUND(100+(J145-J140)*K139*100,1)</f>
        <v>99.2</v>
      </c>
    </row>
    <row r="147" spans="2:11">
      <c r="B147" s="3531" t="s">
        <v>3413</v>
      </c>
    </row>
    <row r="148" spans="2:11">
      <c r="B148" s="3531" t="s">
        <v>3414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70" priority="14" stopIfTrue="1" operator="containsText" text="超过">
      <formula>NOT(ISERROR(SEARCH("超过",F52)))</formula>
    </cfRule>
  </conditionalFormatting>
  <conditionalFormatting sqref="J54">
    <cfRule type="containsText" dxfId="169" priority="13" stopIfTrue="1" operator="containsText" text="超过">
      <formula>NOT(ISERROR(SEARCH("超过",J54)))</formula>
    </cfRule>
  </conditionalFormatting>
  <conditionalFormatting sqref="H54">
    <cfRule type="containsText" dxfId="168" priority="12" stopIfTrue="1" operator="containsText" text="超过">
      <formula>NOT(ISERROR(SEARCH("超过",H54)))</formula>
    </cfRule>
  </conditionalFormatting>
  <conditionalFormatting sqref="F54">
    <cfRule type="containsText" dxfId="167" priority="11" stopIfTrue="1" operator="containsText" text="超过">
      <formula>NOT(ISERROR(SEARCH("超过",F54)))</formula>
    </cfRule>
  </conditionalFormatting>
  <conditionalFormatting sqref="F53 H53 J53">
    <cfRule type="containsText" dxfId="166" priority="10" stopIfTrue="1" operator="containsText" text="超过">
      <formula>NOT(ISERROR(SEARCH("超过",F53)))</formula>
    </cfRule>
  </conditionalFormatting>
  <conditionalFormatting sqref="E52">
    <cfRule type="expression" dxfId="165" priority="9" stopIfTrue="1">
      <formula>$F$52="超过30%"</formula>
    </cfRule>
  </conditionalFormatting>
  <conditionalFormatting sqref="G54">
    <cfRule type="expression" dxfId="164" priority="8" stopIfTrue="1">
      <formula>$H$54="超过30%"</formula>
    </cfRule>
  </conditionalFormatting>
  <conditionalFormatting sqref="E53">
    <cfRule type="expression" dxfId="163" priority="7" stopIfTrue="1">
      <formula>$F$53="超过20%"</formula>
    </cfRule>
  </conditionalFormatting>
  <conditionalFormatting sqref="E54">
    <cfRule type="expression" dxfId="162" priority="6" stopIfTrue="1">
      <formula>$F$54="超过30%"</formula>
    </cfRule>
  </conditionalFormatting>
  <conditionalFormatting sqref="G52">
    <cfRule type="expression" dxfId="161" priority="5" stopIfTrue="1">
      <formula>$H$52="超过30%"</formula>
    </cfRule>
  </conditionalFormatting>
  <conditionalFormatting sqref="G53">
    <cfRule type="expression" dxfId="160" priority="4" stopIfTrue="1">
      <formula>$H$53="超过20%"</formula>
    </cfRule>
  </conditionalFormatting>
  <conditionalFormatting sqref="I52">
    <cfRule type="expression" dxfId="159" priority="3" stopIfTrue="1">
      <formula>$J$52="超过30%"</formula>
    </cfRule>
  </conditionalFormatting>
  <conditionalFormatting sqref="I53">
    <cfRule type="expression" dxfId="158" priority="2" stopIfTrue="1">
      <formula>$J$53="超过20%"</formula>
    </cfRule>
  </conditionalFormatting>
  <conditionalFormatting sqref="I54">
    <cfRule type="expression" dxfId="1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topLeftCell="A19" workbookViewId="0">
      <selection activeCell="I49" sqref="I49"/>
    </sheetView>
  </sheetViews>
  <sheetFormatPr defaultColWidth="9" defaultRowHeight="13.5"/>
  <cols>
    <col min="1" max="16384" width="9" style="3184"/>
  </cols>
  <sheetData>
    <row r="20" spans="8:8">
      <c r="H20" s="3184">
        <v>4</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3" sqref="B3"/>
    </sheetView>
  </sheetViews>
  <sheetFormatPr defaultColWidth="9" defaultRowHeight="14.25"/>
  <cols>
    <col min="1" max="1" width="10.5" style="3195" customWidth="1"/>
    <col min="2" max="2" width="15.75" style="3195" customWidth="1"/>
    <col min="3" max="3" width="15.125" style="3195" customWidth="1"/>
    <col min="4" max="4" width="12.25" style="3195" customWidth="1"/>
    <col min="5" max="5" width="14.375" style="3195" customWidth="1"/>
    <col min="6" max="6" width="12.25" style="3195" customWidth="1"/>
    <col min="7" max="7" width="14.5" style="3195" customWidth="1"/>
    <col min="8" max="8" width="12.25" style="3195" customWidth="1"/>
    <col min="9" max="9" width="14.5" style="3195" customWidth="1"/>
    <col min="10" max="10" width="12.25" style="3195" customWidth="1"/>
    <col min="11" max="11" width="12.25" style="3410" customWidth="1"/>
    <col min="12" max="12" width="12.25" style="3411" customWidth="1"/>
    <col min="13" max="15" width="12.25" style="3195" customWidth="1"/>
    <col min="16" max="16" width="4.75" style="3502" customWidth="1"/>
    <col min="17" max="17" width="19.5" style="3195" customWidth="1"/>
    <col min="18" max="22" width="6.125" style="3195" customWidth="1"/>
    <col min="23" max="23" width="5.75" style="3195" customWidth="1"/>
    <col min="24" max="24" width="4.25" style="3195" customWidth="1"/>
    <col min="25" max="25" width="3.5" style="3195" customWidth="1"/>
    <col min="26" max="26" width="19.75" style="3195" customWidth="1"/>
    <col min="27" max="28" width="9.375" style="3195" customWidth="1"/>
    <col min="29" max="16384" width="9" style="3195"/>
  </cols>
  <sheetData>
    <row r="1" spans="1:29" s="3435" customFormat="1" ht="28.5" customHeight="1" thickBot="1">
      <c r="A1" s="3422" t="s">
        <v>3415</v>
      </c>
      <c r="B1" s="3423" t="s">
        <v>3416</v>
      </c>
      <c r="C1" s="3424" t="s">
        <v>3417</v>
      </c>
      <c r="D1" s="3425" t="s">
        <v>3418</v>
      </c>
      <c r="E1" s="3426"/>
      <c r="F1" s="3427" t="s">
        <v>3274</v>
      </c>
      <c r="G1" s="3428" t="s">
        <v>3419</v>
      </c>
      <c r="H1" s="3429"/>
      <c r="I1" s="3429"/>
      <c r="J1" s="3429"/>
      <c r="K1" s="3430"/>
      <c r="L1" s="3431"/>
      <c r="M1" s="3424"/>
      <c r="N1" s="3424"/>
      <c r="O1" s="3424"/>
      <c r="P1" s="3432"/>
      <c r="Q1" s="3433"/>
      <c r="R1" s="3433"/>
      <c r="S1" s="3433"/>
      <c r="T1" s="3433"/>
      <c r="U1" s="3433"/>
      <c r="V1" s="3433"/>
      <c r="W1" s="3433"/>
      <c r="X1" s="3433"/>
      <c r="Y1" s="3433"/>
      <c r="Z1" s="3433"/>
      <c r="AA1" s="3433"/>
      <c r="AB1" s="3433"/>
      <c r="AC1" s="3434"/>
    </row>
    <row r="2" spans="1:29" s="3448" customFormat="1" ht="28.5" customHeight="1" thickTop="1">
      <c r="A2" s="3436" t="s">
        <v>3420</v>
      </c>
      <c r="B2" s="3437" t="e">
        <f>IF(C2="——",ROUND(C49*D3/10000,0),ROUND(C49*D3/10000,0)-D2)</f>
        <v>#VALUE!</v>
      </c>
      <c r="C2" s="3438" t="s">
        <v>949</v>
      </c>
      <c r="D2" s="3439" t="e">
        <f ca="1">SUMIF(INDIRECT("'"&amp;F2&amp;"'"&amp;"!A:A"),"承租人权益价值",INDIRECT("'"&amp;F2&amp;"'"&amp;"!c:c"))</f>
        <v>#REF!</v>
      </c>
      <c r="E2" s="3440" t="s">
        <v>3421</v>
      </c>
      <c r="F2" s="3441"/>
      <c r="G2" s="3189"/>
      <c r="H2" s="3189"/>
      <c r="I2" s="3189"/>
      <c r="J2" s="3189"/>
      <c r="K2" s="3442"/>
      <c r="L2" s="3443"/>
      <c r="M2" s="3444"/>
      <c r="N2" s="3444"/>
      <c r="O2" s="3444"/>
      <c r="P2" s="3445"/>
      <c r="Q2" s="3446"/>
      <c r="R2" s="3446"/>
      <c r="S2" s="3446"/>
      <c r="T2" s="3446"/>
      <c r="U2" s="3446"/>
      <c r="V2" s="3446"/>
      <c r="W2" s="3446"/>
      <c r="X2" s="3446"/>
      <c r="Y2" s="3446"/>
      <c r="Z2" s="3446"/>
      <c r="AA2" s="3446"/>
      <c r="AB2" s="3446"/>
      <c r="AC2" s="3447"/>
    </row>
    <row r="3" spans="1:29" s="3448" customFormat="1" ht="28.5" customHeight="1" thickBot="1">
      <c r="A3" s="507" t="s">
        <v>3422</v>
      </c>
      <c r="B3" s="3449">
        <f>IF(C2="——",C49,ROUND(B2*10000/D3,0))</f>
        <v>43978</v>
      </c>
      <c r="C3" s="3450" t="s">
        <v>3423</v>
      </c>
      <c r="D3" s="3449" t="e">
        <f>IF(D1="",'[1]数据-汇总表'!E3,SUMIF('[1]数据-汇总表'!$C19:$C33,D1,'[1]数据-汇总表'!$E19:$E33))</f>
        <v>#VALUE!</v>
      </c>
      <c r="E3" s="3189"/>
      <c r="F3" s="3451"/>
      <c r="G3" s="3189"/>
      <c r="H3" s="3189"/>
      <c r="I3" s="3189"/>
      <c r="J3" s="3189"/>
      <c r="K3" s="3442"/>
      <c r="L3" s="3443"/>
      <c r="M3" s="3444"/>
      <c r="N3" s="3444"/>
      <c r="O3" s="3444"/>
      <c r="P3" s="3445"/>
      <c r="Q3" s="3446"/>
      <c r="R3" s="3446"/>
      <c r="S3" s="3446"/>
      <c r="T3" s="3446"/>
      <c r="U3" s="3446"/>
      <c r="V3" s="3446"/>
      <c r="W3" s="3446"/>
      <c r="X3" s="3446"/>
      <c r="Y3" s="3446"/>
      <c r="Z3" s="3446"/>
      <c r="AA3" s="3446"/>
      <c r="AB3" s="3446"/>
      <c r="AC3" s="3452"/>
    </row>
    <row r="4" spans="1:29" ht="15">
      <c r="A4" s="3190" t="s">
        <v>3023</v>
      </c>
      <c r="B4" s="3191"/>
      <c r="C4" s="3770" t="s">
        <v>3424</v>
      </c>
      <c r="D4" s="3771"/>
      <c r="E4" s="3772" t="s">
        <v>3425</v>
      </c>
      <c r="F4" s="3773"/>
      <c r="G4" s="3770" t="s">
        <v>3426</v>
      </c>
      <c r="H4" s="3771"/>
      <c r="I4" s="3770" t="s">
        <v>3427</v>
      </c>
      <c r="J4" s="3771"/>
      <c r="K4" s="3453" t="s">
        <v>3024</v>
      </c>
      <c r="L4" s="3192"/>
      <c r="M4" s="3193"/>
      <c r="N4" s="3193"/>
      <c r="O4" s="3193"/>
      <c r="P4" s="3774" t="s">
        <v>3428</v>
      </c>
      <c r="Q4" s="3775"/>
      <c r="R4" s="3780" t="s">
        <v>3425</v>
      </c>
      <c r="S4" s="3781"/>
      <c r="T4" s="3780" t="s">
        <v>3426</v>
      </c>
      <c r="U4" s="3781"/>
      <c r="V4" s="3795" t="s">
        <v>3427</v>
      </c>
      <c r="W4" s="3795"/>
      <c r="X4" s="3194"/>
      <c r="Y4" s="3780" t="s">
        <v>3428</v>
      </c>
      <c r="Z4" s="3781"/>
      <c r="AA4" s="3767" t="s">
        <v>3425</v>
      </c>
      <c r="AB4" s="3767" t="s">
        <v>3426</v>
      </c>
      <c r="AC4" s="3767" t="s">
        <v>3427</v>
      </c>
    </row>
    <row r="5" spans="1:29" ht="15">
      <c r="A5" s="3196"/>
      <c r="B5" s="3197"/>
      <c r="C5" s="3784" t="s">
        <v>3429</v>
      </c>
      <c r="D5" s="3785"/>
      <c r="E5" s="3786" t="s">
        <v>3289</v>
      </c>
      <c r="F5" s="3787"/>
      <c r="G5" s="3788" t="s">
        <v>3430</v>
      </c>
      <c r="H5" s="3785"/>
      <c r="I5" s="3788" t="s">
        <v>3431</v>
      </c>
      <c r="J5" s="3785"/>
      <c r="K5" s="3454"/>
      <c r="L5" s="3192"/>
      <c r="M5" s="3193"/>
      <c r="N5" s="3193"/>
      <c r="O5" s="3193"/>
      <c r="P5" s="3776"/>
      <c r="Q5" s="3777"/>
      <c r="R5" s="3782"/>
      <c r="S5" s="3783"/>
      <c r="T5" s="3782"/>
      <c r="U5" s="3783"/>
      <c r="V5" s="3795"/>
      <c r="W5" s="3795"/>
      <c r="X5" s="3194"/>
      <c r="Y5" s="3782"/>
      <c r="Z5" s="3783"/>
      <c r="AA5" s="3768"/>
      <c r="AB5" s="3768"/>
      <c r="AC5" s="3768"/>
    </row>
    <row r="6" spans="1:29" ht="15.75" thickBot="1">
      <c r="A6" s="3198"/>
      <c r="B6" s="3199"/>
      <c r="C6" s="3789" t="s">
        <v>3432</v>
      </c>
      <c r="D6" s="3790"/>
      <c r="E6" s="3791" t="s">
        <v>3432</v>
      </c>
      <c r="F6" s="3792"/>
      <c r="G6" s="3789" t="s">
        <v>3432</v>
      </c>
      <c r="H6" s="3790"/>
      <c r="I6" s="3789" t="s">
        <v>3432</v>
      </c>
      <c r="J6" s="3790"/>
      <c r="K6" s="3454" t="s">
        <v>3433</v>
      </c>
      <c r="L6" s="3192"/>
      <c r="M6" s="3193"/>
      <c r="N6" s="3193"/>
      <c r="O6" s="3193"/>
      <c r="P6" s="3778"/>
      <c r="Q6" s="3779"/>
      <c r="R6" s="3782"/>
      <c r="S6" s="3783"/>
      <c r="T6" s="3793"/>
      <c r="U6" s="3794"/>
      <c r="V6" s="3795"/>
      <c r="W6" s="3795"/>
      <c r="X6" s="3194"/>
      <c r="Y6" s="3793"/>
      <c r="Z6" s="3794"/>
      <c r="AA6" s="3769"/>
      <c r="AB6" s="3769"/>
      <c r="AC6" s="3769"/>
    </row>
    <row r="7" spans="1:29" s="3212" customFormat="1" ht="15.75" thickBot="1">
      <c r="A7" s="3200" t="s">
        <v>3025</v>
      </c>
      <c r="B7" s="3201"/>
      <c r="C7" s="3202">
        <f>'[1]数据-取费表'!B2</f>
        <v>43764</v>
      </c>
      <c r="D7" s="3203">
        <v>100</v>
      </c>
      <c r="E7" s="3204">
        <f>C7</f>
        <v>43764</v>
      </c>
      <c r="F7" s="3205">
        <f>SUMIF(58:58,YEAR(E7)&amp;"-"&amp;MONTH(E7),59:59)</f>
        <v>100</v>
      </c>
      <c r="G7" s="3204">
        <f>C7</f>
        <v>43764</v>
      </c>
      <c r="H7" s="3203">
        <f>SUMIF(58:58,YEAR(G7)&amp;"-"&amp;MONTH(G7),59:59)</f>
        <v>100</v>
      </c>
      <c r="I7" s="3204">
        <f>C7</f>
        <v>43764</v>
      </c>
      <c r="J7" s="3203">
        <f>SUMIF(58:58,YEAR(I7)&amp;"-"&amp;MONTH(I7),59:59)</f>
        <v>100</v>
      </c>
      <c r="K7" s="3455"/>
      <c r="L7" s="3206"/>
      <c r="M7" s="3207"/>
      <c r="N7" s="3207"/>
      <c r="O7" s="3207"/>
      <c r="P7" s="3796" t="s">
        <v>3434</v>
      </c>
      <c r="Q7" s="3797"/>
      <c r="R7" s="3208" t="s">
        <v>3435</v>
      </c>
      <c r="S7" s="3209">
        <f t="shared" ref="S7:S15" si="0">F7</f>
        <v>100</v>
      </c>
      <c r="T7" s="3208" t="s">
        <v>3032</v>
      </c>
      <c r="U7" s="3209">
        <f t="shared" ref="U7:U15" si="1">H7</f>
        <v>100</v>
      </c>
      <c r="V7" s="3208" t="s">
        <v>3032</v>
      </c>
      <c r="W7" s="3209">
        <f t="shared" ref="W7:W15" si="2">J7</f>
        <v>100</v>
      </c>
      <c r="X7" s="3210"/>
      <c r="Y7" s="3796" t="s">
        <v>3436</v>
      </c>
      <c r="Z7" s="3798"/>
      <c r="AA7" s="3211">
        <f>D7/F7</f>
        <v>1</v>
      </c>
      <c r="AB7" s="3211">
        <f>D7/H7</f>
        <v>1</v>
      </c>
      <c r="AC7" s="3211">
        <f>D7/J7</f>
        <v>1</v>
      </c>
    </row>
    <row r="8" spans="1:29" s="3212" customFormat="1" ht="15.75" thickBot="1">
      <c r="A8" s="3200" t="s">
        <v>3437</v>
      </c>
      <c r="B8" s="3201"/>
      <c r="C8" s="3213" t="s">
        <v>3027</v>
      </c>
      <c r="D8" s="3203">
        <v>100</v>
      </c>
      <c r="E8" s="3456" t="s">
        <v>3267</v>
      </c>
      <c r="F8" s="3205">
        <f>SUMIF(61:61,E8,62:62)-SUMIF(61:61,C8,62:62)+100</f>
        <v>100</v>
      </c>
      <c r="G8" s="3213" t="s">
        <v>3267</v>
      </c>
      <c r="H8" s="3203">
        <f>SUMIF(61:61,G8,62:62)-SUMIF(61:61,C8,62:62)+100</f>
        <v>100</v>
      </c>
      <c r="I8" s="3456" t="s">
        <v>3267</v>
      </c>
      <c r="J8" s="3203">
        <f>SUMIF(61:61,I8,62:62)-SUMIF(61:61,C8,62:62)+100</f>
        <v>100</v>
      </c>
      <c r="K8" s="3455"/>
      <c r="L8" s="3206"/>
      <c r="M8" s="3207"/>
      <c r="N8" s="3207"/>
      <c r="O8" s="3207"/>
      <c r="P8" s="3796" t="s">
        <v>3438</v>
      </c>
      <c r="Q8" s="3798"/>
      <c r="R8" s="3208" t="s">
        <v>3439</v>
      </c>
      <c r="S8" s="3209">
        <f t="shared" si="0"/>
        <v>100</v>
      </c>
      <c r="T8" s="3208" t="s">
        <v>3439</v>
      </c>
      <c r="U8" s="3209">
        <f t="shared" si="1"/>
        <v>100</v>
      </c>
      <c r="V8" s="3208" t="s">
        <v>3439</v>
      </c>
      <c r="W8" s="3209">
        <f t="shared" si="2"/>
        <v>100</v>
      </c>
      <c r="X8" s="3210"/>
      <c r="Y8" s="3796" t="s">
        <v>3438</v>
      </c>
      <c r="Z8" s="3798"/>
      <c r="AA8" s="3211">
        <f t="shared" ref="AA8:AA19" si="3">D8/F8</f>
        <v>1</v>
      </c>
      <c r="AB8" s="3211">
        <f t="shared" ref="AB8:AB19" si="4">D8/H8</f>
        <v>1</v>
      </c>
      <c r="AC8" s="3211">
        <f t="shared" ref="AC8:AC19" si="5">D8/J8</f>
        <v>1</v>
      </c>
    </row>
    <row r="9" spans="1:29" s="3212" customFormat="1">
      <c r="A9" s="3214" t="s">
        <v>3440</v>
      </c>
      <c r="B9" s="3215" t="s">
        <v>3441</v>
      </c>
      <c r="C9" s="3457" t="s">
        <v>3442</v>
      </c>
      <c r="D9" s="3216">
        <v>100</v>
      </c>
      <c r="E9" s="3458" t="s">
        <v>920</v>
      </c>
      <c r="F9" s="3459">
        <f>SUMIF(63:63,E9,64:64)-SUMIF(63:63,C9,64:64)+100</f>
        <v>100</v>
      </c>
      <c r="G9" s="3460" t="s">
        <v>920</v>
      </c>
      <c r="H9" s="3216">
        <f>SUMIF(63:63,G9,64:64)-SUMIF(63:63,C9,64:64)+100</f>
        <v>100</v>
      </c>
      <c r="I9" s="3460" t="s">
        <v>920</v>
      </c>
      <c r="J9" s="3216">
        <f>SUMIF(63:63,I9,64:64)-SUMIF(63:63,C9,64:64)+100</f>
        <v>100</v>
      </c>
      <c r="K9" s="3455"/>
      <c r="L9" s="3206"/>
      <c r="M9" s="3207"/>
      <c r="N9" s="3207"/>
      <c r="O9" s="3207"/>
      <c r="P9" s="3799" t="s">
        <v>3443</v>
      </c>
      <c r="Q9" s="3217" t="str">
        <f t="shared" ref="Q9:Q15" si="6">B9</f>
        <v>用途</v>
      </c>
      <c r="R9" s="3208" t="s">
        <v>3032</v>
      </c>
      <c r="S9" s="3209">
        <f t="shared" si="0"/>
        <v>100</v>
      </c>
      <c r="T9" s="3208" t="s">
        <v>3032</v>
      </c>
      <c r="U9" s="3209">
        <f t="shared" si="1"/>
        <v>100</v>
      </c>
      <c r="V9" s="3208" t="s">
        <v>3032</v>
      </c>
      <c r="W9" s="3209">
        <f t="shared" si="2"/>
        <v>100</v>
      </c>
      <c r="X9" s="3210"/>
      <c r="Y9" s="3800" t="s">
        <v>3300</v>
      </c>
      <c r="Z9" s="3218" t="str">
        <f t="shared" ref="Z9:Z15" si="7">Q9</f>
        <v>用途</v>
      </c>
      <c r="AA9" s="3211">
        <f t="shared" si="3"/>
        <v>1</v>
      </c>
      <c r="AB9" s="3211">
        <f t="shared" si="4"/>
        <v>1</v>
      </c>
      <c r="AC9" s="3211">
        <f t="shared" si="5"/>
        <v>1</v>
      </c>
    </row>
    <row r="10" spans="1:29" s="3227" customFormat="1" ht="27">
      <c r="A10" s="3219"/>
      <c r="B10" s="3220" t="s">
        <v>3031</v>
      </c>
      <c r="C10" s="3461" t="s">
        <v>3301</v>
      </c>
      <c r="D10" s="3222">
        <v>100</v>
      </c>
      <c r="E10" s="3462" t="s">
        <v>3301</v>
      </c>
      <c r="F10" s="3463">
        <f>SUMIF(65:65,E10,66:66)-SUMIF(65:65,C10,66:66)+100</f>
        <v>100</v>
      </c>
      <c r="G10" s="3461" t="s">
        <v>3301</v>
      </c>
      <c r="H10" s="3222">
        <f>SUMIF(65:65,G10,66:66)-SUMIF(65:65,C10,66:66)+100</f>
        <v>100</v>
      </c>
      <c r="I10" s="3461" t="s">
        <v>3301</v>
      </c>
      <c r="J10" s="3222">
        <f>SUMIF(65:65,I10,66:66)-SUMIF(65:65,C10,66:66)+100</f>
        <v>100</v>
      </c>
      <c r="K10" s="3464">
        <f>'比较法-洋房'!K10</f>
        <v>2</v>
      </c>
      <c r="L10" s="3225"/>
      <c r="M10" s="3226"/>
      <c r="N10" s="3226"/>
      <c r="O10" s="3226"/>
      <c r="P10" s="3799"/>
      <c r="Q10" s="3217" t="str">
        <f t="shared" si="6"/>
        <v>土地使用年限（年）</v>
      </c>
      <c r="R10" s="3208" t="s">
        <v>3032</v>
      </c>
      <c r="S10" s="3209">
        <f t="shared" si="0"/>
        <v>100</v>
      </c>
      <c r="T10" s="3208" t="s">
        <v>3032</v>
      </c>
      <c r="U10" s="3209">
        <f t="shared" si="1"/>
        <v>100</v>
      </c>
      <c r="V10" s="3208" t="s">
        <v>3032</v>
      </c>
      <c r="W10" s="3209">
        <f t="shared" si="2"/>
        <v>100</v>
      </c>
      <c r="X10" s="3210"/>
      <c r="Y10" s="3800"/>
      <c r="Z10" s="3218" t="str">
        <f t="shared" si="7"/>
        <v>土地使用年限（年）</v>
      </c>
      <c r="AA10" s="3211">
        <f t="shared" si="3"/>
        <v>1</v>
      </c>
      <c r="AB10" s="3211">
        <f t="shared" si="4"/>
        <v>1</v>
      </c>
      <c r="AC10" s="3211">
        <f t="shared" si="5"/>
        <v>1</v>
      </c>
    </row>
    <row r="11" spans="1:29" ht="15">
      <c r="A11" s="3228"/>
      <c r="B11" s="3220" t="s">
        <v>3033</v>
      </c>
      <c r="C11" s="3229">
        <v>1.2</v>
      </c>
      <c r="D11" s="3222">
        <v>100</v>
      </c>
      <c r="E11" s="3230">
        <v>1.2</v>
      </c>
      <c r="F11" s="3463">
        <f>LOOKUP(E11,68:68,69:69)-LOOKUP(C11,68:68,69:69)+100</f>
        <v>100</v>
      </c>
      <c r="G11" s="3229">
        <v>1.2</v>
      </c>
      <c r="H11" s="3222">
        <f>LOOKUP(G11,68:68,69:69)-LOOKUP(C11,68:68,69:69)+100</f>
        <v>100</v>
      </c>
      <c r="I11" s="3229">
        <v>1.7</v>
      </c>
      <c r="J11" s="3222">
        <f>LOOKUP(I11,68:68,69:69)-LOOKUP(C11,68:68,69:69)+100</f>
        <v>100</v>
      </c>
      <c r="K11" s="3464">
        <f>'比较法-洋房'!K11</f>
        <v>2</v>
      </c>
      <c r="L11" s="3231"/>
      <c r="M11" s="3193"/>
      <c r="N11" s="3193"/>
      <c r="O11" s="3193"/>
      <c r="P11" s="3799"/>
      <c r="Q11" s="3217" t="str">
        <f t="shared" si="6"/>
        <v>容积率</v>
      </c>
      <c r="R11" s="3208" t="s">
        <v>3032</v>
      </c>
      <c r="S11" s="3209">
        <f t="shared" si="0"/>
        <v>100</v>
      </c>
      <c r="T11" s="3208" t="s">
        <v>3032</v>
      </c>
      <c r="U11" s="3209">
        <f t="shared" si="1"/>
        <v>100</v>
      </c>
      <c r="V11" s="3208" t="s">
        <v>3032</v>
      </c>
      <c r="W11" s="3209">
        <f t="shared" si="2"/>
        <v>100</v>
      </c>
      <c r="X11" s="3210"/>
      <c r="Y11" s="3800"/>
      <c r="Z11" s="3218" t="str">
        <f t="shared" si="7"/>
        <v>容积率</v>
      </c>
      <c r="AA11" s="3211">
        <f t="shared" si="3"/>
        <v>1</v>
      </c>
      <c r="AB11" s="3211">
        <f t="shared" si="4"/>
        <v>1</v>
      </c>
      <c r="AC11" s="3211">
        <f t="shared" si="5"/>
        <v>1</v>
      </c>
    </row>
    <row r="12" spans="1:29" s="3212" customFormat="1" ht="15">
      <c r="A12" s="3232"/>
      <c r="B12" s="3233">
        <v>111</v>
      </c>
      <c r="C12" s="3221"/>
      <c r="D12" s="3234">
        <v>100</v>
      </c>
      <c r="E12" s="3221"/>
      <c r="F12" s="3463">
        <f>SUMIF(70:70,E12,71:71)-SUMIF(70:70,C12,71:71)+100</f>
        <v>100</v>
      </c>
      <c r="G12" s="3221"/>
      <c r="H12" s="3222">
        <f>SUMIF(70:70,G12,71:71)-SUMIF(70:70,C12,71:71)+100</f>
        <v>100</v>
      </c>
      <c r="I12" s="3221"/>
      <c r="J12" s="3222">
        <f>SUMIF(70:70,I12,71:71)-SUMIF(70:70,C12,71:71)+100</f>
        <v>100</v>
      </c>
      <c r="K12" s="3465"/>
      <c r="L12" s="3206"/>
      <c r="M12" s="3207"/>
      <c r="N12" s="3207"/>
      <c r="O12" s="3207"/>
      <c r="P12" s="3799"/>
      <c r="Q12" s="3217">
        <f t="shared" si="6"/>
        <v>111</v>
      </c>
      <c r="R12" s="3208" t="s">
        <v>3032</v>
      </c>
      <c r="S12" s="3209">
        <f t="shared" si="0"/>
        <v>100</v>
      </c>
      <c r="T12" s="3208" t="s">
        <v>3032</v>
      </c>
      <c r="U12" s="3209">
        <f t="shared" si="1"/>
        <v>100</v>
      </c>
      <c r="V12" s="3208" t="s">
        <v>3032</v>
      </c>
      <c r="W12" s="3209">
        <f t="shared" si="2"/>
        <v>100</v>
      </c>
      <c r="X12" s="3210"/>
      <c r="Y12" s="3800"/>
      <c r="Z12" s="3218">
        <f t="shared" si="7"/>
        <v>111</v>
      </c>
      <c r="AA12" s="3211">
        <f>D12/F12</f>
        <v>1</v>
      </c>
      <c r="AB12" s="3211">
        <f>D12/H12</f>
        <v>1</v>
      </c>
      <c r="AC12" s="3211">
        <f>D12/J12</f>
        <v>1</v>
      </c>
    </row>
    <row r="13" spans="1:29" ht="15">
      <c r="A13" s="3228"/>
      <c r="B13" s="3233">
        <v>111</v>
      </c>
      <c r="C13" s="3235"/>
      <c r="D13" s="3236">
        <v>100</v>
      </c>
      <c r="E13" s="3235"/>
      <c r="F13" s="3463">
        <f>SUMIF(72:72,E13,73:73)-SUMIF(72:72,C13,73:73)+100</f>
        <v>100</v>
      </c>
      <c r="G13" s="3235"/>
      <c r="H13" s="3236">
        <f>SUMIF(72:72,G13,73:73)-SUMIF(72:72,C13,73:73)+100</f>
        <v>100</v>
      </c>
      <c r="I13" s="3235"/>
      <c r="J13" s="3236">
        <f>SUMIF(72:72,I13,73:73)-SUMIF(72:72,C13,73:73)+100</f>
        <v>100</v>
      </c>
      <c r="K13" s="3465"/>
      <c r="L13" s="3238"/>
      <c r="M13" s="3193"/>
      <c r="N13" s="3193"/>
      <c r="O13" s="3193"/>
      <c r="P13" s="3799"/>
      <c r="Q13" s="3217">
        <f t="shared" si="6"/>
        <v>111</v>
      </c>
      <c r="R13" s="3208" t="s">
        <v>3032</v>
      </c>
      <c r="S13" s="3209">
        <f t="shared" si="0"/>
        <v>100</v>
      </c>
      <c r="T13" s="3208" t="s">
        <v>3032</v>
      </c>
      <c r="U13" s="3209">
        <f t="shared" si="1"/>
        <v>100</v>
      </c>
      <c r="V13" s="3208" t="s">
        <v>3032</v>
      </c>
      <c r="W13" s="3209">
        <f t="shared" si="2"/>
        <v>100</v>
      </c>
      <c r="X13" s="3210"/>
      <c r="Y13" s="3800"/>
      <c r="Z13" s="3218">
        <f t="shared" si="7"/>
        <v>111</v>
      </c>
      <c r="AA13" s="3211">
        <f t="shared" si="3"/>
        <v>1</v>
      </c>
      <c r="AB13" s="3211">
        <f t="shared" si="4"/>
        <v>1</v>
      </c>
      <c r="AC13" s="3211">
        <f t="shared" si="5"/>
        <v>1</v>
      </c>
    </row>
    <row r="14" spans="1:29" ht="15.75" thickBot="1">
      <c r="A14" s="3239"/>
      <c r="B14" s="3240">
        <v>111</v>
      </c>
      <c r="C14" s="3241"/>
      <c r="D14" s="3242">
        <v>100</v>
      </c>
      <c r="E14" s="3241"/>
      <c r="F14" s="3466">
        <f>SUMIF(74:74,E14,75:75)-SUMIF(74:74,C14,75:75)+100</f>
        <v>100</v>
      </c>
      <c r="G14" s="3241"/>
      <c r="H14" s="3242">
        <f>SUMIF(74:74,G14,75:75)-SUMIF(74:74,C14,75:75)+100</f>
        <v>100</v>
      </c>
      <c r="I14" s="3241"/>
      <c r="J14" s="3242">
        <f>SUMIF(74:74,I14,75:75)-SUMIF(74:74,C14,75:75)+100</f>
        <v>100</v>
      </c>
      <c r="K14" s="3465"/>
      <c r="L14" s="3238"/>
      <c r="M14" s="3193"/>
      <c r="N14" s="3193"/>
      <c r="O14" s="3193"/>
      <c r="P14" s="3799"/>
      <c r="Q14" s="3217">
        <f t="shared" si="6"/>
        <v>111</v>
      </c>
      <c r="R14" s="3208" t="s">
        <v>3032</v>
      </c>
      <c r="S14" s="3209">
        <f t="shared" si="0"/>
        <v>100</v>
      </c>
      <c r="T14" s="3208" t="s">
        <v>3032</v>
      </c>
      <c r="U14" s="3209">
        <f t="shared" si="1"/>
        <v>100</v>
      </c>
      <c r="V14" s="3208" t="s">
        <v>3032</v>
      </c>
      <c r="W14" s="3209">
        <f t="shared" si="2"/>
        <v>100</v>
      </c>
      <c r="X14" s="3210"/>
      <c r="Y14" s="3800"/>
      <c r="Z14" s="3218">
        <f t="shared" si="7"/>
        <v>111</v>
      </c>
      <c r="AA14" s="3211">
        <f t="shared" si="3"/>
        <v>1</v>
      </c>
      <c r="AB14" s="3211">
        <f t="shared" si="4"/>
        <v>1</v>
      </c>
      <c r="AC14" s="3211">
        <f t="shared" si="5"/>
        <v>1</v>
      </c>
    </row>
    <row r="15" spans="1:29" ht="99.75">
      <c r="A15" s="3243" t="s">
        <v>3034</v>
      </c>
      <c r="B15" s="3244" t="s">
        <v>3035</v>
      </c>
      <c r="C15" s="3245" t="str">
        <f>[1]估价对象房地状况!C3</f>
        <v>估价对象周边居住用地比例、居住小区规模和社区发展完善程度，综合评价居住社区成熟度一般</v>
      </c>
      <c r="D15" s="3246">
        <v>100</v>
      </c>
      <c r="E15" s="3248"/>
      <c r="F15" s="3246">
        <f>SUMIF(76:76,E16,77:77)-SUMIF(76:76,C16,77:77)+100</f>
        <v>100</v>
      </c>
      <c r="G15" s="3247"/>
      <c r="H15" s="3246">
        <f>SUMIF(76:76,G16,77:77)-SUMIF(76:76,C16,77:77)+100</f>
        <v>100</v>
      </c>
      <c r="I15" s="3247"/>
      <c r="J15" s="3246">
        <f>SUMIF(76:76,I16,77:77)-SUMIF(76:76,C16,77:77)+100</f>
        <v>100</v>
      </c>
      <c r="K15" s="3467">
        <f>'比较法-洋房'!K15</f>
        <v>5</v>
      </c>
      <c r="L15" s="3238"/>
      <c r="M15" s="3193"/>
      <c r="N15" s="3193"/>
      <c r="O15" s="3193"/>
      <c r="P15" s="3801" t="s">
        <v>3036</v>
      </c>
      <c r="Q15" s="3249" t="str">
        <f t="shared" si="6"/>
        <v>居住社区成熟度</v>
      </c>
      <c r="R15" s="3250" t="s">
        <v>3032</v>
      </c>
      <c r="S15" s="3251">
        <f t="shared" si="0"/>
        <v>100</v>
      </c>
      <c r="T15" s="3250" t="s">
        <v>3032</v>
      </c>
      <c r="U15" s="3251">
        <f t="shared" si="1"/>
        <v>100</v>
      </c>
      <c r="V15" s="3250" t="s">
        <v>3032</v>
      </c>
      <c r="W15" s="3251">
        <f t="shared" si="2"/>
        <v>100</v>
      </c>
      <c r="X15" s="3194"/>
      <c r="Y15" s="3803" t="s">
        <v>3036</v>
      </c>
      <c r="Z15" s="3252" t="str">
        <f t="shared" si="7"/>
        <v>居住社区成熟度</v>
      </c>
      <c r="AA15" s="3253">
        <f t="shared" si="3"/>
        <v>1</v>
      </c>
      <c r="AB15" s="3253">
        <f t="shared" si="4"/>
        <v>1</v>
      </c>
      <c r="AC15" s="3253">
        <f t="shared" si="5"/>
        <v>1</v>
      </c>
    </row>
    <row r="16" spans="1:29" ht="15">
      <c r="A16" s="3228"/>
      <c r="B16" s="3254"/>
      <c r="C16" s="3255" t="str">
        <f>'[1]土地比较法-住宅、综合'!C16</f>
        <v>较好</v>
      </c>
      <c r="D16" s="3256"/>
      <c r="E16" s="3259" t="s">
        <v>3037</v>
      </c>
      <c r="F16" s="3256"/>
      <c r="G16" s="3257" t="s">
        <v>3037</v>
      </c>
      <c r="H16" s="3258"/>
      <c r="I16" s="3257" t="s">
        <v>3037</v>
      </c>
      <c r="J16" s="3256"/>
      <c r="K16" s="3468"/>
      <c r="L16" s="3238"/>
      <c r="M16" s="3193"/>
      <c r="N16" s="3193"/>
      <c r="O16" s="3193"/>
      <c r="P16" s="3802"/>
      <c r="Q16" s="3249"/>
      <c r="R16" s="3250"/>
      <c r="S16" s="3251"/>
      <c r="T16" s="3250"/>
      <c r="U16" s="3251"/>
      <c r="V16" s="3250"/>
      <c r="W16" s="3251"/>
      <c r="X16" s="3194"/>
      <c r="Y16" s="3804"/>
      <c r="Z16" s="3252"/>
      <c r="AA16" s="3253">
        <v>1</v>
      </c>
      <c r="AB16" s="3253">
        <v>1</v>
      </c>
      <c r="AC16" s="3253">
        <v>1</v>
      </c>
    </row>
    <row r="17" spans="1:29" ht="85.5">
      <c r="A17" s="3228"/>
      <c r="B17" s="3260" t="s">
        <v>3304</v>
      </c>
      <c r="C17" s="3270" t="str">
        <f>[1]估价对象房地状况!C6</f>
        <v>估价对象周边道路状况、公共交通通达情况、停车便捷程度，综合评价交通便捷度较好</v>
      </c>
      <c r="D17" s="3258">
        <v>100</v>
      </c>
      <c r="E17" s="3263"/>
      <c r="F17" s="3258">
        <f>SUMIF(78:78,E18,79:79)-SUMIF(78:78,C18,79:79)+100</f>
        <v>100</v>
      </c>
      <c r="G17" s="3261"/>
      <c r="H17" s="3262">
        <f>SUMIF(78:78,G18,79:79)-SUMIF(78:78,C18,79:79)+100</f>
        <v>100</v>
      </c>
      <c r="I17" s="3261"/>
      <c r="J17" s="3262">
        <f>SUMIF(78:78,I18,79:79)-SUMIF(78:78,C18,79:79)+100</f>
        <v>100</v>
      </c>
      <c r="K17" s="3467">
        <f>'比较法-洋房'!K17</f>
        <v>3</v>
      </c>
      <c r="L17" s="3238"/>
      <c r="M17" s="3193"/>
      <c r="N17" s="3193"/>
      <c r="O17" s="3193"/>
      <c r="P17" s="3802"/>
      <c r="Q17" s="3249" t="str">
        <f>B17</f>
        <v>交通便捷度</v>
      </c>
      <c r="R17" s="3250" t="s">
        <v>3435</v>
      </c>
      <c r="S17" s="3251">
        <f>F17</f>
        <v>100</v>
      </c>
      <c r="T17" s="3250" t="s">
        <v>3435</v>
      </c>
      <c r="U17" s="3251">
        <f>H17</f>
        <v>100</v>
      </c>
      <c r="V17" s="3250" t="s">
        <v>3435</v>
      </c>
      <c r="W17" s="3251">
        <f>J17</f>
        <v>100</v>
      </c>
      <c r="X17" s="3194"/>
      <c r="Y17" s="3804"/>
      <c r="Z17" s="3252" t="str">
        <f>Q17</f>
        <v>交通便捷度</v>
      </c>
      <c r="AA17" s="3253">
        <f t="shared" si="3"/>
        <v>1</v>
      </c>
      <c r="AB17" s="3253">
        <f t="shared" si="4"/>
        <v>1</v>
      </c>
      <c r="AC17" s="3253">
        <f t="shared" si="5"/>
        <v>1</v>
      </c>
    </row>
    <row r="18" spans="1:29" ht="15">
      <c r="A18" s="3228"/>
      <c r="B18" s="3264"/>
      <c r="C18" s="3265" t="str">
        <f>'[1]土地比较法-住宅、综合'!C22</f>
        <v>一般</v>
      </c>
      <c r="D18" s="3258"/>
      <c r="E18" s="3267" t="s">
        <v>3038</v>
      </c>
      <c r="F18" s="3258"/>
      <c r="G18" s="3266" t="s">
        <v>3038</v>
      </c>
      <c r="H18" s="3256"/>
      <c r="I18" s="3266" t="s">
        <v>3038</v>
      </c>
      <c r="J18" s="3256"/>
      <c r="K18" s="3468"/>
      <c r="L18" s="3238"/>
      <c r="M18" s="3193"/>
      <c r="N18" s="3193"/>
      <c r="O18" s="3193"/>
      <c r="P18" s="3802"/>
      <c r="Q18" s="3249"/>
      <c r="R18" s="3250"/>
      <c r="S18" s="3251"/>
      <c r="T18" s="3250"/>
      <c r="U18" s="3251"/>
      <c r="V18" s="3250"/>
      <c r="W18" s="3251"/>
      <c r="X18" s="3194"/>
      <c r="Y18" s="3804"/>
      <c r="Z18" s="3252"/>
      <c r="AA18" s="3253">
        <v>1</v>
      </c>
      <c r="AB18" s="3253">
        <v>1</v>
      </c>
      <c r="AC18" s="3253">
        <v>1</v>
      </c>
    </row>
    <row r="19" spans="1:29" ht="42.75">
      <c r="A19" s="3228"/>
      <c r="B19" s="3260" t="s">
        <v>3444</v>
      </c>
      <c r="C19" s="3270" t="str">
        <f>[1]估价对象房地状况!C7</f>
        <v>估价对象所在区域公共配套设施齐备情况</v>
      </c>
      <c r="D19" s="3262">
        <v>100</v>
      </c>
      <c r="E19" s="3269"/>
      <c r="F19" s="3262">
        <f>SUMIF(80:80,E20,81:81)-SUMIF(80:80,C20,81:81)+100</f>
        <v>100</v>
      </c>
      <c r="G19" s="3268"/>
      <c r="H19" s="3258">
        <f>SUMIF(80:80,G20,81:81)-SUMIF(80:80,C20,81:81)+100</f>
        <v>100</v>
      </c>
      <c r="I19" s="3268"/>
      <c r="J19" s="3258">
        <f>SUMIF(80:80,I20,81:81)-SUMIF(80:80,C20,81:81)+100</f>
        <v>100</v>
      </c>
      <c r="K19" s="3467">
        <f>'比较法-洋房'!K19</f>
        <v>2</v>
      </c>
      <c r="L19" s="3238"/>
      <c r="M19" s="3193"/>
      <c r="N19" s="3193"/>
      <c r="O19" s="3193"/>
      <c r="P19" s="3802"/>
      <c r="Q19" s="3249" t="str">
        <f>B19</f>
        <v>公共配套设施</v>
      </c>
      <c r="R19" s="3250" t="s">
        <v>3435</v>
      </c>
      <c r="S19" s="3251">
        <f>F19</f>
        <v>100</v>
      </c>
      <c r="T19" s="3250" t="s">
        <v>3435</v>
      </c>
      <c r="U19" s="3251">
        <f>H19</f>
        <v>100</v>
      </c>
      <c r="V19" s="3250" t="s">
        <v>3435</v>
      </c>
      <c r="W19" s="3251">
        <f>J19</f>
        <v>100</v>
      </c>
      <c r="X19" s="3194"/>
      <c r="Y19" s="3804"/>
      <c r="Z19" s="3252" t="str">
        <f>Q19</f>
        <v>公共配套设施</v>
      </c>
      <c r="AA19" s="3253">
        <f t="shared" si="3"/>
        <v>1</v>
      </c>
      <c r="AB19" s="3253">
        <f t="shared" si="4"/>
        <v>1</v>
      </c>
      <c r="AC19" s="3253">
        <f t="shared" si="5"/>
        <v>1</v>
      </c>
    </row>
    <row r="20" spans="1:29" ht="15">
      <c r="A20" s="3228"/>
      <c r="B20" s="3264"/>
      <c r="C20" s="3255" t="str">
        <f>'[1]土地比较法-住宅、综合'!C28</f>
        <v>一般</v>
      </c>
      <c r="D20" s="3256"/>
      <c r="E20" s="3259" t="s">
        <v>3038</v>
      </c>
      <c r="F20" s="3256"/>
      <c r="G20" s="3257" t="s">
        <v>3038</v>
      </c>
      <c r="H20" s="3256"/>
      <c r="I20" s="3257" t="s">
        <v>3038</v>
      </c>
      <c r="J20" s="3256"/>
      <c r="K20" s="3468"/>
      <c r="L20" s="3238"/>
      <c r="M20" s="3193"/>
      <c r="N20" s="3193"/>
      <c r="O20" s="3193"/>
      <c r="P20" s="3802"/>
      <c r="Q20" s="3249"/>
      <c r="R20" s="3250"/>
      <c r="S20" s="3251"/>
      <c r="T20" s="3250"/>
      <c r="U20" s="3251"/>
      <c r="V20" s="3250"/>
      <c r="W20" s="3251"/>
      <c r="X20" s="3194"/>
      <c r="Y20" s="3804"/>
      <c r="Z20" s="3252"/>
      <c r="AA20" s="3253">
        <v>1</v>
      </c>
      <c r="AB20" s="3253">
        <v>1</v>
      </c>
      <c r="AC20" s="3253">
        <v>1</v>
      </c>
    </row>
    <row r="21" spans="1:29" ht="28.5">
      <c r="A21" s="3228"/>
      <c r="B21" s="3271" t="s">
        <v>3445</v>
      </c>
      <c r="C21" s="3270" t="str">
        <f>[1]估价对象房地状况!C8</f>
        <v>估价对象所在区域基础设施水平</v>
      </c>
      <c r="D21" s="3258">
        <v>100</v>
      </c>
      <c r="E21" s="3269"/>
      <c r="F21" s="3262">
        <f>SUMIF(82:82,E22,83:83)-SUMIF(82:82,C22,83:83)+100</f>
        <v>100</v>
      </c>
      <c r="G21" s="3268"/>
      <c r="H21" s="3258">
        <f>SUMIF(82:82,G22,83:83)-SUMIF(82:82,C22,83:83)+100</f>
        <v>100</v>
      </c>
      <c r="I21" s="3268"/>
      <c r="J21" s="3258">
        <f>SUMIF(82:82,I22,83:83)-SUMIF(82:82,C22,83:83)+100</f>
        <v>100</v>
      </c>
      <c r="K21" s="3467">
        <f>'比较法-洋房'!K21</f>
        <v>1</v>
      </c>
      <c r="L21" s="3238"/>
      <c r="M21" s="3193"/>
      <c r="N21" s="3193"/>
      <c r="O21" s="3193"/>
      <c r="P21" s="3802"/>
      <c r="Q21" s="3249" t="str">
        <f>B21</f>
        <v>基础设施水平</v>
      </c>
      <c r="R21" s="3250" t="s">
        <v>3446</v>
      </c>
      <c r="S21" s="3251">
        <f>F21</f>
        <v>100</v>
      </c>
      <c r="T21" s="3250" t="s">
        <v>3435</v>
      </c>
      <c r="U21" s="3251">
        <f>H21</f>
        <v>100</v>
      </c>
      <c r="V21" s="3250" t="s">
        <v>3435</v>
      </c>
      <c r="W21" s="3251">
        <f>J21</f>
        <v>100</v>
      </c>
      <c r="X21" s="3194"/>
      <c r="Y21" s="3804"/>
      <c r="Z21" s="3252" t="str">
        <f>Q21</f>
        <v>基础设施水平</v>
      </c>
      <c r="AA21" s="3253">
        <f t="shared" ref="AA21" si="8">D21/F21</f>
        <v>1</v>
      </c>
      <c r="AB21" s="3253">
        <f t="shared" ref="AB21" si="9">D21/H21</f>
        <v>1</v>
      </c>
      <c r="AC21" s="3253">
        <f t="shared" ref="AC21" si="10">D21/J21</f>
        <v>1</v>
      </c>
    </row>
    <row r="22" spans="1:29" ht="15">
      <c r="A22" s="3228"/>
      <c r="B22" s="3271"/>
      <c r="C22" s="3265" t="str">
        <f>'[1]土地比较法-住宅、综合'!C30</f>
        <v>六通</v>
      </c>
      <c r="D22" s="3256"/>
      <c r="E22" s="3255" t="s">
        <v>3040</v>
      </c>
      <c r="F22" s="3256"/>
      <c r="G22" s="3272" t="s">
        <v>3040</v>
      </c>
      <c r="H22" s="3256"/>
      <c r="I22" s="3255" t="s">
        <v>3040</v>
      </c>
      <c r="J22" s="3256"/>
      <c r="K22" s="3469"/>
      <c r="L22" s="3238"/>
      <c r="M22" s="3193"/>
      <c r="N22" s="3193"/>
      <c r="O22" s="3193"/>
      <c r="P22" s="3802"/>
      <c r="Q22" s="3249"/>
      <c r="R22" s="3250"/>
      <c r="S22" s="3251"/>
      <c r="T22" s="3250"/>
      <c r="U22" s="3251"/>
      <c r="V22" s="3250"/>
      <c r="W22" s="3251"/>
      <c r="X22" s="3194"/>
      <c r="Y22" s="3804"/>
      <c r="Z22" s="3252"/>
      <c r="AA22" s="3253">
        <v>1</v>
      </c>
      <c r="AB22" s="3253">
        <v>1</v>
      </c>
      <c r="AC22" s="3253">
        <v>1</v>
      </c>
    </row>
    <row r="23" spans="1:29" ht="57">
      <c r="A23" s="3228"/>
      <c r="B23" s="3260" t="s">
        <v>3308</v>
      </c>
      <c r="C23" s="3270" t="str">
        <f>[1]估价对象房地状况!C9</f>
        <v>区域自然环境：；人文环境；综合评价环境状况一般</v>
      </c>
      <c r="D23" s="3258">
        <v>100</v>
      </c>
      <c r="E23" s="3263"/>
      <c r="F23" s="3258">
        <f>SUMIF(84:84,E24,85:85)-SUMIF(84:84,C24,85:85)+100</f>
        <v>100</v>
      </c>
      <c r="G23" s="3261"/>
      <c r="H23" s="3258">
        <f>SUMIF(84:84,G24,85:85)-SUMIF(84:84,C24,85:85)+100</f>
        <v>100</v>
      </c>
      <c r="I23" s="3261"/>
      <c r="J23" s="3258">
        <f>SUMIF(84:84,I24,85:85)-SUMIF(84:84,C24,85:85)+100</f>
        <v>100</v>
      </c>
      <c r="K23" s="3467">
        <f>'比较法-洋房'!K23</f>
        <v>5</v>
      </c>
      <c r="L23" s="3238"/>
      <c r="M23" s="3193"/>
      <c r="N23" s="3193"/>
      <c r="O23" s="3193"/>
      <c r="P23" s="3802"/>
      <c r="Q23" s="3249" t="str">
        <f>B23</f>
        <v>自然及人文环境</v>
      </c>
      <c r="R23" s="3250" t="s">
        <v>3435</v>
      </c>
      <c r="S23" s="3251">
        <f>F23</f>
        <v>100</v>
      </c>
      <c r="T23" s="3250" t="s">
        <v>3447</v>
      </c>
      <c r="U23" s="3251">
        <f>H23</f>
        <v>100</v>
      </c>
      <c r="V23" s="3250" t="s">
        <v>3447</v>
      </c>
      <c r="W23" s="3251">
        <f>J23</f>
        <v>100</v>
      </c>
      <c r="X23" s="3194"/>
      <c r="Y23" s="3804"/>
      <c r="Z23" s="3252" t="str">
        <f>Q23</f>
        <v>自然及人文环境</v>
      </c>
      <c r="AA23" s="3253">
        <f>D23/F23</f>
        <v>1</v>
      </c>
      <c r="AB23" s="3253">
        <f>D23/H23</f>
        <v>1</v>
      </c>
      <c r="AC23" s="3253">
        <f>D23/J23</f>
        <v>1</v>
      </c>
    </row>
    <row r="24" spans="1:29" ht="15">
      <c r="A24" s="3228"/>
      <c r="B24" s="3264"/>
      <c r="C24" s="3255" t="str">
        <f>'[1]土地比较法-住宅、综合'!C26</f>
        <v>较好</v>
      </c>
      <c r="D24" s="3256"/>
      <c r="E24" s="3259" t="s">
        <v>3037</v>
      </c>
      <c r="F24" s="3256"/>
      <c r="G24" s="3257" t="s">
        <v>3037</v>
      </c>
      <c r="H24" s="3256"/>
      <c r="I24" s="3257" t="s">
        <v>3037</v>
      </c>
      <c r="J24" s="3256"/>
      <c r="K24" s="3468"/>
      <c r="L24" s="3238"/>
      <c r="M24" s="3193"/>
      <c r="N24" s="3193"/>
      <c r="O24" s="3193"/>
      <c r="P24" s="3802"/>
      <c r="Q24" s="3249"/>
      <c r="R24" s="3250"/>
      <c r="S24" s="3251"/>
      <c r="T24" s="3250"/>
      <c r="U24" s="3251"/>
      <c r="V24" s="3250"/>
      <c r="W24" s="3251"/>
      <c r="X24" s="3194"/>
      <c r="Y24" s="3804"/>
      <c r="Z24" s="3252"/>
      <c r="AA24" s="3253">
        <v>1</v>
      </c>
      <c r="AB24" s="3253">
        <v>1</v>
      </c>
      <c r="AC24" s="3253">
        <v>1</v>
      </c>
    </row>
    <row r="25" spans="1:29" ht="15">
      <c r="A25" s="3228"/>
      <c r="B25" s="3220" t="s">
        <v>3448</v>
      </c>
      <c r="C25" s="3470"/>
      <c r="D25" s="3236">
        <v>100</v>
      </c>
      <c r="E25" s="3284"/>
      <c r="F25" s="3236">
        <f>SUMIF(86:86,E25,87:87)-SUMIF(86:86,C25,87:87)+100</f>
        <v>100</v>
      </c>
      <c r="G25" s="3471"/>
      <c r="H25" s="3236">
        <f>SUMIF(86:86,G25,87:87)-SUMIF(86:86,C25,87:87)+100</f>
        <v>100</v>
      </c>
      <c r="I25" s="3471"/>
      <c r="J25" s="3236">
        <f>SUMIF(86:86,I25,87:87)-SUMIF(86:86,C25,87:87)+100</f>
        <v>100</v>
      </c>
      <c r="K25" s="3464"/>
      <c r="L25" s="3238"/>
      <c r="M25" s="3193"/>
      <c r="N25" s="3193"/>
      <c r="O25" s="3193"/>
      <c r="P25" s="3802"/>
      <c r="Q25" s="3249" t="str">
        <f t="shared" ref="Q25:Q46" si="11">B25</f>
        <v>楼层-1</v>
      </c>
      <c r="R25" s="3250" t="s">
        <v>3447</v>
      </c>
      <c r="S25" s="3251">
        <f t="shared" ref="S25:S46" si="12">F25</f>
        <v>100</v>
      </c>
      <c r="T25" s="3250" t="s">
        <v>3447</v>
      </c>
      <c r="U25" s="3251">
        <f t="shared" ref="U25:U46" si="13">H25</f>
        <v>100</v>
      </c>
      <c r="V25" s="3250" t="s">
        <v>3447</v>
      </c>
      <c r="W25" s="3251">
        <f t="shared" ref="W25:W46" si="14">J25</f>
        <v>100</v>
      </c>
      <c r="X25" s="3194"/>
      <c r="Y25" s="3804"/>
      <c r="Z25" s="3252" t="str">
        <f>Q25</f>
        <v>楼层-1</v>
      </c>
      <c r="AA25" s="3253">
        <f t="shared" ref="AA25:AA46" si="15">D25/F25</f>
        <v>1</v>
      </c>
      <c r="AB25" s="3253">
        <f t="shared" ref="AB25:AB46" si="16">D25/H25</f>
        <v>1</v>
      </c>
      <c r="AC25" s="3253">
        <f t="shared" ref="AC25:AC46" si="17">D25/J25</f>
        <v>1</v>
      </c>
    </row>
    <row r="26" spans="1:29" ht="15">
      <c r="A26" s="3228"/>
      <c r="B26" s="3220" t="s">
        <v>3311</v>
      </c>
      <c r="C26" s="3470"/>
      <c r="D26" s="3236">
        <v>100</v>
      </c>
      <c r="E26" s="3284"/>
      <c r="F26" s="3236">
        <f>SUMIF(88:88,E26,89:89)-SUMIF(88:88,C26,89:89)+100</f>
        <v>100</v>
      </c>
      <c r="G26" s="3471"/>
      <c r="H26" s="3236">
        <f>SUMIF(88:88,G26,89:89)-SUMIF(88:88,C26,89:89)+100</f>
        <v>100</v>
      </c>
      <c r="I26" s="3471"/>
      <c r="J26" s="3236">
        <f>SUMIF(88:88,I26,89:89)-SUMIF(88:88,C26,89:89)+100</f>
        <v>100</v>
      </c>
      <c r="K26" s="3464"/>
      <c r="L26" s="3238"/>
      <c r="M26" s="3193"/>
      <c r="N26" s="3193"/>
      <c r="O26" s="3193"/>
      <c r="P26" s="3802"/>
      <c r="Q26" s="3249" t="str">
        <f t="shared" si="11"/>
        <v>朝向</v>
      </c>
      <c r="R26" s="3250" t="s">
        <v>3032</v>
      </c>
      <c r="S26" s="3251">
        <f t="shared" si="12"/>
        <v>100</v>
      </c>
      <c r="T26" s="3250" t="s">
        <v>3032</v>
      </c>
      <c r="U26" s="3251">
        <f t="shared" si="13"/>
        <v>100</v>
      </c>
      <c r="V26" s="3250" t="s">
        <v>3032</v>
      </c>
      <c r="W26" s="3251">
        <f t="shared" si="14"/>
        <v>100</v>
      </c>
      <c r="X26" s="3194"/>
      <c r="Y26" s="3804"/>
      <c r="Z26" s="3252" t="str">
        <f>Q26</f>
        <v>朝向</v>
      </c>
      <c r="AA26" s="3253">
        <f t="shared" si="15"/>
        <v>1</v>
      </c>
      <c r="AB26" s="3253">
        <f t="shared" si="16"/>
        <v>1</v>
      </c>
      <c r="AC26" s="3253">
        <f t="shared" si="17"/>
        <v>1</v>
      </c>
    </row>
    <row r="27" spans="1:29" s="3212" customFormat="1" ht="15">
      <c r="A27" s="3232"/>
      <c r="B27" s="3273">
        <v>111</v>
      </c>
      <c r="C27" s="3221"/>
      <c r="D27" s="3472">
        <v>100</v>
      </c>
      <c r="E27" s="3223"/>
      <c r="F27" s="3472">
        <f>SUMIF(90:90,E27,91:91)-SUMIF(90:90,C27,91:91)+100</f>
        <v>100</v>
      </c>
      <c r="G27" s="3224"/>
      <c r="H27" s="3472">
        <f>SUMIF(90:90,G27,91:91)-SUMIF(90:90,C27,91:91)+100</f>
        <v>100</v>
      </c>
      <c r="I27" s="3224"/>
      <c r="J27" s="3472">
        <f>SUMIF(90:90,I27,91:91)-SUMIF(90:90,C27,91:91)+100</f>
        <v>100</v>
      </c>
      <c r="K27" s="3465"/>
      <c r="L27" s="3206"/>
      <c r="M27" s="3207"/>
      <c r="N27" s="3207"/>
      <c r="O27" s="3207"/>
      <c r="P27" s="3802"/>
      <c r="Q27" s="3217">
        <f t="shared" si="11"/>
        <v>111</v>
      </c>
      <c r="R27" s="3208" t="s">
        <v>3032</v>
      </c>
      <c r="S27" s="3209">
        <f t="shared" si="12"/>
        <v>100</v>
      </c>
      <c r="T27" s="3208" t="s">
        <v>3032</v>
      </c>
      <c r="U27" s="3209">
        <f t="shared" si="13"/>
        <v>100</v>
      </c>
      <c r="V27" s="3208" t="s">
        <v>3032</v>
      </c>
      <c r="W27" s="3209">
        <f t="shared" si="14"/>
        <v>100</v>
      </c>
      <c r="X27" s="3210"/>
      <c r="Y27" s="3804"/>
      <c r="Z27" s="3218">
        <f>Q27</f>
        <v>111</v>
      </c>
      <c r="AA27" s="3253">
        <f t="shared" si="15"/>
        <v>1</v>
      </c>
      <c r="AB27" s="3253">
        <f t="shared" si="16"/>
        <v>1</v>
      </c>
      <c r="AC27" s="3253">
        <f t="shared" si="17"/>
        <v>1</v>
      </c>
    </row>
    <row r="28" spans="1:29" ht="15">
      <c r="A28" s="3228"/>
      <c r="B28" s="3273">
        <v>111</v>
      </c>
      <c r="C28" s="3235"/>
      <c r="D28" s="3236">
        <v>100</v>
      </c>
      <c r="E28" s="3235"/>
      <c r="F28" s="3236">
        <f>SUMIF(92:92,E28,93:93)-SUMIF(92:92,C28,93:93)+100</f>
        <v>100</v>
      </c>
      <c r="G28" s="3473"/>
      <c r="H28" s="3236">
        <f>SUMIF(92:92,G28,93:93)-SUMIF(92:92,C28,93:93)+100</f>
        <v>100</v>
      </c>
      <c r="I28" s="3235"/>
      <c r="J28" s="3236">
        <f>SUMIF(92:92,I28,93:93)-SUMIF(92:92,C28,93:93)+100</f>
        <v>100</v>
      </c>
      <c r="K28" s="3465"/>
      <c r="L28" s="3238"/>
      <c r="M28" s="3193"/>
      <c r="N28" s="3193"/>
      <c r="O28" s="3193"/>
      <c r="P28" s="3802"/>
      <c r="Q28" s="3249">
        <f t="shared" si="11"/>
        <v>111</v>
      </c>
      <c r="R28" s="3250" t="s">
        <v>3032</v>
      </c>
      <c r="S28" s="3251">
        <f t="shared" si="12"/>
        <v>100</v>
      </c>
      <c r="T28" s="3250" t="s">
        <v>3032</v>
      </c>
      <c r="U28" s="3251">
        <f t="shared" si="13"/>
        <v>100</v>
      </c>
      <c r="V28" s="3250" t="s">
        <v>3032</v>
      </c>
      <c r="W28" s="3251">
        <f t="shared" si="14"/>
        <v>100</v>
      </c>
      <c r="X28" s="3194"/>
      <c r="Y28" s="3804"/>
      <c r="Z28" s="3252">
        <f t="shared" ref="Z28:Z46" si="18">Q28</f>
        <v>111</v>
      </c>
      <c r="AA28" s="3253">
        <f t="shared" si="15"/>
        <v>1</v>
      </c>
      <c r="AB28" s="3253">
        <f t="shared" si="16"/>
        <v>1</v>
      </c>
      <c r="AC28" s="3253">
        <f t="shared" si="17"/>
        <v>1</v>
      </c>
    </row>
    <row r="29" spans="1:29" ht="15">
      <c r="A29" s="3228"/>
      <c r="B29" s="3273">
        <v>111</v>
      </c>
      <c r="C29" s="3235"/>
      <c r="D29" s="3236">
        <v>100</v>
      </c>
      <c r="E29" s="3235"/>
      <c r="F29" s="3236">
        <f>SUMIF(94:94,E29,95:95)-SUMIF(94:94,C29,95:95)+100</f>
        <v>100</v>
      </c>
      <c r="G29" s="3473"/>
      <c r="H29" s="3236">
        <f>SUMIF(94:94,G29,95:95)-SUMIF(94:94,C29,95:95)+100</f>
        <v>100</v>
      </c>
      <c r="I29" s="3235"/>
      <c r="J29" s="3236">
        <f>SUMIF(94:94,I29,95:95)-SUMIF(94:94,C29,95:95)+100</f>
        <v>100</v>
      </c>
      <c r="K29" s="3465"/>
      <c r="L29" s="3238"/>
      <c r="M29" s="3193"/>
      <c r="N29" s="3193"/>
      <c r="O29" s="3193"/>
      <c r="P29" s="3802"/>
      <c r="Q29" s="3249">
        <f t="shared" si="11"/>
        <v>111</v>
      </c>
      <c r="R29" s="3250" t="s">
        <v>3032</v>
      </c>
      <c r="S29" s="3251">
        <f t="shared" si="12"/>
        <v>100</v>
      </c>
      <c r="T29" s="3250" t="s">
        <v>3032</v>
      </c>
      <c r="U29" s="3251">
        <f t="shared" si="13"/>
        <v>100</v>
      </c>
      <c r="V29" s="3250" t="s">
        <v>3032</v>
      </c>
      <c r="W29" s="3251">
        <f t="shared" si="14"/>
        <v>100</v>
      </c>
      <c r="X29" s="3194"/>
      <c r="Y29" s="3804"/>
      <c r="Z29" s="3252">
        <f t="shared" si="18"/>
        <v>111</v>
      </c>
      <c r="AA29" s="3253">
        <f t="shared" si="15"/>
        <v>1</v>
      </c>
      <c r="AB29" s="3253">
        <f t="shared" si="16"/>
        <v>1</v>
      </c>
      <c r="AC29" s="3253">
        <f t="shared" si="17"/>
        <v>1</v>
      </c>
    </row>
    <row r="30" spans="1:29" ht="15">
      <c r="A30" s="3228"/>
      <c r="B30" s="3273">
        <v>111</v>
      </c>
      <c r="C30" s="3235"/>
      <c r="D30" s="3236">
        <v>100</v>
      </c>
      <c r="E30" s="3235"/>
      <c r="F30" s="3236">
        <f>SUMIF(96:96,E30,97:97)-SUMIF(96:96,C30,97:97)+100</f>
        <v>100</v>
      </c>
      <c r="G30" s="3473"/>
      <c r="H30" s="3236">
        <f>SUMIF(96:96,G30,97:97)-SUMIF(96:96,C30,97:97)+100</f>
        <v>100</v>
      </c>
      <c r="I30" s="3235"/>
      <c r="J30" s="3236">
        <f>SUMIF(96:96,I30,97:97)-SUMIF(96:96,C30,97:97)+100</f>
        <v>100</v>
      </c>
      <c r="K30" s="3465"/>
      <c r="L30" s="3238"/>
      <c r="M30" s="3193"/>
      <c r="N30" s="3193"/>
      <c r="O30" s="3193"/>
      <c r="P30" s="3802"/>
      <c r="Q30" s="3249">
        <f t="shared" si="11"/>
        <v>111</v>
      </c>
      <c r="R30" s="3250" t="s">
        <v>3032</v>
      </c>
      <c r="S30" s="3251">
        <f t="shared" si="12"/>
        <v>100</v>
      </c>
      <c r="T30" s="3250" t="s">
        <v>3032</v>
      </c>
      <c r="U30" s="3251">
        <f t="shared" si="13"/>
        <v>100</v>
      </c>
      <c r="V30" s="3250" t="s">
        <v>3032</v>
      </c>
      <c r="W30" s="3251">
        <f t="shared" si="14"/>
        <v>100</v>
      </c>
      <c r="X30" s="3194"/>
      <c r="Y30" s="3804"/>
      <c r="Z30" s="3252">
        <f t="shared" si="18"/>
        <v>111</v>
      </c>
      <c r="AA30" s="3253">
        <f t="shared" si="15"/>
        <v>1</v>
      </c>
      <c r="AB30" s="3253">
        <f t="shared" si="16"/>
        <v>1</v>
      </c>
      <c r="AC30" s="3253">
        <f t="shared" si="17"/>
        <v>1</v>
      </c>
    </row>
    <row r="31" spans="1:29" ht="15.75" thickBot="1">
      <c r="A31" s="3239"/>
      <c r="B31" s="3273">
        <v>111</v>
      </c>
      <c r="C31" s="3241"/>
      <c r="D31" s="3242">
        <v>100</v>
      </c>
      <c r="E31" s="3241"/>
      <c r="F31" s="3242">
        <f>SUMIF(98:98,E31,99:99)-SUMIF(98:98,C31,99:99)+100</f>
        <v>100</v>
      </c>
      <c r="G31" s="3474"/>
      <c r="H31" s="3242">
        <f>SUMIF(98:98,G31,99:99)-SUMIF(98:98,C31,99:99)+100</f>
        <v>100</v>
      </c>
      <c r="I31" s="3241"/>
      <c r="J31" s="3242">
        <f>SUMIF(98:98,I31,99:99)-SUMIF(98:98,C31,99:99)+100</f>
        <v>100</v>
      </c>
      <c r="K31" s="3465"/>
      <c r="L31" s="3238"/>
      <c r="M31" s="3193"/>
      <c r="N31" s="3193"/>
      <c r="O31" s="3193"/>
      <c r="P31" s="3802"/>
      <c r="Q31" s="3249">
        <f t="shared" si="11"/>
        <v>111</v>
      </c>
      <c r="R31" s="3250" t="s">
        <v>3032</v>
      </c>
      <c r="S31" s="3251">
        <f t="shared" si="12"/>
        <v>100</v>
      </c>
      <c r="T31" s="3250" t="s">
        <v>3032</v>
      </c>
      <c r="U31" s="3251">
        <f t="shared" si="13"/>
        <v>100</v>
      </c>
      <c r="V31" s="3250" t="s">
        <v>3032</v>
      </c>
      <c r="W31" s="3251">
        <f t="shared" si="14"/>
        <v>100</v>
      </c>
      <c r="X31" s="3194"/>
      <c r="Y31" s="3804"/>
      <c r="Z31" s="3252">
        <f t="shared" si="18"/>
        <v>111</v>
      </c>
      <c r="AA31" s="3253">
        <f t="shared" si="15"/>
        <v>1</v>
      </c>
      <c r="AB31" s="3253">
        <f t="shared" si="16"/>
        <v>1</v>
      </c>
      <c r="AC31" s="3253">
        <f t="shared" si="17"/>
        <v>1</v>
      </c>
    </row>
    <row r="32" spans="1:29" ht="15">
      <c r="A32" s="3243" t="s">
        <v>3313</v>
      </c>
      <c r="B32" s="3215" t="s">
        <v>3314</v>
      </c>
      <c r="C32" s="3475" t="s">
        <v>3418</v>
      </c>
      <c r="D32" s="3282">
        <v>100</v>
      </c>
      <c r="E32" s="3476" t="s">
        <v>3538</v>
      </c>
      <c r="F32" s="3477">
        <f>SUMIF(100:100,E32,101:101)-SUMIF(100:100,C32,101:101)+100</f>
        <v>110</v>
      </c>
      <c r="G32" s="3475" t="s">
        <v>3538</v>
      </c>
      <c r="H32" s="3282">
        <f>SUMIF(100:100,G32,101:101)-SUMIF(100:100,C32,101:101)+100</f>
        <v>110</v>
      </c>
      <c r="I32" s="3476" t="s">
        <v>3538</v>
      </c>
      <c r="J32" s="3236">
        <f>SUMIF(100:100,I32,101:101)-SUMIF(100:100,C32,101:101)+100</f>
        <v>110</v>
      </c>
      <c r="K32" s="3464">
        <v>10</v>
      </c>
      <c r="L32" s="3238"/>
      <c r="M32" s="3193"/>
      <c r="N32" s="3193"/>
      <c r="O32" s="3193"/>
      <c r="P32" s="3805" t="s">
        <v>3315</v>
      </c>
      <c r="Q32" s="3249" t="str">
        <f t="shared" si="11"/>
        <v>建筑类型</v>
      </c>
      <c r="R32" s="3250" t="s">
        <v>3032</v>
      </c>
      <c r="S32" s="3251">
        <f t="shared" si="12"/>
        <v>110</v>
      </c>
      <c r="T32" s="3250" t="s">
        <v>3032</v>
      </c>
      <c r="U32" s="3251">
        <f t="shared" si="13"/>
        <v>110</v>
      </c>
      <c r="V32" s="3250" t="s">
        <v>3032</v>
      </c>
      <c r="W32" s="3251">
        <f t="shared" si="14"/>
        <v>110</v>
      </c>
      <c r="X32" s="3194"/>
      <c r="Y32" s="3808" t="s">
        <v>3315</v>
      </c>
      <c r="Z32" s="3252" t="str">
        <f t="shared" si="18"/>
        <v>建筑类型</v>
      </c>
      <c r="AA32" s="3253">
        <f t="shared" si="15"/>
        <v>0.90909090909090906</v>
      </c>
      <c r="AB32" s="3253">
        <f t="shared" si="16"/>
        <v>0.90909090909090906</v>
      </c>
      <c r="AC32" s="3253">
        <f t="shared" si="17"/>
        <v>0.90909090909090906</v>
      </c>
    </row>
    <row r="33" spans="1:29" s="3280" customFormat="1" ht="15">
      <c r="A33" s="3286"/>
      <c r="B33" s="3220" t="s">
        <v>3316</v>
      </c>
      <c r="C33" s="3478">
        <f>面积表!E16</f>
        <v>36240.31</v>
      </c>
      <c r="D33" s="3222">
        <v>100</v>
      </c>
      <c r="E33" s="3230">
        <v>50000</v>
      </c>
      <c r="F33" s="3463">
        <f>LOOKUP(E33,103:103,104:104)-LOOKUP(C33,103:103,104:104)+100</f>
        <v>101</v>
      </c>
      <c r="G33" s="3229">
        <v>99833</v>
      </c>
      <c r="H33" s="3222">
        <f>LOOKUP(G33,103:103,104:104)-LOOKUP(C33,103:103,104:104)+100</f>
        <v>102</v>
      </c>
      <c r="I33" s="3573">
        <v>121982</v>
      </c>
      <c r="J33" s="3222">
        <f>LOOKUP(I33,103:103,104:104)-LOOKUP(C33,103:103,104:104)+100</f>
        <v>103</v>
      </c>
      <c r="K33" s="3465"/>
      <c r="L33" s="3231"/>
      <c r="M33" s="3275"/>
      <c r="N33" s="3275"/>
      <c r="O33" s="3275"/>
      <c r="P33" s="3806"/>
      <c r="Q33" s="3479" t="str">
        <f t="shared" si="11"/>
        <v>项目建筑规模</v>
      </c>
      <c r="R33" s="3276" t="s">
        <v>3032</v>
      </c>
      <c r="S33" s="3277">
        <f t="shared" si="12"/>
        <v>101</v>
      </c>
      <c r="T33" s="3276" t="s">
        <v>3032</v>
      </c>
      <c r="U33" s="3277">
        <f t="shared" si="13"/>
        <v>102</v>
      </c>
      <c r="V33" s="3276" t="s">
        <v>3032</v>
      </c>
      <c r="W33" s="3277">
        <f t="shared" si="14"/>
        <v>103</v>
      </c>
      <c r="X33" s="3278"/>
      <c r="Y33" s="3808"/>
      <c r="Z33" s="3279" t="str">
        <f t="shared" si="18"/>
        <v>项目建筑规模</v>
      </c>
      <c r="AA33" s="3253">
        <f t="shared" si="15"/>
        <v>0.99009900990099009</v>
      </c>
      <c r="AB33" s="3253">
        <f t="shared" si="16"/>
        <v>0.98039215686274506</v>
      </c>
      <c r="AC33" s="3253">
        <f t="shared" si="17"/>
        <v>0.970873786407767</v>
      </c>
    </row>
    <row r="34" spans="1:29" ht="15">
      <c r="A34" s="3281"/>
      <c r="B34" s="3220" t="s">
        <v>3317</v>
      </c>
      <c r="C34" s="3480" t="s">
        <v>3318</v>
      </c>
      <c r="D34" s="3236">
        <v>100</v>
      </c>
      <c r="E34" s="3481" t="s">
        <v>3318</v>
      </c>
      <c r="F34" s="3477">
        <f>SUMIF(105:105,E34,106:106)-SUMIF(105:105,C34,106:106)+100</f>
        <v>100</v>
      </c>
      <c r="G34" s="3480" t="s">
        <v>3318</v>
      </c>
      <c r="H34" s="3236">
        <f>SUMIF(105:105,G34,106:106)-SUMIF(105:105,C34,106:106)+100</f>
        <v>100</v>
      </c>
      <c r="I34" s="3481" t="s">
        <v>3318</v>
      </c>
      <c r="J34" s="3236">
        <f>SUMIF(105:105,I34,106:106)-SUMIF(105:105,C34,106:106)+100</f>
        <v>100</v>
      </c>
      <c r="K34" s="3464">
        <f>'比较法-洋房'!K34</f>
        <v>1</v>
      </c>
      <c r="L34" s="3238"/>
      <c r="M34" s="3193"/>
      <c r="N34" s="3193"/>
      <c r="O34" s="3193"/>
      <c r="P34" s="3806"/>
      <c r="Q34" s="3249" t="str">
        <f t="shared" si="11"/>
        <v>建筑结构</v>
      </c>
      <c r="R34" s="3250" t="s">
        <v>3032</v>
      </c>
      <c r="S34" s="3251">
        <f t="shared" si="12"/>
        <v>100</v>
      </c>
      <c r="T34" s="3250" t="s">
        <v>3032</v>
      </c>
      <c r="U34" s="3251">
        <f t="shared" si="13"/>
        <v>100</v>
      </c>
      <c r="V34" s="3250" t="s">
        <v>3032</v>
      </c>
      <c r="W34" s="3251">
        <f t="shared" si="14"/>
        <v>100</v>
      </c>
      <c r="X34" s="3194"/>
      <c r="Y34" s="3808"/>
      <c r="Z34" s="3252" t="str">
        <f t="shared" si="18"/>
        <v>建筑结构</v>
      </c>
      <c r="AA34" s="3253">
        <f t="shared" si="15"/>
        <v>1</v>
      </c>
      <c r="AB34" s="3253">
        <f t="shared" si="16"/>
        <v>1</v>
      </c>
      <c r="AC34" s="3253">
        <f t="shared" si="17"/>
        <v>1</v>
      </c>
    </row>
    <row r="35" spans="1:29" ht="15">
      <c r="A35" s="3281"/>
      <c r="B35" s="3220" t="s">
        <v>3319</v>
      </c>
      <c r="C35" s="3284" t="s">
        <v>3039</v>
      </c>
      <c r="D35" s="3236">
        <v>100</v>
      </c>
      <c r="E35" s="3471" t="s">
        <v>3039</v>
      </c>
      <c r="F35" s="3477">
        <f>SUMIF(107:107,E35,108:108)-SUMIF(107:107,C35,108:108)+100</f>
        <v>100</v>
      </c>
      <c r="G35" s="3284" t="s">
        <v>3039</v>
      </c>
      <c r="H35" s="3236">
        <f>SUMIF(107:107,G35,108:108)-SUMIF(107:107,C35,108:108)+100</f>
        <v>100</v>
      </c>
      <c r="I35" s="3471" t="s">
        <v>3039</v>
      </c>
      <c r="J35" s="3236">
        <f>SUMIF(107:107,I35,108:108)-SUMIF(107:107,C35,108:108)+100</f>
        <v>100</v>
      </c>
      <c r="K35" s="3464">
        <f>'比较法-洋房'!K35</f>
        <v>2</v>
      </c>
      <c r="L35" s="3238"/>
      <c r="M35" s="3193"/>
      <c r="N35" s="3193"/>
      <c r="O35" s="3193"/>
      <c r="P35" s="3806"/>
      <c r="Q35" s="3249" t="str">
        <f t="shared" si="11"/>
        <v>建筑品质</v>
      </c>
      <c r="R35" s="3250" t="s">
        <v>3435</v>
      </c>
      <c r="S35" s="3251">
        <f t="shared" si="12"/>
        <v>100</v>
      </c>
      <c r="T35" s="3250" t="s">
        <v>3435</v>
      </c>
      <c r="U35" s="3251">
        <f t="shared" si="13"/>
        <v>100</v>
      </c>
      <c r="V35" s="3250" t="s">
        <v>3435</v>
      </c>
      <c r="W35" s="3251">
        <f t="shared" si="14"/>
        <v>100</v>
      </c>
      <c r="X35" s="3194"/>
      <c r="Y35" s="3808"/>
      <c r="Z35" s="3252" t="str">
        <f t="shared" si="18"/>
        <v>建筑品质</v>
      </c>
      <c r="AA35" s="3253">
        <f t="shared" si="15"/>
        <v>1</v>
      </c>
      <c r="AB35" s="3253">
        <f t="shared" si="16"/>
        <v>1</v>
      </c>
      <c r="AC35" s="3253">
        <f t="shared" si="17"/>
        <v>1</v>
      </c>
    </row>
    <row r="36" spans="1:29" ht="15">
      <c r="A36" s="3281"/>
      <c r="B36" s="3220" t="s">
        <v>3320</v>
      </c>
      <c r="C36" s="3284" t="s">
        <v>3321</v>
      </c>
      <c r="D36" s="3236">
        <v>100</v>
      </c>
      <c r="E36" s="3471" t="s">
        <v>3321</v>
      </c>
      <c r="F36" s="3477">
        <f>SUMIF(109:109,E36,110:110)-SUMIF(109:109,C36,110:110)+100</f>
        <v>100</v>
      </c>
      <c r="G36" s="3284" t="s">
        <v>3321</v>
      </c>
      <c r="H36" s="3236">
        <f>SUMIF(109:109,G36,110:110)-SUMIF(109:109,C36,110:110)+100</f>
        <v>100</v>
      </c>
      <c r="I36" s="3471" t="s">
        <v>3321</v>
      </c>
      <c r="J36" s="3236">
        <f>SUMIF(109:109,I36,110:110)-SUMIF(109:109,C36,110:110)+100</f>
        <v>100</v>
      </c>
      <c r="K36" s="3464">
        <f>'比较法-洋房'!K36</f>
        <v>1</v>
      </c>
      <c r="L36" s="3238"/>
      <c r="M36" s="3193"/>
      <c r="N36" s="3193"/>
      <c r="O36" s="3193"/>
      <c r="P36" s="3806"/>
      <c r="Q36" s="3249" t="str">
        <f t="shared" si="11"/>
        <v>公共部分装修</v>
      </c>
      <c r="R36" s="3250" t="s">
        <v>3032</v>
      </c>
      <c r="S36" s="3251">
        <f t="shared" si="12"/>
        <v>100</v>
      </c>
      <c r="T36" s="3250" t="s">
        <v>3032</v>
      </c>
      <c r="U36" s="3251">
        <f t="shared" si="13"/>
        <v>100</v>
      </c>
      <c r="V36" s="3250" t="s">
        <v>3032</v>
      </c>
      <c r="W36" s="3251">
        <f t="shared" si="14"/>
        <v>100</v>
      </c>
      <c r="X36" s="3194"/>
      <c r="Y36" s="3808"/>
      <c r="Z36" s="3252" t="str">
        <f t="shared" si="18"/>
        <v>公共部分装修</v>
      </c>
      <c r="AA36" s="3253">
        <f t="shared" si="15"/>
        <v>1</v>
      </c>
      <c r="AB36" s="3253">
        <f t="shared" si="16"/>
        <v>1</v>
      </c>
      <c r="AC36" s="3253">
        <f t="shared" si="17"/>
        <v>1</v>
      </c>
    </row>
    <row r="37" spans="1:29" s="3212" customFormat="1" ht="15">
      <c r="A37" s="3285"/>
      <c r="B37" s="3220" t="s">
        <v>3322</v>
      </c>
      <c r="C37" s="3482">
        <v>1</v>
      </c>
      <c r="D37" s="3222">
        <v>100</v>
      </c>
      <c r="E37" s="3482">
        <v>1</v>
      </c>
      <c r="F37" s="3463">
        <f>LOOKUP(E37,112:112,113:113)-LOOKUP(C37,112:112,113:113)+100</f>
        <v>100</v>
      </c>
      <c r="G37" s="3483">
        <v>1</v>
      </c>
      <c r="H37" s="3222">
        <f>LOOKUP(G37,112:112,113:113)-LOOKUP(C37,112:112,113:113)+100</f>
        <v>100</v>
      </c>
      <c r="I37" s="3484">
        <v>1</v>
      </c>
      <c r="J37" s="3222">
        <f>LOOKUP(I37,112:112,113:113)-LOOKUP(C37,112:112,113:113)+100</f>
        <v>100</v>
      </c>
      <c r="K37" s="3464">
        <f>'比较法-洋房'!K37</f>
        <v>1</v>
      </c>
      <c r="L37" s="3206"/>
      <c r="M37" s="3207"/>
      <c r="N37" s="3207"/>
      <c r="O37" s="3207"/>
      <c r="P37" s="3806"/>
      <c r="Q37" s="3217" t="str">
        <f t="shared" si="11"/>
        <v>成新度</v>
      </c>
      <c r="R37" s="3208" t="s">
        <v>3032</v>
      </c>
      <c r="S37" s="3209">
        <f t="shared" si="12"/>
        <v>100</v>
      </c>
      <c r="T37" s="3208" t="s">
        <v>3032</v>
      </c>
      <c r="U37" s="3209">
        <f t="shared" si="13"/>
        <v>100</v>
      </c>
      <c r="V37" s="3208" t="s">
        <v>3032</v>
      </c>
      <c r="W37" s="3209">
        <f t="shared" si="14"/>
        <v>100</v>
      </c>
      <c r="X37" s="3210"/>
      <c r="Y37" s="3808"/>
      <c r="Z37" s="3218" t="str">
        <f t="shared" si="18"/>
        <v>成新度</v>
      </c>
      <c r="AA37" s="3211">
        <f t="shared" si="15"/>
        <v>1</v>
      </c>
      <c r="AB37" s="3211">
        <f t="shared" si="16"/>
        <v>1</v>
      </c>
      <c r="AC37" s="3211">
        <f t="shared" si="17"/>
        <v>1</v>
      </c>
    </row>
    <row r="38" spans="1:29" ht="15">
      <c r="A38" s="3281"/>
      <c r="B38" s="3220" t="s">
        <v>3323</v>
      </c>
      <c r="C38" s="3284" t="s">
        <v>3324</v>
      </c>
      <c r="D38" s="3236">
        <v>100</v>
      </c>
      <c r="E38" s="3471" t="s">
        <v>3324</v>
      </c>
      <c r="F38" s="3477">
        <f>SUMIF(114:114,E38,115:115)-SUMIF(114:114,C38,115:115)+100</f>
        <v>100</v>
      </c>
      <c r="G38" s="3284" t="s">
        <v>3324</v>
      </c>
      <c r="H38" s="3236">
        <f>SUMIF(114:114,G38,115:115)-SUMIF(114:114,C38,115:115)+100</f>
        <v>100</v>
      </c>
      <c r="I38" s="3471" t="s">
        <v>3324</v>
      </c>
      <c r="J38" s="3236">
        <f>SUMIF(114:114,I38,115:115)-SUMIF(114:114,C38,115:115)+100</f>
        <v>100</v>
      </c>
      <c r="K38" s="3464">
        <f>'比较法-洋房'!K38</f>
        <v>1</v>
      </c>
      <c r="L38" s="3238"/>
      <c r="M38" s="3193"/>
      <c r="N38" s="3193"/>
      <c r="O38" s="3193"/>
      <c r="P38" s="3806" t="s">
        <v>3315</v>
      </c>
      <c r="Q38" s="3249" t="str">
        <f t="shared" si="11"/>
        <v>物业管理</v>
      </c>
      <c r="R38" s="3250" t="s">
        <v>3032</v>
      </c>
      <c r="S38" s="3251">
        <f t="shared" si="12"/>
        <v>100</v>
      </c>
      <c r="T38" s="3250" t="s">
        <v>3032</v>
      </c>
      <c r="U38" s="3251">
        <f t="shared" si="13"/>
        <v>100</v>
      </c>
      <c r="V38" s="3250" t="s">
        <v>3032</v>
      </c>
      <c r="W38" s="3251">
        <f t="shared" si="14"/>
        <v>100</v>
      </c>
      <c r="X38" s="3194"/>
      <c r="Y38" s="3808" t="s">
        <v>3315</v>
      </c>
      <c r="Z38" s="3252" t="str">
        <f t="shared" si="18"/>
        <v>物业管理</v>
      </c>
      <c r="AA38" s="3253">
        <f t="shared" si="15"/>
        <v>1</v>
      </c>
      <c r="AB38" s="3253">
        <f t="shared" si="16"/>
        <v>1</v>
      </c>
      <c r="AC38" s="3253">
        <f t="shared" si="17"/>
        <v>1</v>
      </c>
    </row>
    <row r="39" spans="1:29" ht="15">
      <c r="A39" s="3281"/>
      <c r="B39" s="3220" t="s">
        <v>3326</v>
      </c>
      <c r="C39" s="3284" t="s">
        <v>3040</v>
      </c>
      <c r="D39" s="3236">
        <v>100</v>
      </c>
      <c r="E39" s="3471" t="s">
        <v>3040</v>
      </c>
      <c r="F39" s="3477">
        <f>SUMIF(116:116,E39,117:117)-SUMIF(116:116,C39,117:117)+100</f>
        <v>100</v>
      </c>
      <c r="G39" s="3284" t="s">
        <v>3040</v>
      </c>
      <c r="H39" s="3236">
        <f>SUMIF(116:116,G39,117:117)-SUMIF(116:116,C39,117:117)+100</f>
        <v>100</v>
      </c>
      <c r="I39" s="3471" t="s">
        <v>3040</v>
      </c>
      <c r="J39" s="3236">
        <f>SUMIF(116:116,I39,117:117)-SUMIF(116:116,C39,117:117)+100</f>
        <v>100</v>
      </c>
      <c r="K39" s="3464">
        <f>'比较法-洋房'!K39</f>
        <v>1</v>
      </c>
      <c r="L39" s="3238"/>
      <c r="M39" s="3193"/>
      <c r="N39" s="3193"/>
      <c r="O39" s="3193"/>
      <c r="P39" s="3806"/>
      <c r="Q39" s="3249" t="str">
        <f t="shared" si="11"/>
        <v>市政基础设施</v>
      </c>
      <c r="R39" s="3250" t="s">
        <v>3435</v>
      </c>
      <c r="S39" s="3251">
        <f t="shared" si="12"/>
        <v>100</v>
      </c>
      <c r="T39" s="3250" t="s">
        <v>3435</v>
      </c>
      <c r="U39" s="3251">
        <f t="shared" si="13"/>
        <v>100</v>
      </c>
      <c r="V39" s="3250" t="s">
        <v>3435</v>
      </c>
      <c r="W39" s="3251">
        <f t="shared" si="14"/>
        <v>100</v>
      </c>
      <c r="X39" s="3194"/>
      <c r="Y39" s="3808"/>
      <c r="Z39" s="3252" t="str">
        <f t="shared" si="18"/>
        <v>市政基础设施</v>
      </c>
      <c r="AA39" s="3253">
        <f t="shared" si="15"/>
        <v>1</v>
      </c>
      <c r="AB39" s="3253">
        <f t="shared" si="16"/>
        <v>1</v>
      </c>
      <c r="AC39" s="3253">
        <f t="shared" si="17"/>
        <v>1</v>
      </c>
    </row>
    <row r="40" spans="1:29" ht="15">
      <c r="A40" s="3281"/>
      <c r="B40" s="3220" t="s">
        <v>3328</v>
      </c>
      <c r="C40" s="3284"/>
      <c r="D40" s="3236">
        <v>100</v>
      </c>
      <c r="E40" s="3471"/>
      <c r="F40" s="3477">
        <f>SUMIF(118:118,E40,119:119)-SUMIF(118:118,C40,119:119)+100</f>
        <v>100</v>
      </c>
      <c r="G40" s="3284"/>
      <c r="H40" s="3236">
        <f>SUMIF(118:118,G40,119:119)-SUMIF(118:118,C40,119:119)+100</f>
        <v>100</v>
      </c>
      <c r="I40" s="3471"/>
      <c r="J40" s="3236">
        <f>SUMIF(118:118,I40,119:119)-SUMIF(118:118,C40,119:119)+100</f>
        <v>100</v>
      </c>
      <c r="K40" s="3464"/>
      <c r="L40" s="3238"/>
      <c r="M40" s="3193"/>
      <c r="N40" s="3193"/>
      <c r="O40" s="3193"/>
      <c r="P40" s="3806"/>
      <c r="Q40" s="3249" t="str">
        <f t="shared" si="11"/>
        <v>房型</v>
      </c>
      <c r="R40" s="3250" t="s">
        <v>3032</v>
      </c>
      <c r="S40" s="3251">
        <f t="shared" si="12"/>
        <v>100</v>
      </c>
      <c r="T40" s="3250" t="s">
        <v>3032</v>
      </c>
      <c r="U40" s="3251">
        <f t="shared" si="13"/>
        <v>100</v>
      </c>
      <c r="V40" s="3250" t="s">
        <v>3032</v>
      </c>
      <c r="W40" s="3251">
        <f t="shared" si="14"/>
        <v>100</v>
      </c>
      <c r="X40" s="3194"/>
      <c r="Y40" s="3808"/>
      <c r="Z40" s="3252" t="str">
        <f t="shared" si="18"/>
        <v>房型</v>
      </c>
      <c r="AA40" s="3253">
        <f t="shared" si="15"/>
        <v>1</v>
      </c>
      <c r="AB40" s="3253">
        <f t="shared" si="16"/>
        <v>1</v>
      </c>
      <c r="AC40" s="3253">
        <f t="shared" si="17"/>
        <v>1</v>
      </c>
    </row>
    <row r="41" spans="1:29" s="3280" customFormat="1" ht="28.5">
      <c r="A41" s="3286"/>
      <c r="B41" s="3220" t="s">
        <v>3449</v>
      </c>
      <c r="C41" s="3478"/>
      <c r="D41" s="3222">
        <v>100</v>
      </c>
      <c r="E41" s="3230"/>
      <c r="F41" s="3463">
        <f>SUMIF(120:120,E41,121:121)-SUMIF(120:120,C41,121:121)+100</f>
        <v>100</v>
      </c>
      <c r="G41" s="3229"/>
      <c r="H41" s="3222">
        <f>SUMIF(120:120,G41,121:121)-SUMIF(120:120,C41,121:121)+100</f>
        <v>100</v>
      </c>
      <c r="I41" s="3274"/>
      <c r="J41" s="3236">
        <f>SUMIF(120:120,I41,121:121)-SUMIF(120:120,C41,121:121)+100</f>
        <v>100</v>
      </c>
      <c r="K41" s="3465"/>
      <c r="L41" s="3231"/>
      <c r="M41" s="3275"/>
      <c r="N41" s="3275"/>
      <c r="O41" s="3275"/>
      <c r="P41" s="3806"/>
      <c r="Q41" s="3479" t="str">
        <f t="shared" si="11"/>
        <v>单套/主力户型建筑面积</v>
      </c>
      <c r="R41" s="3276" t="s">
        <v>3032</v>
      </c>
      <c r="S41" s="3277">
        <f t="shared" si="12"/>
        <v>100</v>
      </c>
      <c r="T41" s="3276" t="s">
        <v>3032</v>
      </c>
      <c r="U41" s="3277">
        <f t="shared" si="13"/>
        <v>100</v>
      </c>
      <c r="V41" s="3276" t="s">
        <v>3032</v>
      </c>
      <c r="W41" s="3277">
        <f t="shared" si="14"/>
        <v>100</v>
      </c>
      <c r="X41" s="3278"/>
      <c r="Y41" s="3808"/>
      <c r="Z41" s="3279" t="str">
        <f t="shared" si="18"/>
        <v>单套/主力户型建筑面积</v>
      </c>
      <c r="AA41" s="3253">
        <f t="shared" si="15"/>
        <v>1</v>
      </c>
      <c r="AB41" s="3253">
        <f t="shared" si="16"/>
        <v>1</v>
      </c>
      <c r="AC41" s="3253">
        <f t="shared" si="17"/>
        <v>1</v>
      </c>
    </row>
    <row r="42" spans="1:29" ht="15">
      <c r="A42" s="3281"/>
      <c r="B42" s="3220" t="s">
        <v>3330</v>
      </c>
      <c r="C42" s="3284" t="s">
        <v>3321</v>
      </c>
      <c r="D42" s="3236">
        <v>100</v>
      </c>
      <c r="E42" s="3471" t="s">
        <v>3321</v>
      </c>
      <c r="F42" s="3477">
        <f>SUMIF(122:122,E42,123:123)-SUMIF(122:122,C42,123:123)+100</f>
        <v>100</v>
      </c>
      <c r="G42" s="3284" t="s">
        <v>3321</v>
      </c>
      <c r="H42" s="3236">
        <f>SUMIF(122:122,G42,123:123)-SUMIF(122:122,C42,123:123)+100</f>
        <v>100</v>
      </c>
      <c r="I42" s="3471" t="s">
        <v>3321</v>
      </c>
      <c r="J42" s="3236">
        <f>SUMIF(122:122,I42,123:123)-SUMIF(122:122,C42,123:123)+100</f>
        <v>100</v>
      </c>
      <c r="K42" s="3464">
        <f>'比较法-洋房'!K42</f>
        <v>2</v>
      </c>
      <c r="L42" s="3238"/>
      <c r="M42" s="3193"/>
      <c r="N42" s="3193"/>
      <c r="O42" s="3193"/>
      <c r="P42" s="3806"/>
      <c r="Q42" s="3249" t="str">
        <f t="shared" si="11"/>
        <v>内部装修</v>
      </c>
      <c r="R42" s="3250" t="s">
        <v>3032</v>
      </c>
      <c r="S42" s="3251">
        <f t="shared" si="12"/>
        <v>100</v>
      </c>
      <c r="T42" s="3250" t="s">
        <v>3032</v>
      </c>
      <c r="U42" s="3251">
        <f t="shared" si="13"/>
        <v>100</v>
      </c>
      <c r="V42" s="3250" t="s">
        <v>3032</v>
      </c>
      <c r="W42" s="3251">
        <f t="shared" si="14"/>
        <v>100</v>
      </c>
      <c r="X42" s="3194"/>
      <c r="Y42" s="3808"/>
      <c r="Z42" s="3252" t="str">
        <f t="shared" si="18"/>
        <v>内部装修</v>
      </c>
      <c r="AA42" s="3253">
        <f t="shared" si="15"/>
        <v>1</v>
      </c>
      <c r="AB42" s="3253">
        <f t="shared" si="16"/>
        <v>1</v>
      </c>
      <c r="AC42" s="3253">
        <f t="shared" si="17"/>
        <v>1</v>
      </c>
    </row>
    <row r="43" spans="1:29" ht="15">
      <c r="A43" s="3281"/>
      <c r="B43" s="3220" t="s">
        <v>3332</v>
      </c>
      <c r="C43" s="3284"/>
      <c r="D43" s="3236">
        <v>100</v>
      </c>
      <c r="E43" s="3471"/>
      <c r="F43" s="3477">
        <f>SUMIF(124:124,E43,125:125)-SUMIF(124:124,C43,125:125)+100</f>
        <v>100</v>
      </c>
      <c r="G43" s="3284"/>
      <c r="H43" s="3236">
        <f>SUMIF(124:124,G43,125:125)-SUMIF(124:124,C43,125:125)+100</f>
        <v>100</v>
      </c>
      <c r="I43" s="3471"/>
      <c r="J43" s="3236">
        <f>SUMIF(124:124,I43,125:125)-SUMIF(124:124,C43,125:125)+100</f>
        <v>100</v>
      </c>
      <c r="K43" s="3464">
        <f>'比较法-洋房'!K43</f>
        <v>2</v>
      </c>
      <c r="L43" s="3238"/>
      <c r="M43" s="3193"/>
      <c r="N43" s="3193"/>
      <c r="O43" s="3193"/>
      <c r="P43" s="3806"/>
      <c r="Q43" s="3249" t="str">
        <f t="shared" si="11"/>
        <v>内部装修维护情况</v>
      </c>
      <c r="R43" s="3250" t="s">
        <v>3032</v>
      </c>
      <c r="S43" s="3251">
        <f t="shared" si="12"/>
        <v>100</v>
      </c>
      <c r="T43" s="3250" t="s">
        <v>3032</v>
      </c>
      <c r="U43" s="3251">
        <f t="shared" si="13"/>
        <v>100</v>
      </c>
      <c r="V43" s="3250" t="s">
        <v>3032</v>
      </c>
      <c r="W43" s="3251">
        <f t="shared" si="14"/>
        <v>100</v>
      </c>
      <c r="X43" s="3194"/>
      <c r="Y43" s="3808"/>
      <c r="Z43" s="3252" t="str">
        <f t="shared" si="18"/>
        <v>内部装修维护情况</v>
      </c>
      <c r="AA43" s="3253">
        <f t="shared" si="15"/>
        <v>1</v>
      </c>
      <c r="AB43" s="3253">
        <f t="shared" si="16"/>
        <v>1</v>
      </c>
      <c r="AC43" s="3253">
        <f t="shared" si="17"/>
        <v>1</v>
      </c>
    </row>
    <row r="44" spans="1:29" s="3212" customFormat="1" ht="15">
      <c r="A44" s="3285"/>
      <c r="B44" s="3273">
        <v>111</v>
      </c>
      <c r="C44" s="3478"/>
      <c r="D44" s="3222">
        <v>100</v>
      </c>
      <c r="E44" s="3478"/>
      <c r="F44" s="3463">
        <f>SUMIF(126:126,E44,127:127)-SUMIF(126:126,C44,127:127)+100</f>
        <v>100</v>
      </c>
      <c r="G44" s="3478"/>
      <c r="H44" s="3222">
        <f>SUMIF(126:126,G44,127:127)-SUMIF(126:126,C44,127:127)+100</f>
        <v>100</v>
      </c>
      <c r="I44" s="3478"/>
      <c r="J44" s="3222">
        <f>SUMIF(126:126,I44,127:127)-SUMIF(126:126,C44,127:127)+100</f>
        <v>100</v>
      </c>
      <c r="K44" s="3465"/>
      <c r="L44" s="3206"/>
      <c r="M44" s="3207"/>
      <c r="N44" s="3207"/>
      <c r="O44" s="3207"/>
      <c r="P44" s="3806"/>
      <c r="Q44" s="3217">
        <f t="shared" si="11"/>
        <v>111</v>
      </c>
      <c r="R44" s="3208" t="s">
        <v>3032</v>
      </c>
      <c r="S44" s="3209">
        <f t="shared" si="12"/>
        <v>100</v>
      </c>
      <c r="T44" s="3208" t="s">
        <v>3032</v>
      </c>
      <c r="U44" s="3209">
        <f t="shared" si="13"/>
        <v>100</v>
      </c>
      <c r="V44" s="3208" t="s">
        <v>3032</v>
      </c>
      <c r="W44" s="3209">
        <f t="shared" si="14"/>
        <v>100</v>
      </c>
      <c r="X44" s="3210"/>
      <c r="Y44" s="3808"/>
      <c r="Z44" s="3218">
        <f t="shared" si="18"/>
        <v>111</v>
      </c>
      <c r="AA44" s="3211">
        <f t="shared" si="15"/>
        <v>1</v>
      </c>
      <c r="AB44" s="3211">
        <f t="shared" si="16"/>
        <v>1</v>
      </c>
      <c r="AC44" s="3211">
        <f t="shared" si="17"/>
        <v>1</v>
      </c>
    </row>
    <row r="45" spans="1:29" ht="15">
      <c r="A45" s="3281"/>
      <c r="B45" s="3273">
        <v>111</v>
      </c>
      <c r="C45" s="3235"/>
      <c r="D45" s="3236">
        <v>100</v>
      </c>
      <c r="E45" s="3235"/>
      <c r="F45" s="3477">
        <f>SUMIF(128:128,E45,129:129)-SUMIF(128:128,C45,129:129)+100</f>
        <v>100</v>
      </c>
      <c r="G45" s="3235"/>
      <c r="H45" s="3236">
        <f>SUMIF(128:128,G45,129:129)-SUMIF(128:128,C45,129:129)+100</f>
        <v>100</v>
      </c>
      <c r="I45" s="3235"/>
      <c r="J45" s="3236">
        <f>SUMIF(128:128,I45,129:129)-SUMIF(128:128,C45,129:129)+100</f>
        <v>100</v>
      </c>
      <c r="K45" s="3465"/>
      <c r="L45" s="3238"/>
      <c r="M45" s="3193"/>
      <c r="N45" s="3193"/>
      <c r="O45" s="3193"/>
      <c r="P45" s="3806"/>
      <c r="Q45" s="3249">
        <f t="shared" si="11"/>
        <v>111</v>
      </c>
      <c r="R45" s="3250" t="s">
        <v>3032</v>
      </c>
      <c r="S45" s="3251">
        <f t="shared" si="12"/>
        <v>100</v>
      </c>
      <c r="T45" s="3250" t="s">
        <v>3032</v>
      </c>
      <c r="U45" s="3251">
        <f t="shared" si="13"/>
        <v>100</v>
      </c>
      <c r="V45" s="3250" t="s">
        <v>3032</v>
      </c>
      <c r="W45" s="3251">
        <f t="shared" si="14"/>
        <v>100</v>
      </c>
      <c r="X45" s="3194"/>
      <c r="Y45" s="3808"/>
      <c r="Z45" s="3252">
        <f t="shared" si="18"/>
        <v>111</v>
      </c>
      <c r="AA45" s="3253">
        <f t="shared" si="15"/>
        <v>1</v>
      </c>
      <c r="AB45" s="3253">
        <f t="shared" si="16"/>
        <v>1</v>
      </c>
      <c r="AC45" s="3253">
        <f t="shared" si="17"/>
        <v>1</v>
      </c>
    </row>
    <row r="46" spans="1:29" ht="15.75" thickBot="1">
      <c r="A46" s="3485"/>
      <c r="B46" s="3240">
        <v>111</v>
      </c>
      <c r="C46" s="3241"/>
      <c r="D46" s="3242">
        <v>100</v>
      </c>
      <c r="E46" s="3241"/>
      <c r="F46" s="3466">
        <f>SUMIF(130:130,E46,131:131)-SUMIF(130:130,C46,131:131)+100</f>
        <v>100</v>
      </c>
      <c r="G46" s="3241"/>
      <c r="H46" s="3242">
        <f>SUMIF(130:130,G46,131:131)-SUMIF(130:130,C46,131:131)+100</f>
        <v>100</v>
      </c>
      <c r="I46" s="3241"/>
      <c r="J46" s="3242">
        <f>SUMIF(130:130,I46,131:131)-SUMIF(130:130,C46,131:131)+100</f>
        <v>100</v>
      </c>
      <c r="K46" s="3465"/>
      <c r="L46" s="3238"/>
      <c r="M46" s="3193"/>
      <c r="N46" s="3193"/>
      <c r="O46" s="3193"/>
      <c r="P46" s="3807"/>
      <c r="Q46" s="3249">
        <f t="shared" si="11"/>
        <v>111</v>
      </c>
      <c r="R46" s="3250" t="s">
        <v>3032</v>
      </c>
      <c r="S46" s="3251">
        <f t="shared" si="12"/>
        <v>100</v>
      </c>
      <c r="T46" s="3250" t="s">
        <v>3032</v>
      </c>
      <c r="U46" s="3251">
        <f t="shared" si="13"/>
        <v>100</v>
      </c>
      <c r="V46" s="3250" t="s">
        <v>3032</v>
      </c>
      <c r="W46" s="3251">
        <f t="shared" si="14"/>
        <v>100</v>
      </c>
      <c r="X46" s="3194"/>
      <c r="Y46" s="3809"/>
      <c r="Z46" s="3252">
        <f t="shared" si="18"/>
        <v>111</v>
      </c>
      <c r="AA46" s="3253">
        <f t="shared" si="15"/>
        <v>1</v>
      </c>
      <c r="AB46" s="3253">
        <f t="shared" si="16"/>
        <v>1</v>
      </c>
      <c r="AC46" s="3253">
        <f t="shared" si="17"/>
        <v>1</v>
      </c>
    </row>
    <row r="47" spans="1:29" ht="15">
      <c r="A47" s="3287" t="s">
        <v>3333</v>
      </c>
      <c r="B47" s="3486"/>
      <c r="C47" s="3487" t="s">
        <v>3334</v>
      </c>
      <c r="D47" s="3488"/>
      <c r="E47" s="3489">
        <v>50000</v>
      </c>
      <c r="F47" s="3490"/>
      <c r="G47" s="3491">
        <v>50000</v>
      </c>
      <c r="H47" s="3492"/>
      <c r="I47" s="3489">
        <v>48000</v>
      </c>
      <c r="J47" s="3492"/>
      <c r="K47" s="3493"/>
      <c r="L47" s="3288"/>
      <c r="M47" s="3289"/>
      <c r="N47" s="3193"/>
      <c r="O47" s="3289"/>
      <c r="P47" s="3810" t="str">
        <f>A47</f>
        <v>成交单价（元/平方米）</v>
      </c>
      <c r="Q47" s="3810"/>
      <c r="R47" s="3811">
        <f>E47</f>
        <v>50000</v>
      </c>
      <c r="S47" s="3811"/>
      <c r="T47" s="3811">
        <f>G47</f>
        <v>50000</v>
      </c>
      <c r="U47" s="3811"/>
      <c r="V47" s="3811">
        <f>I47</f>
        <v>48000</v>
      </c>
      <c r="W47" s="3811"/>
      <c r="X47" s="3290"/>
      <c r="Y47" s="3291"/>
      <c r="Z47" s="3290"/>
      <c r="AA47" s="3290"/>
      <c r="AB47" s="3290"/>
      <c r="AC47" s="3290"/>
    </row>
    <row r="48" spans="1:29" ht="15.75" thickBot="1">
      <c r="A48" s="3292" t="s">
        <v>3045</v>
      </c>
      <c r="B48" s="3494"/>
      <c r="C48" s="3495">
        <f>R49</f>
        <v>43978</v>
      </c>
      <c r="D48" s="3496"/>
      <c r="E48" s="3497">
        <f>R48</f>
        <v>45005</v>
      </c>
      <c r="F48" s="3497"/>
      <c r="G48" s="3495">
        <f>T48</f>
        <v>44563</v>
      </c>
      <c r="H48" s="3496"/>
      <c r="I48" s="3497">
        <f>V48</f>
        <v>42365</v>
      </c>
      <c r="J48" s="3496"/>
      <c r="K48" s="3498"/>
      <c r="L48" s="3288"/>
      <c r="M48" s="3289"/>
      <c r="N48" s="3289"/>
      <c r="O48" s="3289"/>
      <c r="P48" s="3810" t="str">
        <f>A48</f>
        <v>比较价值（元/平方米）</v>
      </c>
      <c r="Q48" s="3810"/>
      <c r="R48" s="3811">
        <f>IF(F1="售价",ROUND(PRODUCT(R47,AA7:AA46),0),ROUND(PRODUCT(R47,AA7:AA46),1))</f>
        <v>45005</v>
      </c>
      <c r="S48" s="3811"/>
      <c r="T48" s="3811">
        <f>IF(F1="售价",ROUND(PRODUCT(T47,AB7:AB46),0),ROUND(PRODUCT(T47,AB7:AB46),1))</f>
        <v>44563</v>
      </c>
      <c r="U48" s="3811"/>
      <c r="V48" s="3811">
        <f>IF(F1="售价",ROUND(PRODUCT(V47,AC7:AC46),0),ROUND(PRODUCT(V47,AC7:AC46),1))</f>
        <v>42365</v>
      </c>
      <c r="W48" s="3811"/>
      <c r="X48" s="3290"/>
      <c r="Y48" s="3290"/>
      <c r="Z48" s="3290"/>
      <c r="AA48" s="3290"/>
      <c r="AB48" s="3290"/>
      <c r="AC48" s="3290"/>
    </row>
    <row r="49" spans="1:29" ht="15.75" thickBot="1">
      <c r="A49" s="3293" t="s">
        <v>3450</v>
      </c>
      <c r="B49" s="3294"/>
      <c r="C49" s="3499">
        <f>R49</f>
        <v>43978</v>
      </c>
      <c r="D49" s="3500"/>
      <c r="E49" s="3500"/>
      <c r="F49" s="3500"/>
      <c r="G49" s="3500"/>
      <c r="H49" s="3500"/>
      <c r="I49" s="3500"/>
      <c r="J49" s="3500"/>
      <c r="K49" s="3501"/>
      <c r="L49" s="3288"/>
      <c r="M49" s="3289"/>
      <c r="N49" s="3289"/>
      <c r="O49" s="3289"/>
      <c r="P49" s="3812" t="str">
        <f>A49</f>
        <v>估价对象XX用房的比较价值（楼面单价，元/平方米）</v>
      </c>
      <c r="Q49" s="3813"/>
      <c r="R49" s="3814">
        <f>IF(F1="售价",ROUND(AVERAGE(R48:V48),0),ROUND(AVERAGE(R48:V48),1))</f>
        <v>43978</v>
      </c>
      <c r="S49" s="3814"/>
      <c r="T49" s="3814"/>
      <c r="U49" s="3814"/>
      <c r="V49" s="3814"/>
      <c r="W49" s="3814"/>
      <c r="X49" s="3290"/>
      <c r="Y49" s="3290"/>
      <c r="Z49" s="3290"/>
      <c r="AA49" s="3290"/>
      <c r="AB49" s="3290"/>
      <c r="AC49" s="3290"/>
    </row>
    <row r="50" spans="1:29">
      <c r="A50" s="3289"/>
      <c r="B50" s="3289"/>
      <c r="C50" s="3289"/>
      <c r="D50" s="3289"/>
      <c r="E50" s="3289"/>
      <c r="F50" s="3289"/>
      <c r="G50" s="3295"/>
      <c r="H50" s="3289"/>
      <c r="I50" s="3289"/>
      <c r="J50" s="3289"/>
      <c r="K50" s="3296"/>
      <c r="L50" s="3297"/>
      <c r="M50" s="3289"/>
      <c r="N50" s="3289"/>
      <c r="O50" s="3289"/>
    </row>
    <row r="51" spans="1:29">
      <c r="A51" s="3289"/>
      <c r="B51" s="3289"/>
      <c r="C51" s="3289"/>
      <c r="D51" s="3289"/>
      <c r="E51" s="3289"/>
      <c r="F51" s="3289"/>
      <c r="G51" s="3289"/>
      <c r="H51" s="3289"/>
      <c r="I51" s="3289"/>
      <c r="J51" s="3289"/>
      <c r="K51" s="3296"/>
      <c r="L51" s="3297"/>
      <c r="M51" s="3289"/>
      <c r="N51" s="3289"/>
      <c r="O51" s="3289"/>
    </row>
    <row r="52" spans="1:29" ht="13.5" customHeight="1">
      <c r="A52" s="3289"/>
      <c r="B52" s="3289"/>
      <c r="C52" s="3298" t="s">
        <v>3451</v>
      </c>
      <c r="D52" s="3299"/>
      <c r="E52" s="3300">
        <f>IF(E47&lt;E48,E48/E47-1,E47/E48-1)</f>
        <v>0.11098766803688487</v>
      </c>
      <c r="F52" s="3301" t="str">
        <f>IF(OR(E52&gt;=0.3,E52&lt;=-0.3),"超过30%","")</f>
        <v/>
      </c>
      <c r="G52" s="3300">
        <f>IF(G47&lt;G48,G48/G47-1,G47/G48-1)</f>
        <v>0.12200704620425018</v>
      </c>
      <c r="H52" s="3301" t="str">
        <f>IF(OR(G52&gt;=0.3,G52&lt;=-0.3),"超过30%","")</f>
        <v/>
      </c>
      <c r="I52" s="3300">
        <f>IF(I47&lt;I48,I48/I47-1,I47/I48-1)</f>
        <v>0.13301073999763946</v>
      </c>
      <c r="J52" s="3301" t="str">
        <f>IF(OR(I52&gt;=0.3,I52&lt;=-0.3),"超过30%","")</f>
        <v/>
      </c>
      <c r="K52" s="3296"/>
      <c r="L52" s="3297"/>
      <c r="M52" s="3289"/>
      <c r="N52" s="3289"/>
      <c r="O52" s="3289"/>
    </row>
    <row r="53" spans="1:29" ht="13.5" customHeight="1">
      <c r="A53" s="3289"/>
      <c r="B53" s="3289"/>
      <c r="C53" s="3298" t="s">
        <v>3452</v>
      </c>
      <c r="D53" s="3302"/>
      <c r="E53" s="3300">
        <f>IF(E48&lt;G48,G48/E48-1,E48/G48-1)</f>
        <v>9.9185422884455754E-3</v>
      </c>
      <c r="F53" s="3301" t="str">
        <f>IF(OR(E53&gt;=0.2,E53&lt;=-0.2),"超过20%","")</f>
        <v/>
      </c>
      <c r="G53" s="3300">
        <f>IF(G48&lt;I48,I48/G48-1,G48/I48-1)</f>
        <v>5.1882450135725344E-2</v>
      </c>
      <c r="H53" s="3301" t="str">
        <f>IF(OR(G53&gt;=0.2,G53&lt;=-0.2),"超过20%","")</f>
        <v/>
      </c>
      <c r="I53" s="3300">
        <f>IF(I48&lt;E48,E48/I48-1,I48/E48-1)</f>
        <v>6.2315590699870249E-2</v>
      </c>
      <c r="J53" s="3301" t="str">
        <f>IF(OR(I53&gt;=0.2,I53&lt;=-0.2),"超过20%","")</f>
        <v/>
      </c>
      <c r="K53" s="3296"/>
      <c r="L53" s="3297"/>
      <c r="M53" s="3289"/>
      <c r="N53" s="3289"/>
      <c r="O53" s="3289"/>
    </row>
    <row r="54" spans="1:29" s="3306" customFormat="1" ht="13.5" customHeight="1">
      <c r="A54" s="3303"/>
      <c r="B54" s="3303"/>
      <c r="C54" s="3298" t="s">
        <v>3453</v>
      </c>
      <c r="D54" s="3302"/>
      <c r="E54" s="3300">
        <f>IF(E47&lt;G47,G47/E47-1,E47/G47-1)</f>
        <v>0</v>
      </c>
      <c r="F54" s="3301" t="str">
        <f>IF(OR(E54&gt;=0.3,E54&lt;=-0.3),"超过30%","")</f>
        <v/>
      </c>
      <c r="G54" s="3300">
        <f>IF(G47&lt;I47,I47/G47-1,G47/I47-1)</f>
        <v>4.1666666666666741E-2</v>
      </c>
      <c r="H54" s="3301" t="str">
        <f>IF(OR(G54&gt;=0.3,G54&lt;=-0.3),"超过30%","")</f>
        <v/>
      </c>
      <c r="I54" s="3300">
        <f>IF(I47&lt;E47,E47/I47-1,I47/E47-1)</f>
        <v>4.1666666666666741E-2</v>
      </c>
      <c r="J54" s="3301" t="str">
        <f>IF(OR(I54&gt;=0.3,I54&lt;=-0.3),"超过30%","")</f>
        <v/>
      </c>
      <c r="K54" s="3304"/>
      <c r="L54" s="3305"/>
      <c r="M54" s="3303"/>
      <c r="N54" s="3303"/>
      <c r="O54" s="3303"/>
      <c r="P54" s="3503"/>
    </row>
    <row r="55" spans="1:29" s="3306" customFormat="1">
      <c r="A55" s="3303"/>
      <c r="B55" s="3307"/>
      <c r="C55" s="3504"/>
      <c r="D55" s="3303"/>
      <c r="E55" s="3303"/>
      <c r="F55" s="3303"/>
      <c r="G55" s="3303"/>
      <c r="H55" s="3303"/>
      <c r="I55" s="3303"/>
      <c r="J55" s="3303"/>
      <c r="K55" s="3304"/>
      <c r="L55" s="3305"/>
      <c r="M55" s="3303"/>
      <c r="N55" s="3303"/>
      <c r="O55" s="3303"/>
      <c r="P55" s="3503"/>
    </row>
    <row r="56" spans="1:29">
      <c r="A56" s="3289"/>
      <c r="B56" s="3307"/>
      <c r="C56" s="3504"/>
      <c r="D56" s="3289"/>
      <c r="E56" s="3289"/>
      <c r="F56" s="3289"/>
      <c r="G56" s="3289"/>
      <c r="H56" s="3289"/>
      <c r="I56" s="3289"/>
      <c r="J56" s="3289"/>
      <c r="K56" s="3296"/>
      <c r="L56" s="3297"/>
      <c r="M56" s="3289"/>
      <c r="N56" s="3289"/>
      <c r="O56" s="3289"/>
    </row>
    <row r="57" spans="1:29" ht="21.75" thickBot="1">
      <c r="A57" s="3308" t="s">
        <v>3454</v>
      </c>
      <c r="B57" s="3290"/>
      <c r="C57" s="3309"/>
      <c r="D57" s="3309"/>
      <c r="E57" s="3309"/>
      <c r="F57" s="3310"/>
      <c r="G57" s="3310"/>
      <c r="H57" s="3309"/>
      <c r="I57" s="3309"/>
      <c r="J57" s="3309"/>
      <c r="K57" s="3312"/>
      <c r="L57" s="3313"/>
      <c r="M57" s="3311"/>
      <c r="N57" s="3311"/>
      <c r="O57" s="3311"/>
      <c r="P57" s="3505"/>
      <c r="Q57" s="3314"/>
    </row>
    <row r="58" spans="1:29" s="3315" customFormat="1" ht="15">
      <c r="A58" s="3506" t="s">
        <v>3455</v>
      </c>
      <c r="B58" s="3507"/>
      <c r="C58" s="3508" t="str">
        <f>YEAR(C7)&amp;"-"&amp;MONTH(C7)</f>
        <v>2019-10</v>
      </c>
      <c r="D58" s="3509">
        <f>EDATE(C58,-1)</f>
        <v>43709</v>
      </c>
      <c r="E58" s="3509">
        <f>EDATE(D58,-1)</f>
        <v>43678</v>
      </c>
      <c r="F58" s="3509">
        <f t="shared" ref="F58:O58" si="19">EDATE(E58,-1)</f>
        <v>43647</v>
      </c>
      <c r="G58" s="3509">
        <f t="shared" si="19"/>
        <v>43617</v>
      </c>
      <c r="H58" s="3509">
        <f t="shared" si="19"/>
        <v>43586</v>
      </c>
      <c r="I58" s="3509">
        <f t="shared" si="19"/>
        <v>43556</v>
      </c>
      <c r="J58" s="3509">
        <f t="shared" si="19"/>
        <v>43525</v>
      </c>
      <c r="K58" s="3509">
        <f t="shared" si="19"/>
        <v>43497</v>
      </c>
      <c r="L58" s="3509">
        <f t="shared" si="19"/>
        <v>43466</v>
      </c>
      <c r="M58" s="3509">
        <f t="shared" si="19"/>
        <v>43435</v>
      </c>
      <c r="N58" s="3509">
        <f t="shared" si="19"/>
        <v>43405</v>
      </c>
      <c r="O58" s="3509">
        <f t="shared" si="19"/>
        <v>43374</v>
      </c>
      <c r="P58" s="3510"/>
    </row>
    <row r="59" spans="1:29" s="3212" customFormat="1" ht="15">
      <c r="A59" s="3511"/>
      <c r="B59" s="3512"/>
      <c r="C59" s="3513">
        <v>100</v>
      </c>
      <c r="D59" s="3514"/>
      <c r="E59" s="3331"/>
      <c r="F59" s="3331"/>
      <c r="G59" s="3331"/>
      <c r="H59" s="3331"/>
      <c r="I59" s="3331"/>
      <c r="J59" s="3331"/>
      <c r="K59" s="3331"/>
      <c r="L59" s="3331"/>
      <c r="M59" s="3515"/>
      <c r="N59" s="3331"/>
      <c r="O59" s="3515"/>
      <c r="P59" s="3516"/>
    </row>
    <row r="60" spans="1:29" s="3212" customFormat="1" ht="15.75" thickBot="1">
      <c r="A60" s="3319" t="s">
        <v>3456</v>
      </c>
      <c r="B60" s="3320"/>
      <c r="C60" s="3321"/>
      <c r="D60" s="3322"/>
      <c r="E60" s="3322"/>
      <c r="F60" s="3322"/>
      <c r="G60" s="3322"/>
      <c r="H60" s="3322"/>
      <c r="I60" s="3322"/>
      <c r="J60" s="3322"/>
      <c r="K60" s="3322"/>
      <c r="L60" s="3322"/>
      <c r="M60" s="3323"/>
      <c r="N60" s="3322"/>
      <c r="O60" s="3323"/>
      <c r="P60" s="3516"/>
      <c r="Q60" s="3314"/>
    </row>
    <row r="61" spans="1:29" s="3212" customFormat="1" ht="15">
      <c r="A61" s="3324" t="s">
        <v>3457</v>
      </c>
      <c r="B61" s="3325"/>
      <c r="C61" s="3326" t="s">
        <v>3458</v>
      </c>
      <c r="D61" s="3327"/>
      <c r="E61" s="3327"/>
      <c r="F61" s="3327"/>
      <c r="G61" s="3327"/>
      <c r="H61" s="3327"/>
      <c r="I61" s="3327"/>
      <c r="J61" s="3327"/>
      <c r="K61" s="3327"/>
      <c r="L61" s="3328"/>
      <c r="M61" s="3329"/>
      <c r="N61" s="3330"/>
      <c r="O61" s="3330"/>
      <c r="P61" s="3517"/>
      <c r="Q61" s="3314"/>
    </row>
    <row r="62" spans="1:29" s="3212" customFormat="1" ht="15.75" thickBot="1">
      <c r="A62" s="3324"/>
      <c r="B62" s="3325"/>
      <c r="C62" s="3514">
        <v>100</v>
      </c>
      <c r="D62" s="3331"/>
      <c r="E62" s="3331"/>
      <c r="F62" s="3331"/>
      <c r="G62" s="3331"/>
      <c r="H62" s="3331"/>
      <c r="I62" s="3331"/>
      <c r="J62" s="3331"/>
      <c r="K62" s="3331"/>
      <c r="L62" s="3331"/>
      <c r="M62" s="3332"/>
      <c r="N62" s="3330"/>
      <c r="O62" s="3330"/>
      <c r="P62" s="3516"/>
      <c r="Q62" s="3314"/>
    </row>
    <row r="63" spans="1:29">
      <c r="A63" s="3333" t="s">
        <v>3459</v>
      </c>
      <c r="B63" s="3334" t="s">
        <v>3460</v>
      </c>
      <c r="C63" s="3380" t="str">
        <f>C9</f>
        <v>住宅</v>
      </c>
      <c r="D63" s="3283"/>
      <c r="E63" s="3283"/>
      <c r="F63" s="3283"/>
      <c r="G63" s="3283"/>
      <c r="H63" s="3283"/>
      <c r="I63" s="3283"/>
      <c r="J63" s="3283"/>
      <c r="K63" s="3336"/>
      <c r="L63" s="3337"/>
      <c r="M63" s="3338"/>
      <c r="N63" s="3339"/>
      <c r="O63" s="3339"/>
      <c r="P63" s="3518"/>
      <c r="Q63" s="3314"/>
    </row>
    <row r="64" spans="1:29" ht="15.75" thickBot="1">
      <c r="A64" s="3340"/>
      <c r="B64" s="3341"/>
      <c r="C64" s="3342">
        <v>100</v>
      </c>
      <c r="D64" s="3342"/>
      <c r="E64" s="3342"/>
      <c r="F64" s="3342"/>
      <c r="G64" s="3342"/>
      <c r="H64" s="3342"/>
      <c r="I64" s="3342"/>
      <c r="J64" s="3342"/>
      <c r="K64" s="3342"/>
      <c r="L64" s="3342"/>
      <c r="M64" s="3343"/>
      <c r="N64" s="3344"/>
      <c r="O64" s="3344"/>
      <c r="P64" s="3518"/>
      <c r="Q64" s="3314"/>
    </row>
    <row r="65" spans="1:17" ht="27.75" thickTop="1">
      <c r="A65" s="3340"/>
      <c r="B65" s="3345" t="s">
        <v>3461</v>
      </c>
      <c r="C65" s="3346" t="s">
        <v>3462</v>
      </c>
      <c r="D65" s="3346" t="s">
        <v>3463</v>
      </c>
      <c r="E65" s="3346" t="s">
        <v>3464</v>
      </c>
      <c r="F65" s="3346" t="s">
        <v>3465</v>
      </c>
      <c r="G65" s="3346" t="s">
        <v>3466</v>
      </c>
      <c r="H65" s="3346" t="s">
        <v>3467</v>
      </c>
      <c r="I65" s="3346" t="s">
        <v>3468</v>
      </c>
      <c r="J65" s="3346"/>
      <c r="K65" s="3347"/>
      <c r="L65" s="3348"/>
      <c r="M65" s="3349"/>
      <c r="N65" s="3339"/>
      <c r="O65" s="3339"/>
      <c r="P65" s="3518"/>
      <c r="Q65" s="3314"/>
    </row>
    <row r="66" spans="1:17" ht="15.75" thickBot="1">
      <c r="A66" s="3340"/>
      <c r="B66" s="3350"/>
      <c r="C66" s="3351">
        <v>100</v>
      </c>
      <c r="D66" s="3351">
        <f t="shared" ref="D66:I66" si="20">C66-$K10</f>
        <v>98</v>
      </c>
      <c r="E66" s="3351">
        <f t="shared" si="20"/>
        <v>96</v>
      </c>
      <c r="F66" s="3351">
        <f t="shared" si="20"/>
        <v>94</v>
      </c>
      <c r="G66" s="3351">
        <f t="shared" si="20"/>
        <v>92</v>
      </c>
      <c r="H66" s="3351">
        <f t="shared" si="20"/>
        <v>90</v>
      </c>
      <c r="I66" s="3351">
        <f t="shared" si="20"/>
        <v>88</v>
      </c>
      <c r="J66" s="3351"/>
      <c r="K66" s="3351"/>
      <c r="L66" s="3351"/>
      <c r="M66" s="3352"/>
      <c r="N66" s="3344"/>
      <c r="O66" s="3344"/>
      <c r="P66" s="3518"/>
      <c r="Q66" s="3314"/>
    </row>
    <row r="67" spans="1:17" ht="15.75" thickTop="1">
      <c r="A67" s="3340"/>
      <c r="B67" s="3353" t="s">
        <v>3469</v>
      </c>
      <c r="C67" s="3354" t="str">
        <f>C68&amp;"（含）"&amp;"-"&amp;D68</f>
        <v>0（含）-1</v>
      </c>
      <c r="D67" s="3354" t="str">
        <f t="shared" ref="D67:L67" si="21">D68&amp;"（含）"&amp;"-"&amp;E68</f>
        <v>1（含）-2</v>
      </c>
      <c r="E67" s="3354" t="str">
        <f t="shared" si="21"/>
        <v>2（含）-3</v>
      </c>
      <c r="F67" s="3354" t="str">
        <f t="shared" si="21"/>
        <v>3（含）-</v>
      </c>
      <c r="G67" s="3354" t="str">
        <f t="shared" si="21"/>
        <v>（含）-</v>
      </c>
      <c r="H67" s="3354" t="str">
        <f t="shared" si="21"/>
        <v>（含）-</v>
      </c>
      <c r="I67" s="3354" t="str">
        <f t="shared" si="21"/>
        <v>（含）-</v>
      </c>
      <c r="J67" s="3354" t="str">
        <f t="shared" si="21"/>
        <v>（含）-</v>
      </c>
      <c r="K67" s="3354" t="str">
        <f>K68&amp;"（含）"&amp;"-"&amp;L68</f>
        <v>（含）-</v>
      </c>
      <c r="L67" s="3354" t="str">
        <f t="shared" si="21"/>
        <v>（含）-</v>
      </c>
      <c r="M67" s="3256" t="str">
        <f>M68&amp;"（含）"&amp;"-"&amp;P68</f>
        <v>（含）-</v>
      </c>
      <c r="N67" s="3344"/>
      <c r="O67" s="3344"/>
      <c r="P67" s="3518"/>
      <c r="Q67" s="3314"/>
    </row>
    <row r="68" spans="1:17" ht="15">
      <c r="A68" s="3340"/>
      <c r="B68" s="3355"/>
      <c r="C68" s="3237">
        <v>0</v>
      </c>
      <c r="D68" s="3237">
        <v>1</v>
      </c>
      <c r="E68" s="3237">
        <v>2</v>
      </c>
      <c r="F68" s="3237">
        <v>3</v>
      </c>
      <c r="G68" s="3237"/>
      <c r="H68" s="3237"/>
      <c r="I68" s="3237"/>
      <c r="J68" s="3237"/>
      <c r="K68" s="3356"/>
      <c r="L68" s="3357"/>
      <c r="M68" s="3358"/>
      <c r="N68" s="3339"/>
      <c r="O68" s="3339"/>
      <c r="P68" s="3518"/>
      <c r="Q68" s="3314"/>
    </row>
    <row r="69" spans="1:17" ht="15.75" thickBot="1">
      <c r="A69" s="3340"/>
      <c r="B69" s="3341"/>
      <c r="C69" s="3351">
        <v>100</v>
      </c>
      <c r="D69" s="3351">
        <f t="shared" ref="D69:M69" si="22">C69-$K11</f>
        <v>98</v>
      </c>
      <c r="E69" s="3351">
        <f t="shared" si="22"/>
        <v>96</v>
      </c>
      <c r="F69" s="3351">
        <f t="shared" si="22"/>
        <v>94</v>
      </c>
      <c r="G69" s="3351">
        <f t="shared" si="22"/>
        <v>92</v>
      </c>
      <c r="H69" s="3351">
        <f t="shared" si="22"/>
        <v>90</v>
      </c>
      <c r="I69" s="3351">
        <f t="shared" si="22"/>
        <v>88</v>
      </c>
      <c r="J69" s="3351">
        <f t="shared" si="22"/>
        <v>86</v>
      </c>
      <c r="K69" s="3351">
        <f t="shared" si="22"/>
        <v>84</v>
      </c>
      <c r="L69" s="3351">
        <f t="shared" si="22"/>
        <v>82</v>
      </c>
      <c r="M69" s="3352">
        <f t="shared" si="22"/>
        <v>80</v>
      </c>
      <c r="N69" s="3344"/>
      <c r="O69" s="3344"/>
      <c r="P69" s="3518"/>
      <c r="Q69" s="3314"/>
    </row>
    <row r="70" spans="1:17" s="3280" customFormat="1" ht="15.75" thickTop="1">
      <c r="A70" s="3359"/>
      <c r="B70" s="3345">
        <f>B12</f>
        <v>111</v>
      </c>
      <c r="C70" s="3361"/>
      <c r="D70" s="3361"/>
      <c r="E70" s="3361"/>
      <c r="F70" s="3361"/>
      <c r="G70" s="3361"/>
      <c r="H70" s="3362"/>
      <c r="I70" s="3362"/>
      <c r="J70" s="3362"/>
      <c r="K70" s="3362"/>
      <c r="L70" s="3363"/>
      <c r="M70" s="3364"/>
      <c r="N70" s="3365"/>
      <c r="O70" s="3365"/>
      <c r="P70" s="3519"/>
      <c r="Q70" s="3366"/>
    </row>
    <row r="71" spans="1:17" s="3280" customFormat="1" ht="15.75" thickBot="1">
      <c r="A71" s="3359"/>
      <c r="B71" s="3350"/>
      <c r="C71" s="3367"/>
      <c r="D71" s="3342"/>
      <c r="E71" s="3342"/>
      <c r="F71" s="3342"/>
      <c r="G71" s="3342"/>
      <c r="H71" s="3342"/>
      <c r="I71" s="3342"/>
      <c r="J71" s="3342"/>
      <c r="K71" s="3342"/>
      <c r="L71" s="3342"/>
      <c r="M71" s="3343"/>
      <c r="N71" s="3344"/>
      <c r="O71" s="3344"/>
      <c r="P71" s="3519"/>
      <c r="Q71" s="3366"/>
    </row>
    <row r="72" spans="1:17" s="3280" customFormat="1" ht="15.75" thickTop="1">
      <c r="A72" s="3359"/>
      <c r="B72" s="3345">
        <f>B13</f>
        <v>111</v>
      </c>
      <c r="C72" s="3361"/>
      <c r="D72" s="3361"/>
      <c r="E72" s="3361"/>
      <c r="F72" s="3361"/>
      <c r="G72" s="3361"/>
      <c r="H72" s="3362"/>
      <c r="I72" s="3362"/>
      <c r="J72" s="3362"/>
      <c r="K72" s="3362"/>
      <c r="L72" s="3363"/>
      <c r="M72" s="3364"/>
      <c r="N72" s="3365"/>
      <c r="O72" s="3365"/>
      <c r="P72" s="3520"/>
      <c r="Q72" s="3368"/>
    </row>
    <row r="73" spans="1:17" s="3280" customFormat="1" ht="15.75" thickBot="1">
      <c r="A73" s="3359"/>
      <c r="B73" s="3350"/>
      <c r="C73" s="3367"/>
      <c r="D73" s="3367"/>
      <c r="E73" s="3367"/>
      <c r="F73" s="3367"/>
      <c r="G73" s="3367"/>
      <c r="H73" s="3369"/>
      <c r="I73" s="3369"/>
      <c r="J73" s="3369"/>
      <c r="K73" s="3369"/>
      <c r="L73" s="3369"/>
      <c r="M73" s="3370"/>
      <c r="N73" s="3365"/>
      <c r="O73" s="3365"/>
      <c r="P73" s="3519"/>
      <c r="Q73" s="3366"/>
    </row>
    <row r="74" spans="1:17" s="3280" customFormat="1" ht="15.75" thickTop="1">
      <c r="A74" s="3359"/>
      <c r="B74" s="3353">
        <f>B14</f>
        <v>111</v>
      </c>
      <c r="C74" s="3361"/>
      <c r="D74" s="3361"/>
      <c r="E74" s="3361"/>
      <c r="F74" s="3361"/>
      <c r="G74" s="3327"/>
      <c r="H74" s="3371"/>
      <c r="I74" s="3371"/>
      <c r="J74" s="3371"/>
      <c r="K74" s="3371"/>
      <c r="L74" s="3372"/>
      <c r="M74" s="3373"/>
      <c r="N74" s="3365"/>
      <c r="O74" s="3365"/>
      <c r="P74" s="3521"/>
      <c r="Q74" s="3366"/>
    </row>
    <row r="75" spans="1:17" s="3280" customFormat="1" ht="15.75" thickBot="1">
      <c r="A75" s="3374"/>
      <c r="B75" s="3375"/>
      <c r="C75" s="3376"/>
      <c r="D75" s="3376"/>
      <c r="E75" s="3376"/>
      <c r="F75" s="3376"/>
      <c r="G75" s="3376"/>
      <c r="H75" s="3377"/>
      <c r="I75" s="3377"/>
      <c r="J75" s="3377"/>
      <c r="K75" s="3377"/>
      <c r="L75" s="3377"/>
      <c r="M75" s="3378"/>
      <c r="N75" s="3365"/>
      <c r="O75" s="3365"/>
      <c r="P75" s="3519"/>
      <c r="Q75" s="3366"/>
    </row>
    <row r="76" spans="1:17">
      <c r="A76" s="3333" t="s">
        <v>3034</v>
      </c>
      <c r="B76" s="3334" t="s">
        <v>3349</v>
      </c>
      <c r="C76" s="3379" t="s">
        <v>3350</v>
      </c>
      <c r="D76" s="3379" t="s">
        <v>3351</v>
      </c>
      <c r="E76" s="3379" t="s">
        <v>3352</v>
      </c>
      <c r="F76" s="3379" t="s">
        <v>3353</v>
      </c>
      <c r="G76" s="3379" t="s">
        <v>3354</v>
      </c>
      <c r="H76" s="3380"/>
      <c r="I76" s="3380"/>
      <c r="J76" s="3380"/>
      <c r="K76" s="3381"/>
      <c r="L76" s="3382"/>
      <c r="M76" s="3383"/>
      <c r="N76" s="3339"/>
      <c r="O76" s="3339"/>
      <c r="P76" s="3522"/>
      <c r="Q76" s="3314"/>
    </row>
    <row r="77" spans="1:17" ht="15.75" thickBot="1">
      <c r="A77" s="3340"/>
      <c r="B77" s="3350"/>
      <c r="C77" s="3351">
        <v>100</v>
      </c>
      <c r="D77" s="3351">
        <f>C77-$K15</f>
        <v>95</v>
      </c>
      <c r="E77" s="3351">
        <f>D77-$K15</f>
        <v>90</v>
      </c>
      <c r="F77" s="3351">
        <f>E77-$K15</f>
        <v>85</v>
      </c>
      <c r="G77" s="3351">
        <f>F77-$K15</f>
        <v>80</v>
      </c>
      <c r="H77" s="3351"/>
      <c r="I77" s="3351"/>
      <c r="J77" s="3351"/>
      <c r="K77" s="3351"/>
      <c r="L77" s="3351"/>
      <c r="M77" s="3352"/>
      <c r="N77" s="3344"/>
      <c r="O77" s="3344"/>
      <c r="P77" s="3518"/>
      <c r="Q77" s="3314"/>
    </row>
    <row r="78" spans="1:17" ht="15.75" thickTop="1">
      <c r="A78" s="3340"/>
      <c r="B78" s="3345" t="s">
        <v>3355</v>
      </c>
      <c r="C78" s="3384" t="s">
        <v>3350</v>
      </c>
      <c r="D78" s="3384" t="s">
        <v>3351</v>
      </c>
      <c r="E78" s="3384" t="s">
        <v>3352</v>
      </c>
      <c r="F78" s="3384" t="s">
        <v>3353</v>
      </c>
      <c r="G78" s="3384" t="s">
        <v>3354</v>
      </c>
      <c r="H78" s="3346"/>
      <c r="I78" s="3346"/>
      <c r="J78" s="3346"/>
      <c r="K78" s="3347"/>
      <c r="L78" s="3348"/>
      <c r="M78" s="3349"/>
      <c r="N78" s="3339"/>
      <c r="O78" s="3339"/>
      <c r="P78" s="3518"/>
      <c r="Q78" s="3314"/>
    </row>
    <row r="79" spans="1:17" ht="15.75" thickBot="1">
      <c r="A79" s="3340"/>
      <c r="B79" s="3350"/>
      <c r="C79" s="3351">
        <v>100</v>
      </c>
      <c r="D79" s="3351">
        <f>C79-$K17</f>
        <v>97</v>
      </c>
      <c r="E79" s="3351">
        <f>D79-$K17</f>
        <v>94</v>
      </c>
      <c r="F79" s="3351">
        <f>E79-$K17</f>
        <v>91</v>
      </c>
      <c r="G79" s="3351">
        <f>F79-$K17</f>
        <v>88</v>
      </c>
      <c r="H79" s="3351"/>
      <c r="I79" s="3351"/>
      <c r="J79" s="3351"/>
      <c r="K79" s="3351"/>
      <c r="L79" s="3351"/>
      <c r="M79" s="3352"/>
      <c r="N79" s="3344"/>
      <c r="O79" s="3344"/>
      <c r="P79" s="3518"/>
      <c r="Q79" s="3314"/>
    </row>
    <row r="80" spans="1:17" ht="15.75" thickTop="1">
      <c r="A80" s="3340"/>
      <c r="B80" s="3345" t="s">
        <v>3305</v>
      </c>
      <c r="C80" s="3384" t="s">
        <v>3350</v>
      </c>
      <c r="D80" s="3384" t="s">
        <v>3351</v>
      </c>
      <c r="E80" s="3384" t="s">
        <v>3352</v>
      </c>
      <c r="F80" s="3384" t="s">
        <v>3353</v>
      </c>
      <c r="G80" s="3384" t="s">
        <v>3354</v>
      </c>
      <c r="H80" s="3346"/>
      <c r="I80" s="3346"/>
      <c r="J80" s="3346"/>
      <c r="K80" s="3347"/>
      <c r="L80" s="3348"/>
      <c r="M80" s="3349"/>
      <c r="N80" s="3339"/>
      <c r="O80" s="3339"/>
      <c r="P80" s="3518"/>
      <c r="Q80" s="3314"/>
    </row>
    <row r="81" spans="1:17" ht="15.75" thickBot="1">
      <c r="A81" s="3340"/>
      <c r="B81" s="3350"/>
      <c r="C81" s="3351">
        <v>100</v>
      </c>
      <c r="D81" s="3351">
        <f>C81-$K19</f>
        <v>98</v>
      </c>
      <c r="E81" s="3351">
        <f>D81-$K19</f>
        <v>96</v>
      </c>
      <c r="F81" s="3351">
        <f>E81-$K19</f>
        <v>94</v>
      </c>
      <c r="G81" s="3351">
        <f>F81-$K19</f>
        <v>92</v>
      </c>
      <c r="H81" s="3351"/>
      <c r="I81" s="3351"/>
      <c r="J81" s="3351"/>
      <c r="K81" s="3351"/>
      <c r="L81" s="3351"/>
      <c r="M81" s="3352"/>
      <c r="N81" s="3344"/>
      <c r="O81" s="3344"/>
      <c r="P81" s="3518"/>
      <c r="Q81" s="3314"/>
    </row>
    <row r="82" spans="1:17" ht="15.75" thickTop="1">
      <c r="A82" s="3340"/>
      <c r="B82" s="3353" t="s">
        <v>3356</v>
      </c>
      <c r="C82" s="3346" t="s">
        <v>3357</v>
      </c>
      <c r="D82" s="3346" t="s">
        <v>3358</v>
      </c>
      <c r="E82" s="3346" t="s">
        <v>3052</v>
      </c>
      <c r="F82" s="3346" t="s">
        <v>3359</v>
      </c>
      <c r="G82" s="3346" t="s">
        <v>3360</v>
      </c>
      <c r="H82" s="3346"/>
      <c r="I82" s="3346"/>
      <c r="J82" s="3346"/>
      <c r="K82" s="3346"/>
      <c r="L82" s="3346"/>
      <c r="M82" s="3523"/>
      <c r="N82" s="3344"/>
      <c r="O82" s="3344"/>
      <c r="P82" s="3518"/>
      <c r="Q82" s="3314"/>
    </row>
    <row r="83" spans="1:17" ht="15.75" thickBot="1">
      <c r="A83" s="3340"/>
      <c r="B83" s="3353"/>
      <c r="C83" s="3392">
        <v>100</v>
      </c>
      <c r="D83" s="3392">
        <f>C83-$K21</f>
        <v>99</v>
      </c>
      <c r="E83" s="3392">
        <f t="shared" ref="E83:G83" si="23">D83-$K21</f>
        <v>98</v>
      </c>
      <c r="F83" s="3392">
        <f t="shared" si="23"/>
        <v>97</v>
      </c>
      <c r="G83" s="3392">
        <f t="shared" si="23"/>
        <v>96</v>
      </c>
      <c r="H83" s="3392"/>
      <c r="I83" s="3392"/>
      <c r="J83" s="3392"/>
      <c r="K83" s="3392"/>
      <c r="L83" s="3392"/>
      <c r="M83" s="3258"/>
      <c r="N83" s="3344"/>
      <c r="O83" s="3344"/>
      <c r="P83" s="3518"/>
      <c r="Q83" s="3314"/>
    </row>
    <row r="84" spans="1:17" ht="15.75" thickTop="1">
      <c r="A84" s="3340"/>
      <c r="B84" s="3345" t="s">
        <v>3361</v>
      </c>
      <c r="C84" s="3384" t="s">
        <v>3350</v>
      </c>
      <c r="D84" s="3384" t="s">
        <v>3351</v>
      </c>
      <c r="E84" s="3384" t="s">
        <v>3352</v>
      </c>
      <c r="F84" s="3384" t="s">
        <v>3353</v>
      </c>
      <c r="G84" s="3384" t="s">
        <v>3354</v>
      </c>
      <c r="H84" s="3346"/>
      <c r="I84" s="3346"/>
      <c r="J84" s="3346"/>
      <c r="K84" s="3347"/>
      <c r="L84" s="3348"/>
      <c r="M84" s="3349"/>
      <c r="N84" s="3339"/>
      <c r="O84" s="3339"/>
      <c r="P84" s="3518"/>
      <c r="Q84" s="3314"/>
    </row>
    <row r="85" spans="1:17" ht="15.75" thickBot="1">
      <c r="A85" s="3340"/>
      <c r="B85" s="3350"/>
      <c r="C85" s="3351">
        <v>100</v>
      </c>
      <c r="D85" s="3351">
        <f>C85-$K23</f>
        <v>95</v>
      </c>
      <c r="E85" s="3351">
        <f>D85-$K23</f>
        <v>90</v>
      </c>
      <c r="F85" s="3351">
        <f>E85-$K23</f>
        <v>85</v>
      </c>
      <c r="G85" s="3351">
        <f>F85-$K23</f>
        <v>80</v>
      </c>
      <c r="H85" s="3351"/>
      <c r="I85" s="3351"/>
      <c r="J85" s="3351"/>
      <c r="K85" s="3351"/>
      <c r="L85" s="3351"/>
      <c r="M85" s="3352"/>
      <c r="N85" s="3344"/>
      <c r="O85" s="3344"/>
      <c r="P85" s="3518"/>
      <c r="Q85" s="3314"/>
    </row>
    <row r="86" spans="1:17" s="3212" customFormat="1" ht="15.75" thickTop="1">
      <c r="A86" s="3385"/>
      <c r="B86" s="3345" t="s">
        <v>3309</v>
      </c>
      <c r="C86" s="3361"/>
      <c r="D86" s="3361"/>
      <c r="E86" s="3361"/>
      <c r="F86" s="3361"/>
      <c r="G86" s="3361"/>
      <c r="H86" s="3361"/>
      <c r="I86" s="3361"/>
      <c r="J86" s="3361"/>
      <c r="K86" s="3361"/>
      <c r="L86" s="3524"/>
      <c r="M86" s="3525"/>
      <c r="N86" s="3330"/>
      <c r="O86" s="3330"/>
      <c r="P86" s="3518"/>
      <c r="Q86" s="3314"/>
    </row>
    <row r="87" spans="1:17" s="3212" customFormat="1" ht="15.75" thickBot="1">
      <c r="A87" s="3385"/>
      <c r="B87" s="3350"/>
      <c r="C87" s="3386">
        <v>100</v>
      </c>
      <c r="D87" s="3351">
        <f t="shared" ref="D87:M87" si="24">$C$87-($C$86-D86)*$K$25</f>
        <v>100</v>
      </c>
      <c r="E87" s="3351">
        <f t="shared" si="24"/>
        <v>100</v>
      </c>
      <c r="F87" s="3351">
        <f t="shared" si="24"/>
        <v>100</v>
      </c>
      <c r="G87" s="3351">
        <f t="shared" si="24"/>
        <v>100</v>
      </c>
      <c r="H87" s="3351">
        <f t="shared" si="24"/>
        <v>100</v>
      </c>
      <c r="I87" s="3351">
        <f t="shared" si="24"/>
        <v>100</v>
      </c>
      <c r="J87" s="3351">
        <f t="shared" si="24"/>
        <v>100</v>
      </c>
      <c r="K87" s="3351">
        <f t="shared" si="24"/>
        <v>100</v>
      </c>
      <c r="L87" s="3351">
        <f t="shared" si="24"/>
        <v>100</v>
      </c>
      <c r="M87" s="3351">
        <f t="shared" si="24"/>
        <v>100</v>
      </c>
      <c r="N87" s="3344"/>
      <c r="O87" s="3344"/>
      <c r="P87" s="3518"/>
      <c r="Q87" s="3314"/>
    </row>
    <row r="88" spans="1:17" s="3212" customFormat="1" ht="15.75" thickTop="1">
      <c r="A88" s="3385"/>
      <c r="B88" s="3345" t="s">
        <v>3362</v>
      </c>
      <c r="C88" s="3361"/>
      <c r="D88" s="3361"/>
      <c r="E88" s="3361"/>
      <c r="F88" s="3526"/>
      <c r="G88" s="3361"/>
      <c r="H88" s="3361"/>
      <c r="I88" s="3361"/>
      <c r="J88" s="3361"/>
      <c r="K88" s="3361"/>
      <c r="L88" s="3361"/>
      <c r="M88" s="3525"/>
      <c r="N88" s="3330"/>
      <c r="O88" s="3330"/>
      <c r="P88" s="3518"/>
      <c r="Q88" s="3314"/>
    </row>
    <row r="89" spans="1:17" s="3212" customFormat="1" ht="15.75" thickBot="1">
      <c r="A89" s="3385"/>
      <c r="B89" s="3350"/>
      <c r="C89" s="3386">
        <v>100</v>
      </c>
      <c r="D89" s="3351">
        <f t="shared" ref="D89:M89" si="25">C89-$K26</f>
        <v>100</v>
      </c>
      <c r="E89" s="3351">
        <f t="shared" si="25"/>
        <v>100</v>
      </c>
      <c r="F89" s="3351">
        <f t="shared" si="25"/>
        <v>100</v>
      </c>
      <c r="G89" s="3351">
        <f t="shared" si="25"/>
        <v>100</v>
      </c>
      <c r="H89" s="3351">
        <f t="shared" si="25"/>
        <v>100</v>
      </c>
      <c r="I89" s="3351">
        <f t="shared" si="25"/>
        <v>100</v>
      </c>
      <c r="J89" s="3351">
        <f t="shared" si="25"/>
        <v>100</v>
      </c>
      <c r="K89" s="3351">
        <f t="shared" si="25"/>
        <v>100</v>
      </c>
      <c r="L89" s="3351">
        <f t="shared" si="25"/>
        <v>100</v>
      </c>
      <c r="M89" s="3351">
        <f t="shared" si="25"/>
        <v>100</v>
      </c>
      <c r="N89" s="3344"/>
      <c r="O89" s="3344"/>
      <c r="P89" s="3518"/>
      <c r="Q89" s="3314"/>
    </row>
    <row r="90" spans="1:17" s="3280" customFormat="1" ht="15.75" thickTop="1">
      <c r="A90" s="3359"/>
      <c r="B90" s="3345">
        <f>B27</f>
        <v>111</v>
      </c>
      <c r="C90" s="3361"/>
      <c r="D90" s="3361"/>
      <c r="E90" s="3361"/>
      <c r="F90" s="3361"/>
      <c r="G90" s="3361"/>
      <c r="H90" s="3362"/>
      <c r="I90" s="3362"/>
      <c r="J90" s="3362"/>
      <c r="K90" s="3362"/>
      <c r="L90" s="3363"/>
      <c r="M90" s="3364"/>
      <c r="N90" s="3365"/>
      <c r="O90" s="3365"/>
      <c r="P90" s="3519"/>
      <c r="Q90" s="3366"/>
    </row>
    <row r="91" spans="1:17" s="3280" customFormat="1" ht="15.75" thickBot="1">
      <c r="A91" s="3359"/>
      <c r="B91" s="3350"/>
      <c r="C91" s="3367"/>
      <c r="D91" s="3367"/>
      <c r="E91" s="3367"/>
      <c r="F91" s="3367"/>
      <c r="G91" s="3367"/>
      <c r="H91" s="3369"/>
      <c r="I91" s="3369"/>
      <c r="J91" s="3369"/>
      <c r="K91" s="3369"/>
      <c r="L91" s="3369"/>
      <c r="M91" s="3370"/>
      <c r="N91" s="3365"/>
      <c r="O91" s="3365"/>
      <c r="P91" s="3519"/>
      <c r="Q91" s="3366"/>
    </row>
    <row r="92" spans="1:17" ht="15.75" thickTop="1">
      <c r="A92" s="3340"/>
      <c r="B92" s="3345">
        <f>B28</f>
        <v>111</v>
      </c>
      <c r="C92" s="3361"/>
      <c r="D92" s="3361"/>
      <c r="E92" s="3361"/>
      <c r="F92" s="3361"/>
      <c r="G92" s="3393"/>
      <c r="H92" s="3393"/>
      <c r="I92" s="3393"/>
      <c r="J92" s="3393"/>
      <c r="K92" s="3394"/>
      <c r="L92" s="3395"/>
      <c r="M92" s="3396"/>
      <c r="N92" s="3339"/>
      <c r="O92" s="3339"/>
      <c r="P92" s="3518"/>
      <c r="Q92" s="3314"/>
    </row>
    <row r="93" spans="1:17" ht="15.75" thickBot="1">
      <c r="A93" s="3340"/>
      <c r="B93" s="3350"/>
      <c r="C93" s="3367"/>
      <c r="D93" s="3342"/>
      <c r="E93" s="3342"/>
      <c r="F93" s="3342"/>
      <c r="G93" s="3342"/>
      <c r="H93" s="3342"/>
      <c r="I93" s="3342"/>
      <c r="J93" s="3342"/>
      <c r="K93" s="3342"/>
      <c r="L93" s="3342"/>
      <c r="M93" s="3343"/>
      <c r="N93" s="3344"/>
      <c r="O93" s="3344"/>
      <c r="P93" s="3518"/>
      <c r="Q93" s="3314"/>
    </row>
    <row r="94" spans="1:17" ht="15.75" thickTop="1">
      <c r="A94" s="3340"/>
      <c r="B94" s="3345">
        <f>B29</f>
        <v>111</v>
      </c>
      <c r="C94" s="3361"/>
      <c r="D94" s="3361"/>
      <c r="E94" s="3361"/>
      <c r="F94" s="3361"/>
      <c r="G94" s="3393"/>
      <c r="H94" s="3393"/>
      <c r="I94" s="3393"/>
      <c r="J94" s="3393"/>
      <c r="K94" s="3394"/>
      <c r="L94" s="3395"/>
      <c r="M94" s="3396"/>
      <c r="N94" s="3339"/>
      <c r="O94" s="3339"/>
      <c r="P94" s="3518"/>
      <c r="Q94" s="3314"/>
    </row>
    <row r="95" spans="1:17" ht="15.75" thickBot="1">
      <c r="A95" s="3340"/>
      <c r="B95" s="3350"/>
      <c r="C95" s="3367"/>
      <c r="D95" s="3367"/>
      <c r="E95" s="3367"/>
      <c r="F95" s="3367"/>
      <c r="G95" s="3342"/>
      <c r="H95" s="3342"/>
      <c r="I95" s="3342"/>
      <c r="J95" s="3342"/>
      <c r="K95" s="3342"/>
      <c r="L95" s="3342"/>
      <c r="M95" s="3343"/>
      <c r="N95" s="3344"/>
      <c r="O95" s="3344"/>
      <c r="P95" s="3518"/>
      <c r="Q95" s="3314"/>
    </row>
    <row r="96" spans="1:17" ht="15.75" thickTop="1">
      <c r="A96" s="3340"/>
      <c r="B96" s="3345">
        <f>B30</f>
        <v>111</v>
      </c>
      <c r="C96" s="3361"/>
      <c r="D96" s="3361"/>
      <c r="E96" s="3361"/>
      <c r="F96" s="3361"/>
      <c r="G96" s="3393"/>
      <c r="H96" s="3393"/>
      <c r="I96" s="3393"/>
      <c r="J96" s="3393"/>
      <c r="K96" s="3394"/>
      <c r="L96" s="3395"/>
      <c r="M96" s="3396"/>
      <c r="N96" s="3339"/>
      <c r="O96" s="3339"/>
      <c r="P96" s="3518"/>
      <c r="Q96" s="3314"/>
    </row>
    <row r="97" spans="1:17" ht="15.75" thickBot="1">
      <c r="A97" s="3340"/>
      <c r="B97" s="3350"/>
      <c r="C97" s="3376"/>
      <c r="D97" s="3376"/>
      <c r="E97" s="3376"/>
      <c r="F97" s="3376"/>
      <c r="G97" s="3342"/>
      <c r="H97" s="3342"/>
      <c r="I97" s="3342"/>
      <c r="J97" s="3342"/>
      <c r="K97" s="3342"/>
      <c r="L97" s="3342"/>
      <c r="M97" s="3343"/>
      <c r="N97" s="3344"/>
      <c r="O97" s="3344"/>
      <c r="P97" s="3518"/>
      <c r="Q97" s="3314"/>
    </row>
    <row r="98" spans="1:17" ht="15.75" thickTop="1">
      <c r="A98" s="3340"/>
      <c r="B98" s="3353">
        <f>B31</f>
        <v>111</v>
      </c>
      <c r="C98" s="3397"/>
      <c r="D98" s="3397"/>
      <c r="E98" s="3397"/>
      <c r="F98" s="3397"/>
      <c r="G98" s="3397"/>
      <c r="H98" s="3397"/>
      <c r="I98" s="3397"/>
      <c r="J98" s="3397"/>
      <c r="K98" s="3398"/>
      <c r="L98" s="3399"/>
      <c r="M98" s="3400"/>
      <c r="N98" s="3339"/>
      <c r="O98" s="3339"/>
      <c r="P98" s="3518"/>
      <c r="Q98" s="3314"/>
    </row>
    <row r="99" spans="1:17" ht="15.75" thickBot="1">
      <c r="A99" s="3527"/>
      <c r="B99" s="3375"/>
      <c r="C99" s="3401"/>
      <c r="D99" s="3401"/>
      <c r="E99" s="3401"/>
      <c r="F99" s="3401"/>
      <c r="G99" s="3401"/>
      <c r="H99" s="3401"/>
      <c r="I99" s="3401"/>
      <c r="J99" s="3401"/>
      <c r="K99" s="3401"/>
      <c r="L99" s="3401"/>
      <c r="M99" s="3402"/>
      <c r="N99" s="3344"/>
      <c r="O99" s="3344"/>
      <c r="P99" s="3518"/>
      <c r="Q99" s="3314"/>
    </row>
    <row r="100" spans="1:17">
      <c r="A100" s="3333" t="s">
        <v>3313</v>
      </c>
      <c r="B100" s="3334" t="s">
        <v>3470</v>
      </c>
      <c r="C100" s="3335" t="s">
        <v>3471</v>
      </c>
      <c r="D100" s="3335" t="s">
        <v>3542</v>
      </c>
      <c r="E100" s="3335" t="s">
        <v>3541</v>
      </c>
      <c r="F100" s="3283"/>
      <c r="G100" s="3283"/>
      <c r="H100" s="3283"/>
      <c r="I100" s="3283"/>
      <c r="J100" s="3283"/>
      <c r="K100" s="3336"/>
      <c r="L100" s="3337"/>
      <c r="M100" s="3338"/>
      <c r="N100" s="3339"/>
      <c r="O100" s="3339"/>
      <c r="P100" s="3518"/>
      <c r="Q100" s="3314"/>
    </row>
    <row r="101" spans="1:17" ht="15.75" thickBot="1">
      <c r="A101" s="3340"/>
      <c r="B101" s="3350"/>
      <c r="C101" s="3351">
        <v>100</v>
      </c>
      <c r="D101" s="3351">
        <f t="shared" ref="D101:M101" si="26">C101-$K32</f>
        <v>90</v>
      </c>
      <c r="E101" s="3351">
        <f t="shared" si="26"/>
        <v>80</v>
      </c>
      <c r="F101" s="3351">
        <f t="shared" si="26"/>
        <v>70</v>
      </c>
      <c r="G101" s="3351">
        <f t="shared" si="26"/>
        <v>60</v>
      </c>
      <c r="H101" s="3351">
        <f t="shared" si="26"/>
        <v>50</v>
      </c>
      <c r="I101" s="3351">
        <f t="shared" si="26"/>
        <v>40</v>
      </c>
      <c r="J101" s="3351">
        <f t="shared" si="26"/>
        <v>30</v>
      </c>
      <c r="K101" s="3351">
        <f t="shared" si="26"/>
        <v>20</v>
      </c>
      <c r="L101" s="3351">
        <f t="shared" si="26"/>
        <v>10</v>
      </c>
      <c r="M101" s="3351">
        <f t="shared" si="26"/>
        <v>0</v>
      </c>
      <c r="N101" s="3344"/>
      <c r="O101" s="3344"/>
      <c r="P101" s="3518"/>
      <c r="Q101" s="3314"/>
    </row>
    <row r="102" spans="1:17" ht="29.25" thickTop="1">
      <c r="A102" s="3340"/>
      <c r="B102" s="3345" t="s">
        <v>3472</v>
      </c>
      <c r="C102" s="3384" t="str">
        <f>C103&amp;"(含)"&amp;"-"&amp;D103</f>
        <v>0(含)-10000</v>
      </c>
      <c r="D102" s="3384" t="str">
        <f t="shared" ref="D102:L102" si="27">D103&amp;"(含)"&amp;"-"&amp;E103</f>
        <v>10000(含)-20000</v>
      </c>
      <c r="E102" s="3384" t="str">
        <f t="shared" si="27"/>
        <v>20000(含)-50000</v>
      </c>
      <c r="F102" s="3384" t="str">
        <f t="shared" si="27"/>
        <v>50000(含)-80000</v>
      </c>
      <c r="G102" s="3384" t="str">
        <f t="shared" si="27"/>
        <v>80000(含)-120000</v>
      </c>
      <c r="H102" s="3384" t="str">
        <f t="shared" si="27"/>
        <v>120000(含)-180000</v>
      </c>
      <c r="I102" s="3384" t="str">
        <f t="shared" si="27"/>
        <v>180000(含)-</v>
      </c>
      <c r="J102" s="3384" t="str">
        <f t="shared" si="27"/>
        <v>(含)-</v>
      </c>
      <c r="K102" s="3384" t="str">
        <f>K103&amp;"(含)"&amp;"-"&amp;L103</f>
        <v>(含)-</v>
      </c>
      <c r="L102" s="3384" t="str">
        <f t="shared" si="27"/>
        <v>(含)-</v>
      </c>
      <c r="M102" s="3384" t="str">
        <f>M103&amp;"(含)"&amp;"-"&amp;P103</f>
        <v>(含)-</v>
      </c>
      <c r="N102" s="3330"/>
      <c r="O102" s="3330"/>
      <c r="P102" s="3518"/>
      <c r="Q102" s="3314"/>
    </row>
    <row r="103" spans="1:17" s="3280" customFormat="1">
      <c r="A103" s="3403"/>
      <c r="B103" s="3404"/>
      <c r="C103" s="3317">
        <v>0</v>
      </c>
      <c r="D103" s="3317">
        <v>10000</v>
      </c>
      <c r="E103" s="3317">
        <v>20000</v>
      </c>
      <c r="F103" s="3317">
        <v>50000</v>
      </c>
      <c r="G103" s="3317">
        <v>80000</v>
      </c>
      <c r="H103" s="3317">
        <v>120000</v>
      </c>
      <c r="I103" s="3317">
        <v>180000</v>
      </c>
      <c r="J103" s="3405"/>
      <c r="K103" s="3405"/>
      <c r="L103" s="3406"/>
      <c r="M103" s="3407"/>
      <c r="N103" s="3365"/>
      <c r="O103" s="3365"/>
      <c r="P103" s="3519"/>
      <c r="Q103" s="3366"/>
    </row>
    <row r="104" spans="1:17" s="3280" customFormat="1" ht="15.75" thickBot="1">
      <c r="A104" s="3359"/>
      <c r="B104" s="3350"/>
      <c r="C104" s="3367">
        <v>100</v>
      </c>
      <c r="D104" s="3342">
        <v>101</v>
      </c>
      <c r="E104" s="3342">
        <v>102</v>
      </c>
      <c r="F104" s="3342">
        <v>103</v>
      </c>
      <c r="G104" s="3342">
        <v>104</v>
      </c>
      <c r="H104" s="3342">
        <v>105</v>
      </c>
      <c r="I104" s="3342">
        <v>106</v>
      </c>
      <c r="J104" s="3342"/>
      <c r="K104" s="3342"/>
      <c r="L104" s="3342"/>
      <c r="M104" s="3342"/>
      <c r="N104" s="3344"/>
      <c r="O104" s="3344"/>
      <c r="P104" s="3519"/>
      <c r="Q104" s="3366"/>
    </row>
    <row r="105" spans="1:17" ht="15" thickTop="1">
      <c r="A105" s="3408"/>
      <c r="B105" s="3345" t="s">
        <v>3473</v>
      </c>
      <c r="C105" s="3360" t="s">
        <v>3474</v>
      </c>
      <c r="D105" s="3361"/>
      <c r="E105" s="3393"/>
      <c r="F105" s="3393"/>
      <c r="G105" s="3393"/>
      <c r="H105" s="3393"/>
      <c r="I105" s="3393"/>
      <c r="J105" s="3393"/>
      <c r="K105" s="3394"/>
      <c r="L105" s="3395"/>
      <c r="M105" s="3396"/>
      <c r="N105" s="3339"/>
      <c r="O105" s="3339"/>
      <c r="P105" s="3518"/>
      <c r="Q105" s="3314"/>
    </row>
    <row r="106" spans="1:17" ht="15.75" thickBot="1">
      <c r="A106" s="3340"/>
      <c r="B106" s="3350"/>
      <c r="C106" s="3351">
        <v>100</v>
      </c>
      <c r="D106" s="3351">
        <f t="shared" ref="D106:M106" si="28">C106-$K34</f>
        <v>99</v>
      </c>
      <c r="E106" s="3351">
        <f t="shared" si="28"/>
        <v>98</v>
      </c>
      <c r="F106" s="3351">
        <f t="shared" si="28"/>
        <v>97</v>
      </c>
      <c r="G106" s="3351">
        <f t="shared" si="28"/>
        <v>96</v>
      </c>
      <c r="H106" s="3351">
        <f t="shared" si="28"/>
        <v>95</v>
      </c>
      <c r="I106" s="3351">
        <f t="shared" si="28"/>
        <v>94</v>
      </c>
      <c r="J106" s="3351">
        <f t="shared" si="28"/>
        <v>93</v>
      </c>
      <c r="K106" s="3351">
        <f t="shared" si="28"/>
        <v>92</v>
      </c>
      <c r="L106" s="3351">
        <f t="shared" si="28"/>
        <v>91</v>
      </c>
      <c r="M106" s="3351">
        <f t="shared" si="28"/>
        <v>90</v>
      </c>
      <c r="N106" s="3344"/>
      <c r="O106" s="3344"/>
      <c r="P106" s="3518"/>
      <c r="Q106" s="3314"/>
    </row>
    <row r="107" spans="1:17" ht="15" thickTop="1">
      <c r="A107" s="3408"/>
      <c r="B107" s="3345" t="s">
        <v>3475</v>
      </c>
      <c r="C107" s="3409" t="s">
        <v>3476</v>
      </c>
      <c r="D107" s="3393"/>
      <c r="E107" s="3393"/>
      <c r="F107" s="3393"/>
      <c r="G107" s="3393"/>
      <c r="H107" s="3393"/>
      <c r="I107" s="3393"/>
      <c r="J107" s="3393"/>
      <c r="K107" s="3394"/>
      <c r="L107" s="3395"/>
      <c r="M107" s="3396"/>
      <c r="N107" s="3339"/>
      <c r="O107" s="3339"/>
      <c r="P107" s="3518"/>
      <c r="Q107" s="3314"/>
    </row>
    <row r="108" spans="1:17" ht="15.75" thickBot="1">
      <c r="A108" s="3340"/>
      <c r="B108" s="3350"/>
      <c r="C108" s="3351">
        <v>100</v>
      </c>
      <c r="D108" s="3351">
        <f t="shared" ref="D108:M108" si="29">C108-$K35</f>
        <v>98</v>
      </c>
      <c r="E108" s="3351">
        <f t="shared" si="29"/>
        <v>96</v>
      </c>
      <c r="F108" s="3351">
        <f t="shared" si="29"/>
        <v>94</v>
      </c>
      <c r="G108" s="3351">
        <f t="shared" si="29"/>
        <v>92</v>
      </c>
      <c r="H108" s="3351">
        <f t="shared" si="29"/>
        <v>90</v>
      </c>
      <c r="I108" s="3351">
        <f t="shared" si="29"/>
        <v>88</v>
      </c>
      <c r="J108" s="3351">
        <f t="shared" si="29"/>
        <v>86</v>
      </c>
      <c r="K108" s="3351">
        <f t="shared" si="29"/>
        <v>84</v>
      </c>
      <c r="L108" s="3351">
        <f t="shared" si="29"/>
        <v>82</v>
      </c>
      <c r="M108" s="3351">
        <f t="shared" si="29"/>
        <v>80</v>
      </c>
      <c r="N108" s="3344"/>
      <c r="O108" s="3344"/>
      <c r="P108" s="3518"/>
      <c r="Q108" s="3314"/>
    </row>
    <row r="109" spans="1:17" ht="15" thickTop="1">
      <c r="A109" s="3408"/>
      <c r="B109" s="3345" t="s">
        <v>3477</v>
      </c>
      <c r="C109" s="3360" t="s">
        <v>3478</v>
      </c>
      <c r="D109" s="3361"/>
      <c r="E109" s="3361"/>
      <c r="F109" s="3393"/>
      <c r="G109" s="3393"/>
      <c r="H109" s="3393"/>
      <c r="I109" s="3393"/>
      <c r="J109" s="3393"/>
      <c r="K109" s="3394"/>
      <c r="L109" s="3395"/>
      <c r="M109" s="3396"/>
      <c r="N109" s="3339"/>
      <c r="O109" s="3339"/>
      <c r="P109" s="3518"/>
      <c r="Q109" s="3314"/>
    </row>
    <row r="110" spans="1:17" ht="15.75" thickBot="1">
      <c r="A110" s="3340"/>
      <c r="B110" s="3350"/>
      <c r="C110" s="3351">
        <v>100</v>
      </c>
      <c r="D110" s="3351">
        <f t="shared" ref="D110:M110" si="30">C110-$K36</f>
        <v>99</v>
      </c>
      <c r="E110" s="3351">
        <f t="shared" si="30"/>
        <v>98</v>
      </c>
      <c r="F110" s="3351">
        <f t="shared" si="30"/>
        <v>97</v>
      </c>
      <c r="G110" s="3351">
        <f t="shared" si="30"/>
        <v>96</v>
      </c>
      <c r="H110" s="3351">
        <f t="shared" si="30"/>
        <v>95</v>
      </c>
      <c r="I110" s="3351">
        <f t="shared" si="30"/>
        <v>94</v>
      </c>
      <c r="J110" s="3351">
        <f t="shared" si="30"/>
        <v>93</v>
      </c>
      <c r="K110" s="3351">
        <f t="shared" si="30"/>
        <v>92</v>
      </c>
      <c r="L110" s="3351">
        <f t="shared" si="30"/>
        <v>91</v>
      </c>
      <c r="M110" s="3351">
        <f t="shared" si="30"/>
        <v>90</v>
      </c>
      <c r="N110" s="3344"/>
      <c r="O110" s="3344"/>
      <c r="P110" s="3518"/>
      <c r="Q110" s="3314"/>
    </row>
    <row r="111" spans="1:17" s="3280" customFormat="1" ht="15" thickTop="1">
      <c r="A111" s="3403"/>
      <c r="B111" s="3345" t="s">
        <v>3479</v>
      </c>
      <c r="C111" s="3384" t="str">
        <f>C112&amp;"(含)"&amp;"-"&amp;D112</f>
        <v>0.5(含)-0.6</v>
      </c>
      <c r="D111" s="3384" t="str">
        <f>D112&amp;"(含)"&amp;"-"&amp;E112</f>
        <v>0.6(含)-0.7</v>
      </c>
      <c r="E111" s="3384" t="str">
        <f>E112&amp;"(含)"&amp;"-"&amp;F112</f>
        <v>0.7(含)-0.8</v>
      </c>
      <c r="F111" s="3384" t="str">
        <f>F112&amp;"(含)"&amp;"-"&amp;G112</f>
        <v>0.8(含)-0.9</v>
      </c>
      <c r="G111" s="3384" t="str">
        <f>G112&amp;"(含)"&amp;"-"&amp;ROUND(H112,0)&amp;"(含)"</f>
        <v>0.9(含)-1(含)</v>
      </c>
      <c r="H111" s="3384" t="str">
        <f>ROUND(H112,0)&amp;"(含)"&amp;"-"&amp;I112</f>
        <v>1(含)-</v>
      </c>
      <c r="I111" s="3384"/>
      <c r="J111" s="3387"/>
      <c r="K111" s="3387"/>
      <c r="L111" s="3388"/>
      <c r="M111" s="3389"/>
      <c r="N111" s="3365"/>
      <c r="O111" s="3365"/>
      <c r="P111" s="3519"/>
      <c r="Q111" s="3366"/>
    </row>
    <row r="112" spans="1:17" s="3280" customFormat="1">
      <c r="A112" s="3403"/>
      <c r="B112" s="3353"/>
      <c r="C112" s="3316">
        <v>0.5</v>
      </c>
      <c r="D112" s="3316">
        <v>0.6</v>
      </c>
      <c r="E112" s="3316">
        <v>0.7</v>
      </c>
      <c r="F112" s="3316">
        <v>0.8</v>
      </c>
      <c r="G112" s="3316">
        <v>0.9</v>
      </c>
      <c r="H112" s="3316">
        <v>1.0001</v>
      </c>
      <c r="I112" s="3316"/>
      <c r="J112" s="3528"/>
      <c r="K112" s="3528"/>
      <c r="L112" s="3529"/>
      <c r="M112" s="3530"/>
      <c r="N112" s="3365"/>
      <c r="O112" s="3365"/>
      <c r="P112" s="3519"/>
      <c r="Q112" s="3366"/>
    </row>
    <row r="113" spans="1:17" s="3280" customFormat="1" ht="15.75" thickBot="1">
      <c r="A113" s="3359"/>
      <c r="B113" s="3350"/>
      <c r="C113" s="3386">
        <v>100</v>
      </c>
      <c r="D113" s="3351">
        <f>C113+$K37</f>
        <v>101</v>
      </c>
      <c r="E113" s="3351">
        <f>D113+$K37</f>
        <v>102</v>
      </c>
      <c r="F113" s="3351">
        <f>E113+$K37</f>
        <v>103</v>
      </c>
      <c r="G113" s="3351">
        <f>F113+$K37</f>
        <v>104</v>
      </c>
      <c r="H113" s="3351">
        <f>G113+$K37</f>
        <v>105</v>
      </c>
      <c r="I113" s="3386"/>
      <c r="J113" s="3390"/>
      <c r="K113" s="3390"/>
      <c r="L113" s="3390"/>
      <c r="M113" s="3391"/>
      <c r="N113" s="3365"/>
      <c r="O113" s="3365"/>
      <c r="P113" s="3519"/>
      <c r="Q113" s="3366"/>
    </row>
    <row r="114" spans="1:17" ht="15" thickTop="1">
      <c r="A114" s="3408"/>
      <c r="B114" s="3345" t="s">
        <v>3480</v>
      </c>
      <c r="C114" s="3360" t="s">
        <v>3481</v>
      </c>
      <c r="D114" s="3361"/>
      <c r="E114" s="3393"/>
      <c r="F114" s="3393"/>
      <c r="G114" s="3393"/>
      <c r="H114" s="3393"/>
      <c r="I114" s="3393"/>
      <c r="J114" s="3393"/>
      <c r="K114" s="3394"/>
      <c r="L114" s="3395"/>
      <c r="M114" s="3396"/>
      <c r="N114" s="3339"/>
      <c r="O114" s="3339"/>
      <c r="P114" s="3518"/>
      <c r="Q114" s="3314"/>
    </row>
    <row r="115" spans="1:17" ht="15.75" thickBot="1">
      <c r="A115" s="3340"/>
      <c r="B115" s="3350"/>
      <c r="C115" s="3351">
        <v>100</v>
      </c>
      <c r="D115" s="3351">
        <f t="shared" ref="D115:M115" si="31">C115-$K38</f>
        <v>99</v>
      </c>
      <c r="E115" s="3351">
        <f t="shared" si="31"/>
        <v>98</v>
      </c>
      <c r="F115" s="3351">
        <f t="shared" si="31"/>
        <v>97</v>
      </c>
      <c r="G115" s="3351">
        <f t="shared" si="31"/>
        <v>96</v>
      </c>
      <c r="H115" s="3351">
        <f t="shared" si="31"/>
        <v>95</v>
      </c>
      <c r="I115" s="3351">
        <f t="shared" si="31"/>
        <v>94</v>
      </c>
      <c r="J115" s="3351">
        <f t="shared" si="31"/>
        <v>93</v>
      </c>
      <c r="K115" s="3351">
        <f t="shared" si="31"/>
        <v>92</v>
      </c>
      <c r="L115" s="3351">
        <f t="shared" si="31"/>
        <v>91</v>
      </c>
      <c r="M115" s="3351">
        <f t="shared" si="31"/>
        <v>90</v>
      </c>
      <c r="N115" s="3344"/>
      <c r="O115" s="3344"/>
      <c r="P115" s="3518"/>
      <c r="Q115" s="3314"/>
    </row>
    <row r="116" spans="1:17" ht="15" thickTop="1">
      <c r="A116" s="3408"/>
      <c r="B116" s="3345" t="s">
        <v>3326</v>
      </c>
      <c r="C116" s="3360" t="s">
        <v>3482</v>
      </c>
      <c r="D116" s="3360" t="s">
        <v>3483</v>
      </c>
      <c r="E116" s="3360" t="s">
        <v>3484</v>
      </c>
      <c r="F116" s="3360" t="s">
        <v>3485</v>
      </c>
      <c r="G116" s="3361"/>
      <c r="H116" s="3393"/>
      <c r="I116" s="3393"/>
      <c r="J116" s="3393"/>
      <c r="K116" s="3394"/>
      <c r="L116" s="3395"/>
      <c r="M116" s="3396"/>
      <c r="N116" s="3339"/>
      <c r="O116" s="3339"/>
      <c r="P116" s="3518"/>
      <c r="Q116" s="3314"/>
    </row>
    <row r="117" spans="1:17" ht="15.75" thickBot="1">
      <c r="A117" s="3340"/>
      <c r="B117" s="3350"/>
      <c r="C117" s="3351">
        <v>100</v>
      </c>
      <c r="D117" s="3351">
        <f>C117-$K39</f>
        <v>99</v>
      </c>
      <c r="E117" s="3351">
        <f>D117-$K39</f>
        <v>98</v>
      </c>
      <c r="F117" s="3351">
        <f>E117-$K39</f>
        <v>97</v>
      </c>
      <c r="G117" s="3351">
        <f>F117-$K39</f>
        <v>96</v>
      </c>
      <c r="H117" s="3351"/>
      <c r="I117" s="3351"/>
      <c r="J117" s="3351"/>
      <c r="K117" s="3351"/>
      <c r="L117" s="3351"/>
      <c r="M117" s="3352"/>
      <c r="N117" s="3344"/>
      <c r="O117" s="3344"/>
      <c r="P117" s="3518"/>
      <c r="Q117" s="3314"/>
    </row>
    <row r="118" spans="1:17" ht="15" thickTop="1">
      <c r="A118" s="3408"/>
      <c r="B118" s="3345" t="s">
        <v>3486</v>
      </c>
      <c r="C118" s="3393"/>
      <c r="D118" s="3393"/>
      <c r="E118" s="3393"/>
      <c r="F118" s="3393"/>
      <c r="G118" s="3393"/>
      <c r="H118" s="3393"/>
      <c r="I118" s="3393"/>
      <c r="J118" s="3393"/>
      <c r="K118" s="3394"/>
      <c r="L118" s="3395"/>
      <c r="M118" s="3396"/>
      <c r="N118" s="3339"/>
      <c r="O118" s="3339"/>
      <c r="P118" s="3518"/>
      <c r="Q118" s="3314"/>
    </row>
    <row r="119" spans="1:17" ht="15.75" thickBot="1">
      <c r="A119" s="3340"/>
      <c r="B119" s="3350"/>
      <c r="C119" s="3351">
        <v>100</v>
      </c>
      <c r="D119" s="3351">
        <f t="shared" ref="D119:M119" si="32">C119-$K40</f>
        <v>100</v>
      </c>
      <c r="E119" s="3351">
        <f t="shared" si="32"/>
        <v>100</v>
      </c>
      <c r="F119" s="3351">
        <f t="shared" si="32"/>
        <v>100</v>
      </c>
      <c r="G119" s="3351">
        <f t="shared" si="32"/>
        <v>100</v>
      </c>
      <c r="H119" s="3351">
        <f t="shared" si="32"/>
        <v>100</v>
      </c>
      <c r="I119" s="3351">
        <f t="shared" si="32"/>
        <v>100</v>
      </c>
      <c r="J119" s="3351">
        <f t="shared" si="32"/>
        <v>100</v>
      </c>
      <c r="K119" s="3351">
        <f t="shared" si="32"/>
        <v>100</v>
      </c>
      <c r="L119" s="3351">
        <f t="shared" si="32"/>
        <v>100</v>
      </c>
      <c r="M119" s="3351">
        <f t="shared" si="32"/>
        <v>100</v>
      </c>
      <c r="N119" s="3344"/>
      <c r="O119" s="3344"/>
      <c r="P119" s="3518"/>
      <c r="Q119" s="3314"/>
    </row>
    <row r="120" spans="1:17" s="3280" customFormat="1" ht="28.5" thickTop="1">
      <c r="A120" s="3403"/>
      <c r="B120" s="3345" t="s">
        <v>3449</v>
      </c>
      <c r="C120" s="3361"/>
      <c r="D120" s="3361"/>
      <c r="E120" s="3361"/>
      <c r="F120" s="3361"/>
      <c r="G120" s="3361"/>
      <c r="H120" s="3361"/>
      <c r="I120" s="3361"/>
      <c r="J120" s="3361"/>
      <c r="K120" s="3361"/>
      <c r="L120" s="3524"/>
      <c r="M120" s="3525"/>
      <c r="N120" s="3365"/>
      <c r="O120" s="3365"/>
      <c r="P120" s="3519"/>
      <c r="Q120" s="3366"/>
    </row>
    <row r="121" spans="1:17" s="3280" customFormat="1" ht="15.75" thickBot="1">
      <c r="A121" s="3359"/>
      <c r="B121" s="3341"/>
      <c r="C121" s="3367"/>
      <c r="D121" s="3342"/>
      <c r="E121" s="3342"/>
      <c r="F121" s="3342"/>
      <c r="G121" s="3342"/>
      <c r="H121" s="3342"/>
      <c r="I121" s="3342"/>
      <c r="J121" s="3342"/>
      <c r="K121" s="3342"/>
      <c r="L121" s="3342"/>
      <c r="M121" s="3342"/>
      <c r="N121" s="3365"/>
      <c r="O121" s="3365"/>
      <c r="P121" s="3519"/>
      <c r="Q121" s="3366"/>
    </row>
    <row r="122" spans="1:17" ht="15" thickTop="1">
      <c r="A122" s="3408"/>
      <c r="B122" s="3345" t="s">
        <v>3487</v>
      </c>
      <c r="C122" s="3360" t="s">
        <v>3478</v>
      </c>
      <c r="D122" s="3360" t="s">
        <v>3488</v>
      </c>
      <c r="E122" s="3360" t="s">
        <v>3489</v>
      </c>
      <c r="F122" s="3409" t="s">
        <v>3490</v>
      </c>
      <c r="G122" s="3393"/>
      <c r="H122" s="3393"/>
      <c r="I122" s="3393"/>
      <c r="J122" s="3393"/>
      <c r="K122" s="3394"/>
      <c r="L122" s="3395"/>
      <c r="M122" s="3396"/>
      <c r="N122" s="3339"/>
      <c r="O122" s="3339"/>
      <c r="P122" s="3518"/>
      <c r="Q122" s="3314"/>
    </row>
    <row r="123" spans="1:17" ht="15.75" thickBot="1">
      <c r="A123" s="3340"/>
      <c r="B123" s="3350"/>
      <c r="C123" s="3351">
        <v>100</v>
      </c>
      <c r="D123" s="3351">
        <f t="shared" ref="D123:M123" si="33">C123-$K42</f>
        <v>98</v>
      </c>
      <c r="E123" s="3351">
        <f t="shared" si="33"/>
        <v>96</v>
      </c>
      <c r="F123" s="3351">
        <f t="shared" si="33"/>
        <v>94</v>
      </c>
      <c r="G123" s="3351">
        <f t="shared" si="33"/>
        <v>92</v>
      </c>
      <c r="H123" s="3351">
        <f t="shared" si="33"/>
        <v>90</v>
      </c>
      <c r="I123" s="3351">
        <f t="shared" si="33"/>
        <v>88</v>
      </c>
      <c r="J123" s="3351">
        <f t="shared" si="33"/>
        <v>86</v>
      </c>
      <c r="K123" s="3351">
        <f t="shared" si="33"/>
        <v>84</v>
      </c>
      <c r="L123" s="3351">
        <f t="shared" si="33"/>
        <v>82</v>
      </c>
      <c r="M123" s="3351">
        <f t="shared" si="33"/>
        <v>80</v>
      </c>
      <c r="N123" s="3344"/>
      <c r="O123" s="3344"/>
      <c r="P123" s="3518"/>
      <c r="Q123" s="3314"/>
    </row>
    <row r="124" spans="1:17" ht="15" thickTop="1">
      <c r="A124" s="3408"/>
      <c r="B124" s="3345" t="s">
        <v>3388</v>
      </c>
      <c r="C124" s="3384" t="s">
        <v>3350</v>
      </c>
      <c r="D124" s="3384" t="s">
        <v>3351</v>
      </c>
      <c r="E124" s="3384" t="s">
        <v>3352</v>
      </c>
      <c r="F124" s="3384" t="s">
        <v>3353</v>
      </c>
      <c r="G124" s="3384" t="s">
        <v>3354</v>
      </c>
      <c r="H124" s="3346"/>
      <c r="I124" s="3346"/>
      <c r="J124" s="3346"/>
      <c r="K124" s="3347"/>
      <c r="L124" s="3348"/>
      <c r="M124" s="3349"/>
      <c r="N124" s="3339"/>
      <c r="O124" s="3339"/>
      <c r="P124" s="3519"/>
      <c r="Q124" s="3314"/>
    </row>
    <row r="125" spans="1:17" ht="15.75" thickBot="1">
      <c r="A125" s="3340"/>
      <c r="B125" s="3350"/>
      <c r="C125" s="3351">
        <v>100</v>
      </c>
      <c r="D125" s="3351">
        <f>C125-$K43</f>
        <v>98</v>
      </c>
      <c r="E125" s="3351">
        <f>D125-$K43</f>
        <v>96</v>
      </c>
      <c r="F125" s="3351">
        <f>E125-$K43</f>
        <v>94</v>
      </c>
      <c r="G125" s="3351">
        <f>F125-$K43</f>
        <v>92</v>
      </c>
      <c r="H125" s="3351"/>
      <c r="I125" s="3351"/>
      <c r="J125" s="3351"/>
      <c r="K125" s="3351"/>
      <c r="L125" s="3351"/>
      <c r="M125" s="3352"/>
      <c r="N125" s="3344"/>
      <c r="O125" s="3344"/>
      <c r="P125" s="3518"/>
      <c r="Q125" s="3314"/>
    </row>
    <row r="126" spans="1:17" s="3280" customFormat="1" ht="15" thickTop="1">
      <c r="A126" s="3403"/>
      <c r="B126" s="3345">
        <f>B44</f>
        <v>111</v>
      </c>
      <c r="C126" s="3361"/>
      <c r="D126" s="3361"/>
      <c r="E126" s="3361"/>
      <c r="F126" s="3361"/>
      <c r="G126" s="3361"/>
      <c r="H126" s="3362"/>
      <c r="I126" s="3362"/>
      <c r="J126" s="3362"/>
      <c r="K126" s="3362"/>
      <c r="L126" s="3363"/>
      <c r="M126" s="3364"/>
      <c r="N126" s="3365"/>
      <c r="O126" s="3365"/>
      <c r="P126" s="3519"/>
      <c r="Q126" s="3366"/>
    </row>
    <row r="127" spans="1:17" s="3280" customFormat="1" ht="15.75" thickBot="1">
      <c r="A127" s="3359"/>
      <c r="B127" s="3350"/>
      <c r="C127" s="3367"/>
      <c r="D127" s="3342"/>
      <c r="E127" s="3342"/>
      <c r="F127" s="3342"/>
      <c r="G127" s="3367"/>
      <c r="H127" s="3369"/>
      <c r="I127" s="3369"/>
      <c r="J127" s="3369"/>
      <c r="K127" s="3369"/>
      <c r="L127" s="3369"/>
      <c r="M127" s="3370"/>
      <c r="N127" s="3365"/>
      <c r="O127" s="3365"/>
      <c r="P127" s="3519"/>
      <c r="Q127" s="3366"/>
    </row>
    <row r="128" spans="1:17" ht="15" thickTop="1">
      <c r="A128" s="3408"/>
      <c r="B128" s="3345">
        <f>B45</f>
        <v>111</v>
      </c>
      <c r="C128" s="3361"/>
      <c r="D128" s="3361"/>
      <c r="E128" s="3361"/>
      <c r="F128" s="3361"/>
      <c r="G128" s="3393"/>
      <c r="H128" s="3393"/>
      <c r="I128" s="3393"/>
      <c r="J128" s="3393"/>
      <c r="K128" s="3394"/>
      <c r="L128" s="3395"/>
      <c r="M128" s="3396"/>
      <c r="N128" s="3339"/>
      <c r="O128" s="3339"/>
      <c r="P128" s="3518"/>
      <c r="Q128" s="3314"/>
    </row>
    <row r="129" spans="1:17" ht="15.75" thickBot="1">
      <c r="A129" s="3340"/>
      <c r="B129" s="3350"/>
      <c r="C129" s="3367"/>
      <c r="D129" s="3367"/>
      <c r="E129" s="3367"/>
      <c r="F129" s="3367"/>
      <c r="G129" s="3342"/>
      <c r="H129" s="3342"/>
      <c r="I129" s="3342"/>
      <c r="J129" s="3342"/>
      <c r="K129" s="3342"/>
      <c r="L129" s="3342"/>
      <c r="M129" s="3343"/>
      <c r="N129" s="3344"/>
      <c r="O129" s="3344"/>
      <c r="P129" s="3518"/>
      <c r="Q129" s="3314"/>
    </row>
    <row r="130" spans="1:17" ht="15" thickTop="1">
      <c r="A130" s="3408"/>
      <c r="B130" s="3353">
        <f>B46</f>
        <v>111</v>
      </c>
      <c r="C130" s="3361"/>
      <c r="D130" s="3361"/>
      <c r="E130" s="3361"/>
      <c r="F130" s="3361"/>
      <c r="G130" s="3397"/>
      <c r="H130" s="3397"/>
      <c r="I130" s="3397"/>
      <c r="J130" s="3397"/>
      <c r="K130" s="3327"/>
      <c r="L130" s="3328"/>
      <c r="M130" s="3400"/>
      <c r="N130" s="3339"/>
      <c r="O130" s="3339"/>
      <c r="P130" s="3518"/>
      <c r="Q130" s="3314"/>
    </row>
    <row r="131" spans="1:17" ht="15.75" thickBot="1">
      <c r="A131" s="3527"/>
      <c r="B131" s="3375"/>
      <c r="C131" s="3376"/>
      <c r="D131" s="3376"/>
      <c r="E131" s="3376"/>
      <c r="F131" s="3376"/>
      <c r="G131" s="3401"/>
      <c r="H131" s="3401"/>
      <c r="I131" s="3401"/>
      <c r="J131" s="3401"/>
      <c r="K131" s="3401"/>
      <c r="L131" s="3401"/>
      <c r="M131" s="3402"/>
      <c r="N131" s="3344"/>
      <c r="O131" s="3344"/>
      <c r="P131" s="3518"/>
      <c r="Q131" s="3314"/>
    </row>
    <row r="136" spans="1:17" ht="15" thickBot="1">
      <c r="B136" s="3531" t="s">
        <v>3491</v>
      </c>
    </row>
    <row r="137" spans="1:17" ht="15">
      <c r="B137" s="3532" t="s">
        <v>3492</v>
      </c>
      <c r="C137" s="3533"/>
      <c r="D137" s="3533"/>
      <c r="E137" s="3533"/>
      <c r="F137" s="3533"/>
      <c r="G137" s="3534"/>
      <c r="H137" s="3535"/>
      <c r="I137" s="3536" t="s">
        <v>3493</v>
      </c>
      <c r="J137" s="3533"/>
      <c r="K137" s="3537"/>
    </row>
    <row r="138" spans="1:17" ht="15">
      <c r="B138" s="3538"/>
      <c r="C138" s="3539" t="s">
        <v>3494</v>
      </c>
      <c r="D138" s="3539" t="s">
        <v>3495</v>
      </c>
      <c r="E138" s="3540" t="s">
        <v>3496</v>
      </c>
      <c r="F138" s="3541" t="s">
        <v>3497</v>
      </c>
      <c r="G138" s="3539" t="s">
        <v>3495</v>
      </c>
      <c r="H138" s="3542" t="s">
        <v>3496</v>
      </c>
      <c r="I138" s="3543"/>
      <c r="J138" s="3539" t="s">
        <v>3498</v>
      </c>
      <c r="K138" s="3542" t="s">
        <v>3499</v>
      </c>
    </row>
    <row r="139" spans="1:17" ht="15">
      <c r="B139" s="3544">
        <v>6</v>
      </c>
      <c r="C139" s="3545">
        <v>96</v>
      </c>
      <c r="D139" s="3546" t="s">
        <v>3500</v>
      </c>
      <c r="E139" s="3547">
        <v>100</v>
      </c>
      <c r="F139" s="3548">
        <v>102.5</v>
      </c>
      <c r="G139" s="3546" t="s">
        <v>3500</v>
      </c>
      <c r="H139" s="3549">
        <v>105</v>
      </c>
      <c r="I139" s="3550" t="s">
        <v>3501</v>
      </c>
      <c r="J139" s="3545">
        <v>20</v>
      </c>
      <c r="K139" s="3551">
        <f>C145/(J139-2)</f>
        <v>4.0555555555555553E-3</v>
      </c>
    </row>
    <row r="140" spans="1:17" ht="15">
      <c r="B140" s="3552">
        <v>5</v>
      </c>
      <c r="C140" s="3553">
        <v>100</v>
      </c>
      <c r="D140" s="3553"/>
      <c r="E140" s="3554"/>
      <c r="F140" s="3555">
        <v>102</v>
      </c>
      <c r="G140" s="3553"/>
      <c r="H140" s="3556"/>
      <c r="I140" s="3557" t="s">
        <v>3502</v>
      </c>
      <c r="J140" s="3558">
        <f>ROUNDUP((J139-1)/2,0)</f>
        <v>10</v>
      </c>
      <c r="K140" s="3559">
        <v>100</v>
      </c>
    </row>
    <row r="141" spans="1:17" ht="15">
      <c r="B141" s="3552">
        <v>4</v>
      </c>
      <c r="C141" s="3553">
        <v>102</v>
      </c>
      <c r="D141" s="3553"/>
      <c r="E141" s="3554"/>
      <c r="F141" s="3555">
        <v>101.5</v>
      </c>
      <c r="G141" s="3553"/>
      <c r="H141" s="3556"/>
      <c r="I141" s="3557" t="s">
        <v>3503</v>
      </c>
      <c r="J141" s="3558">
        <v>1</v>
      </c>
      <c r="K141" s="3560">
        <f>ROUND(100+(J141-J140)*K139*100,1)</f>
        <v>96.4</v>
      </c>
    </row>
    <row r="142" spans="1:17" ht="15">
      <c r="B142" s="3552">
        <v>3</v>
      </c>
      <c r="C142" s="3553">
        <v>103</v>
      </c>
      <c r="D142" s="3553"/>
      <c r="E142" s="3554"/>
      <c r="F142" s="3555">
        <v>101</v>
      </c>
      <c r="G142" s="3553"/>
      <c r="H142" s="3556"/>
      <c r="I142" s="3557" t="s">
        <v>3504</v>
      </c>
      <c r="J142" s="3558">
        <f>J139</f>
        <v>20</v>
      </c>
      <c r="K142" s="3561">
        <v>95</v>
      </c>
    </row>
    <row r="143" spans="1:17" ht="15">
      <c r="B143" s="3552">
        <v>2</v>
      </c>
      <c r="C143" s="3553">
        <v>100</v>
      </c>
      <c r="D143" s="3553"/>
      <c r="E143" s="3554"/>
      <c r="F143" s="3555">
        <v>100.5</v>
      </c>
      <c r="G143" s="3553"/>
      <c r="H143" s="3556"/>
      <c r="I143" s="3557" t="s">
        <v>3505</v>
      </c>
      <c r="J143" s="3553">
        <v>15</v>
      </c>
      <c r="K143" s="3560">
        <f>ROUND(100+(J143-J140)*K139*100,1)</f>
        <v>102</v>
      </c>
    </row>
    <row r="144" spans="1:17" ht="15">
      <c r="B144" s="3552">
        <v>1</v>
      </c>
      <c r="C144" s="3553">
        <v>98</v>
      </c>
      <c r="D144" s="3562" t="s">
        <v>3506</v>
      </c>
      <c r="E144" s="3554">
        <v>102</v>
      </c>
      <c r="F144" s="3563">
        <v>100</v>
      </c>
      <c r="G144" s="3562" t="s">
        <v>3506</v>
      </c>
      <c r="H144" s="3556">
        <v>105</v>
      </c>
      <c r="I144" s="3557" t="s">
        <v>3505</v>
      </c>
      <c r="J144" s="3553">
        <v>18</v>
      </c>
      <c r="K144" s="3560">
        <f>ROUND(100+(J144-J140)*K139*100,1)</f>
        <v>103.2</v>
      </c>
    </row>
    <row r="145" spans="2:11" ht="15.75" thickBot="1">
      <c r="B145" s="3564" t="s">
        <v>3507</v>
      </c>
      <c r="C145" s="3565">
        <f>ROUND(MAX(C139:C144)/MIN(C139:C144)-1,3)</f>
        <v>7.2999999999999995E-2</v>
      </c>
      <c r="D145" s="3566"/>
      <c r="E145" s="3566"/>
      <c r="F145" s="3567" t="s">
        <v>3508</v>
      </c>
      <c r="G145" s="3568"/>
      <c r="H145" s="3569"/>
      <c r="I145" s="3570" t="s">
        <v>3505</v>
      </c>
      <c r="J145" s="3571">
        <v>8</v>
      </c>
      <c r="K145" s="3572">
        <f>ROUND(100+(J145-J140)*K139*100,1)</f>
        <v>99.2</v>
      </c>
    </row>
    <row r="147" spans="2:11">
      <c r="B147" s="3531" t="s">
        <v>3509</v>
      </c>
    </row>
    <row r="148" spans="2:11">
      <c r="B148" s="3531" t="s">
        <v>3510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1" sqref="O41"/>
    </sheetView>
  </sheetViews>
  <sheetFormatPr defaultColWidth="9" defaultRowHeight="13.5"/>
  <cols>
    <col min="1" max="16384" width="9" style="3184"/>
  </cols>
  <sheetData/>
  <phoneticPr fontId="228"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1722</v>
      </c>
      <c r="B1" s="736"/>
      <c r="C1" s="771" t="s">
        <v>3016</v>
      </c>
      <c r="D1" s="3072" t="s">
        <v>3511</v>
      </c>
      <c r="E1" s="2347" t="s">
        <v>2369</v>
      </c>
      <c r="F1" s="2348">
        <f ca="1">J53</f>
        <v>32.74</v>
      </c>
      <c r="G1" s="772">
        <f>MATCH(C1,'数据-取费表'!A6:A16,0)+5</f>
        <v>8</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1723</v>
      </c>
      <c r="B2" s="773">
        <f ca="1">C40+J29+L46</f>
        <v>36</v>
      </c>
      <c r="C2" s="2038"/>
      <c r="D2" s="2036"/>
      <c r="E2" s="2037"/>
      <c r="F2" s="2037"/>
      <c r="G2" s="1573"/>
      <c r="H2" s="2038"/>
      <c r="I2" s="2038"/>
      <c r="J2" s="2038"/>
      <c r="K2" s="2039"/>
      <c r="L2" s="2038"/>
      <c r="M2" s="2038"/>
    </row>
    <row r="3" spans="1:33" ht="18" customHeight="1" thickBot="1">
      <c r="A3" s="831" t="s">
        <v>1724</v>
      </c>
      <c r="B3" s="832">
        <f ca="1">IF(ISERROR(B2*10000/F43),0,ROUND(B2*10000/F43,0))</f>
        <v>7495</v>
      </c>
      <c r="C3" s="2038"/>
      <c r="D3" s="2036"/>
      <c r="E3" s="2037"/>
      <c r="F3" s="2037"/>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2452</v>
      </c>
      <c r="C5" s="53">
        <f ca="1">C6+C10+C12</f>
        <v>3</v>
      </c>
      <c r="D5" s="2456" t="s">
        <v>2455</v>
      </c>
      <c r="E5" s="2450"/>
      <c r="F5" s="2451"/>
      <c r="G5" s="1575"/>
      <c r="H5" s="779">
        <v>1</v>
      </c>
      <c r="I5" s="780" t="s">
        <v>2452</v>
      </c>
      <c r="J5" s="53">
        <f ca="1">J6+J10+J12</f>
        <v>0</v>
      </c>
      <c r="K5" s="2456" t="s">
        <v>2455</v>
      </c>
      <c r="L5" s="2450"/>
      <c r="M5" s="2451"/>
    </row>
    <row r="6" spans="1:33" ht="18" customHeight="1">
      <c r="A6" s="1812" t="s">
        <v>1821</v>
      </c>
      <c r="B6" s="3817" t="s">
        <v>2457</v>
      </c>
      <c r="C6" s="781">
        <f ca="1">ROUND(F6*F8*F7*(1-F9)/10000,0)</f>
        <v>3</v>
      </c>
      <c r="D6" s="2457" t="s">
        <v>2456</v>
      </c>
      <c r="E6" s="782" t="s">
        <v>1735</v>
      </c>
      <c r="F6" s="783">
        <f ca="1">INDIRECT("'数据-取费表'!u"&amp;$G$1)</f>
        <v>2</v>
      </c>
      <c r="G6" s="1575"/>
      <c r="H6" s="2464" t="s">
        <v>2462</v>
      </c>
      <c r="I6" s="3817" t="s">
        <v>2457</v>
      </c>
      <c r="J6" s="781">
        <f ca="1">ROUND(M6*M8*M7*(1-M9)/10000,0)</f>
        <v>0</v>
      </c>
      <c r="K6" s="339" t="s">
        <v>1734</v>
      </c>
      <c r="L6" s="782" t="s">
        <v>1735</v>
      </c>
      <c r="M6" s="783">
        <f ca="1">INDIRECT("'数据-取费表'!z"&amp;$G$1)</f>
        <v>0</v>
      </c>
    </row>
    <row r="7" spans="1:33" ht="18" customHeight="1">
      <c r="A7" s="2460"/>
      <c r="B7" s="3818"/>
      <c r="C7" s="786"/>
      <c r="D7" s="787"/>
      <c r="E7" s="782" t="s">
        <v>1736</v>
      </c>
      <c r="F7" s="783">
        <f ca="1">IF(INDIRECT("'数据-取费表'!ah"&amp;$G$1)="",INDIRECT("'数据-取费表'!k"&amp;$G$1),INDIRECT("'数据-取费表'!ah"&amp;$G$1))</f>
        <v>48.03</v>
      </c>
      <c r="G7" s="1575"/>
      <c r="H7" s="2449"/>
      <c r="I7" s="3818"/>
      <c r="J7" s="786"/>
      <c r="K7" s="787"/>
      <c r="L7" s="782" t="s">
        <v>1736</v>
      </c>
      <c r="M7" s="783">
        <f ca="1">F7</f>
        <v>48.03</v>
      </c>
    </row>
    <row r="8" spans="1:33" ht="18" customHeight="1">
      <c r="A8" s="2453"/>
      <c r="B8" s="3819"/>
      <c r="C8" s="786"/>
      <c r="D8" s="787"/>
      <c r="E8" s="782" t="s">
        <v>1737</v>
      </c>
      <c r="F8" s="783">
        <f ca="1">INDIRECT("'数据-取费表'!ai"&amp;$G$1)</f>
        <v>365</v>
      </c>
      <c r="G8" s="1575"/>
      <c r="H8" s="2449"/>
      <c r="I8" s="3819"/>
      <c r="J8" s="786"/>
      <c r="K8" s="787"/>
      <c r="L8" s="782" t="s">
        <v>1737</v>
      </c>
      <c r="M8" s="783">
        <f ca="1">INDIRECT("'数据-取费表'!ai"&amp;$G$1)</f>
        <v>365</v>
      </c>
    </row>
    <row r="9" spans="1:33" ht="18" customHeight="1">
      <c r="A9" s="784"/>
      <c r="B9" s="3820"/>
      <c r="C9" s="786"/>
      <c r="D9" s="787"/>
      <c r="E9" s="782" t="s">
        <v>1738</v>
      </c>
      <c r="F9" s="792">
        <f ca="1">INDIRECT("'数据-取费表'!w"&amp;$G$1)</f>
        <v>0.1</v>
      </c>
      <c r="G9" s="1575"/>
      <c r="H9" s="2465"/>
      <c r="I9" s="3819"/>
      <c r="J9" s="786"/>
      <c r="K9" s="787"/>
      <c r="L9" s="793" t="s">
        <v>1738</v>
      </c>
      <c r="M9" s="794">
        <f ca="1">INDIRECT("'数据-取费表'!ab"&amp;$G$1)</f>
        <v>0</v>
      </c>
    </row>
    <row r="10" spans="1:33" ht="18" customHeight="1">
      <c r="A10" s="1812" t="s">
        <v>2460</v>
      </c>
      <c r="B10" s="2454" t="s">
        <v>2453</v>
      </c>
      <c r="C10" s="797">
        <f ca="1">ROUND(IF(F10="押一",C6/12*F11,IF(F10="押二",C6/12*2*F11,IF(F10="押三",C6/12*3*F11,C11*F11))),0)</f>
        <v>0</v>
      </c>
      <c r="D10" s="2461" t="s">
        <v>2968</v>
      </c>
      <c r="E10" s="2458" t="s">
        <v>2458</v>
      </c>
      <c r="F10" s="2581" t="s">
        <v>3534</v>
      </c>
      <c r="G10" s="1575"/>
      <c r="H10" s="2521" t="s">
        <v>2463</v>
      </c>
      <c r="I10" s="2526" t="s">
        <v>2453</v>
      </c>
      <c r="J10" s="781">
        <f ca="1">ROUND(IF(M10="押一",J6/12*M11,IF(M10="押二",J6/12*2*M11,IF(M10="押三",J6/12*3*M11,J11*M11))),0)</f>
        <v>0</v>
      </c>
      <c r="K10" s="2461" t="s">
        <v>2968</v>
      </c>
      <c r="L10" s="2458" t="s">
        <v>2458</v>
      </c>
      <c r="M10" s="2581"/>
    </row>
    <row r="11" spans="1:33" ht="18" customHeight="1">
      <c r="A11" s="788"/>
      <c r="B11" s="2455" t="s">
        <v>2567</v>
      </c>
      <c r="C11" s="2459"/>
      <c r="D11" s="787"/>
      <c r="E11" s="2458" t="s">
        <v>2459</v>
      </c>
      <c r="F11" s="794">
        <f ca="1">'数据-取费表'!B39</f>
        <v>1.4999999999999999E-2</v>
      </c>
      <c r="G11" s="1575"/>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5"/>
      <c r="H12" s="2511" t="s">
        <v>2464</v>
      </c>
      <c r="I12" s="2524" t="s">
        <v>2454</v>
      </c>
      <c r="J12" s="2525"/>
      <c r="K12" s="2500"/>
      <c r="L12" s="2501"/>
      <c r="M12" s="2514"/>
    </row>
    <row r="13" spans="1:33" ht="18" customHeight="1" thickTop="1">
      <c r="A13" s="1811">
        <v>2</v>
      </c>
      <c r="B13" s="1809" t="s">
        <v>1739</v>
      </c>
      <c r="C13" s="790">
        <f ca="1">ROUND(C29*F13,0)</f>
        <v>0</v>
      </c>
      <c r="D13" s="1816" t="s">
        <v>2293</v>
      </c>
      <c r="E13" s="1816" t="s">
        <v>1741</v>
      </c>
      <c r="F13" s="2496">
        <f ca="1">INDIRECT("'数据-取费表'!y"&amp;$G$1)</f>
        <v>0</v>
      </c>
      <c r="G13" s="1575"/>
      <c r="H13" s="1811">
        <v>2</v>
      </c>
      <c r="I13" s="1809" t="s">
        <v>1739</v>
      </c>
      <c r="J13" s="1801">
        <f ca="1">ROUND(J14*J15,0)</f>
        <v>0</v>
      </c>
      <c r="K13" s="1803" t="s">
        <v>1740</v>
      </c>
      <c r="L13" s="2512"/>
      <c r="M13" s="2513"/>
    </row>
    <row r="14" spans="1:33" ht="18" customHeight="1">
      <c r="A14" s="1630" t="s">
        <v>1881</v>
      </c>
      <c r="B14" s="782" t="s">
        <v>642</v>
      </c>
      <c r="C14" s="802">
        <f ca="1">INDIRECT("'数据-取费表'!m"&amp;$G$1)+INDIRECT("'数据-取费表'!t"&amp;$G$1)</f>
        <v>12</v>
      </c>
      <c r="D14" s="1960" t="s">
        <v>1742</v>
      </c>
      <c r="E14" s="1961"/>
      <c r="F14" s="803"/>
      <c r="G14" s="1575"/>
      <c r="H14" s="1631" t="s">
        <v>1827</v>
      </c>
      <c r="I14" s="2212" t="s">
        <v>2820</v>
      </c>
      <c r="J14" s="51">
        <f ca="1">C29</f>
        <v>16</v>
      </c>
      <c r="K14" s="24"/>
      <c r="L14" s="799"/>
      <c r="M14" s="800"/>
    </row>
    <row r="15" spans="1:33" s="2045" customFormat="1" ht="18" customHeight="1" thickBot="1">
      <c r="A15" s="1630" t="s">
        <v>1882</v>
      </c>
      <c r="B15" s="782" t="s">
        <v>644</v>
      </c>
      <c r="C15" s="51">
        <f ca="1">ROUND(C14*F15,0)</f>
        <v>0</v>
      </c>
      <c r="D15" s="804" t="s">
        <v>1743</v>
      </c>
      <c r="E15" s="804" t="s">
        <v>1744</v>
      </c>
      <c r="F15" s="805">
        <f>'数据-取费表'!B33</f>
        <v>0.04</v>
      </c>
      <c r="G15" s="1576"/>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1</v>
      </c>
      <c r="K16" s="1803" t="s">
        <v>1747</v>
      </c>
      <c r="L16" s="2446"/>
      <c r="M16" s="2451"/>
    </row>
    <row r="17" spans="1:33" s="2045" customFormat="1" ht="18" customHeight="1">
      <c r="A17" s="1630" t="s">
        <v>1884</v>
      </c>
      <c r="B17" s="782" t="s">
        <v>650</v>
      </c>
      <c r="C17" s="51">
        <f ca="1">ROUND(F17*(F43+INDIRECT("'数据-取费表'!S"&amp;$G$1))/10000,0)</f>
        <v>1</v>
      </c>
      <c r="D17" s="782" t="s">
        <v>1748</v>
      </c>
      <c r="E17" s="782" t="s">
        <v>1749</v>
      </c>
      <c r="F17" s="54">
        <f>'数据-取费表'!B35</f>
        <v>200</v>
      </c>
      <c r="G17" s="1576"/>
      <c r="H17" s="1631" t="s">
        <v>1827</v>
      </c>
      <c r="I17" s="782" t="s">
        <v>653</v>
      </c>
      <c r="J17" s="51">
        <f ca="1">ROUND(IF(项目基本情况!B11="自然人",J6*M17/(1+'数据-取费表'!C42),J18+J19+J20),0)</f>
        <v>1</v>
      </c>
      <c r="K17" s="2445" t="s">
        <v>1750</v>
      </c>
      <c r="L17" s="2444" t="s">
        <v>1751</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0" t="s">
        <v>1885</v>
      </c>
      <c r="B18" s="782" t="s">
        <v>656</v>
      </c>
      <c r="C18" s="51">
        <f ca="1">ROUND(C14*F18,0)</f>
        <v>0</v>
      </c>
      <c r="D18" s="782" t="s">
        <v>1743</v>
      </c>
      <c r="E18" s="782" t="s">
        <v>1744</v>
      </c>
      <c r="F18" s="807">
        <f>'数据-取费表'!B36</f>
        <v>1.4999999999999999E-2</v>
      </c>
      <c r="G18" s="1576"/>
      <c r="H18" s="1630" t="s">
        <v>1881</v>
      </c>
      <c r="I18" s="782" t="s">
        <v>1752</v>
      </c>
      <c r="J18" s="51">
        <f ca="1">ROUND(J6*M18/(1+'数据-取费表'!C42),1)</f>
        <v>0</v>
      </c>
      <c r="K18" s="2444" t="s">
        <v>1753</v>
      </c>
      <c r="L18" s="782" t="s">
        <v>1744</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1" t="s">
        <v>1827</v>
      </c>
      <c r="B19" s="782" t="s">
        <v>659</v>
      </c>
      <c r="C19" s="51">
        <f ca="1">SUM(C14:C18)</f>
        <v>13</v>
      </c>
      <c r="D19" s="259" t="s">
        <v>1754</v>
      </c>
      <c r="E19" s="1963"/>
      <c r="F19" s="54"/>
      <c r="G19" s="1575"/>
      <c r="H19" s="1630" t="s">
        <v>1882</v>
      </c>
      <c r="I19" s="782" t="s">
        <v>1755</v>
      </c>
      <c r="J19" s="51">
        <f ca="1">IF(K19="按租金收入计税",ROUND(J6*M19/(1+'数据-取费表'!C42),1),ROUND(C29*F33*0.7,1))</f>
        <v>1.3</v>
      </c>
      <c r="K19" s="809" t="s">
        <v>662</v>
      </c>
      <c r="L19" s="782" t="s">
        <v>1744</v>
      </c>
      <c r="M19" s="807">
        <f>IF(K19="按租金收入计税",'数据-取费表'!B51,'数据-取费表'!B50)</f>
        <v>1.2E-2</v>
      </c>
    </row>
    <row r="20" spans="1:33" s="2045" customFormat="1" ht="18" customHeight="1">
      <c r="A20" s="1631" t="s">
        <v>1886</v>
      </c>
      <c r="B20" s="782" t="s">
        <v>663</v>
      </c>
      <c r="C20" s="51">
        <f ca="1">ROUND(C19*F20,0)</f>
        <v>0</v>
      </c>
      <c r="D20" s="810" t="s">
        <v>1756</v>
      </c>
      <c r="E20" s="782" t="s">
        <v>1744</v>
      </c>
      <c r="F20" s="807">
        <f>'数据-取费表'!B37</f>
        <v>0.02</v>
      </c>
      <c r="G20" s="1576"/>
      <c r="H20" s="1633" t="s">
        <v>1877</v>
      </c>
      <c r="I20" s="339" t="s">
        <v>1757</v>
      </c>
      <c r="J20" s="52">
        <f ca="1">ROUND(M20*M21/10000,0)</f>
        <v>0</v>
      </c>
      <c r="K20" s="812" t="s">
        <v>1758</v>
      </c>
      <c r="L20" s="782" t="s">
        <v>1759</v>
      </c>
      <c r="M20" s="638">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1" t="s">
        <v>1887</v>
      </c>
      <c r="B21" s="782" t="s">
        <v>1760</v>
      </c>
      <c r="C21" s="51" t="s">
        <v>1761</v>
      </c>
      <c r="D21" s="810" t="s">
        <v>2294</v>
      </c>
      <c r="E21" s="782" t="s">
        <v>1762</v>
      </c>
      <c r="F21" s="807">
        <f>'数据-取费表'!B38</f>
        <v>0.02</v>
      </c>
      <c r="G21" s="1576"/>
      <c r="H21" s="2466"/>
      <c r="I21" s="791"/>
      <c r="J21" s="67"/>
      <c r="K21" s="814"/>
      <c r="L21" s="782" t="s">
        <v>1763</v>
      </c>
      <c r="M21" s="783">
        <f ca="1">INDIRECT("'数据-取费表'!r"&amp;$G$1)</f>
        <v>40.510000000001128</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1" t="s">
        <v>1888</v>
      </c>
      <c r="B22" s="782" t="s">
        <v>1764</v>
      </c>
      <c r="C22" s="51"/>
      <c r="D22" s="2532" t="str">
        <f>IF(F23&lt;=1,"单利计息。","复利计息。")&amp;"建造成本、管理费用、销售费用产生的利息。"</f>
        <v>复利计息。建造成本、管理费用、销售费用产生的利息。</v>
      </c>
      <c r="E22" s="1963"/>
      <c r="F22" s="54"/>
      <c r="G22" s="1575"/>
      <c r="H22" s="1631" t="s">
        <v>1886</v>
      </c>
      <c r="I22" s="782" t="s">
        <v>1765</v>
      </c>
      <c r="J22" s="51">
        <f ca="1">ROUND(J14*M22,0)</f>
        <v>0</v>
      </c>
      <c r="K22" s="2444" t="s">
        <v>1766</v>
      </c>
      <c r="L22" s="782" t="s">
        <v>1744</v>
      </c>
      <c r="M22" s="815">
        <f ca="1">INDIRECT("'数据-取费表'!Ak"&amp;$G$1)</f>
        <v>1.4999999999999999E-2</v>
      </c>
    </row>
    <row r="23" spans="1:33" s="2045" customFormat="1" ht="18" customHeight="1">
      <c r="A23" s="1630" t="s">
        <v>1828</v>
      </c>
      <c r="B23" s="782" t="s">
        <v>2529</v>
      </c>
      <c r="C23" s="51">
        <f ca="1">ROUND(IF('数据-取费表'!B22&lt;=1,(C19+C20)*F24*F23/2,(C19+C20)*(POWER((1+F24),F23/2)-1)),0)</f>
        <v>1</v>
      </c>
      <c r="D23" s="2531"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2444" t="s">
        <v>1768</v>
      </c>
      <c r="L23" s="782" t="s">
        <v>1744</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0" t="s">
        <v>1829</v>
      </c>
      <c r="B24" s="782" t="s">
        <v>1769</v>
      </c>
      <c r="C24" s="51">
        <f ca="1">ROUND(IF('数据-取费表'!B22&lt;=1,F21*F24*F23/2,F21*(POWER((1+F24),F23/2)-1)),4)</f>
        <v>1E-3</v>
      </c>
      <c r="D24" s="2531" t="str">
        <f>IF(F23&lt;=1,"销售费用×利率×(建设周期÷2)","销售费用×((1+利率)^(建设周期÷2)-1)")</f>
        <v>销售费用×((1+利率)^(建设周期÷2)-1)</v>
      </c>
      <c r="E24" s="782" t="s">
        <v>1770</v>
      </c>
      <c r="F24" s="817">
        <f ca="1">'数据-取费表'!B40</f>
        <v>4.7500000000000001E-2</v>
      </c>
      <c r="G24" s="1576"/>
      <c r="H24" s="2511" t="s">
        <v>1888</v>
      </c>
      <c r="I24" s="2506" t="s">
        <v>663</v>
      </c>
      <c r="J24" s="2504">
        <f ca="1">ROUND(J5*M24,0)</f>
        <v>0</v>
      </c>
      <c r="K24" s="2505" t="s">
        <v>1771</v>
      </c>
      <c r="L24" s="2506" t="s">
        <v>1744</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2" t="s">
        <v>1837</v>
      </c>
      <c r="B25" s="782" t="s">
        <v>681</v>
      </c>
      <c r="C25" s="51"/>
      <c r="D25" s="259" t="s">
        <v>1772</v>
      </c>
      <c r="E25" s="1963"/>
      <c r="F25" s="54"/>
      <c r="G25" s="1575"/>
      <c r="H25" s="1811" t="s">
        <v>1773</v>
      </c>
      <c r="I25" s="2958" t="s">
        <v>2816</v>
      </c>
      <c r="J25" s="790">
        <f ca="1">J5-J16</f>
        <v>-1</v>
      </c>
      <c r="K25" s="2508" t="s">
        <v>1774</v>
      </c>
      <c r="L25" s="2509"/>
      <c r="M25" s="2510"/>
    </row>
    <row r="26" spans="1:33" ht="18" customHeight="1">
      <c r="A26" s="1630" t="s">
        <v>1828</v>
      </c>
      <c r="B26" s="782" t="s">
        <v>2433</v>
      </c>
      <c r="C26" s="51">
        <f ca="1">ROUND((C19+C20)*F26,0)</f>
        <v>1</v>
      </c>
      <c r="D26" s="810" t="s">
        <v>1775</v>
      </c>
      <c r="E26" s="793" t="s">
        <v>1776</v>
      </c>
      <c r="F26" s="792">
        <f ca="1">INDIRECT("'数据-取费表'!q"&amp;$G$1)</f>
        <v>0.1</v>
      </c>
      <c r="G26" s="1575"/>
      <c r="H26" s="2462" t="s">
        <v>1777</v>
      </c>
      <c r="I26" s="2213" t="s">
        <v>2821</v>
      </c>
      <c r="J26" s="781">
        <f ca="1">IF(J5&lt;&gt;0,ROUND(J25*(1-((1+M28)/(1+M26))^M27)/(M26-M28),0),0)</f>
        <v>0</v>
      </c>
      <c r="K26" s="812" t="s">
        <v>1778</v>
      </c>
      <c r="L26" s="782" t="s">
        <v>2414</v>
      </c>
      <c r="M26" s="792">
        <f ca="1">INDIRECT("'数据-取费表'!I"&amp;$G$1)</f>
        <v>5.5E-2</v>
      </c>
    </row>
    <row r="27" spans="1:33" ht="18" customHeight="1">
      <c r="A27" s="1630" t="s">
        <v>1829</v>
      </c>
      <c r="B27" s="782" t="s">
        <v>683</v>
      </c>
      <c r="C27" s="51">
        <f ca="1">ROUND(F21*F26,4)</f>
        <v>2E-3</v>
      </c>
      <c r="D27" s="810" t="s">
        <v>1779</v>
      </c>
      <c r="E27" s="804"/>
      <c r="F27" s="805"/>
      <c r="G27" s="1575"/>
      <c r="H27" s="2463"/>
      <c r="I27" s="785"/>
      <c r="J27" s="786"/>
      <c r="K27" s="819" t="s">
        <v>1780</v>
      </c>
      <c r="L27" s="782" t="s">
        <v>1781</v>
      </c>
      <c r="M27" s="820">
        <f ca="1">INDIRECT("'数据-取费表'!ag"&amp;$G$1)</f>
        <v>0</v>
      </c>
    </row>
    <row r="28" spans="1:33" s="2045"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2296</v>
      </c>
      <c r="C29" s="2504">
        <f ca="1">ROUND((C19+C20+C23+C26)/(1-F21-C24-C27-C28),0)</f>
        <v>16</v>
      </c>
      <c r="D29" s="2505"/>
      <c r="E29" s="2506"/>
      <c r="F29" s="2507"/>
      <c r="G29" s="1576"/>
      <c r="H29" s="821" t="s">
        <v>1784</v>
      </c>
      <c r="I29" s="822" t="s">
        <v>1785</v>
      </c>
      <c r="J29" s="823">
        <f ca="1">ROUND(J26/(1+F40)^F41,0)</f>
        <v>0</v>
      </c>
      <c r="K29" s="824" t="s">
        <v>1786</v>
      </c>
      <c r="L29" s="825"/>
      <c r="M29" s="826">
        <f ca="1">INDIRECT("'数据-取费表'!k"&amp;$G$1)</f>
        <v>48.03</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1" t="s">
        <v>1890</v>
      </c>
      <c r="B30" s="1809" t="s">
        <v>1787</v>
      </c>
      <c r="C30" s="790">
        <f ca="1">ROUND(C31+C36+C37+C38,0)</f>
        <v>1</v>
      </c>
      <c r="D30" s="1803" t="s">
        <v>1788</v>
      </c>
      <c r="E30" s="2446"/>
      <c r="F30" s="2451"/>
      <c r="G30" s="2043"/>
      <c r="H30" s="2046"/>
      <c r="I30" s="2047"/>
      <c r="J30" s="2048"/>
      <c r="K30" s="2049"/>
      <c r="L30" s="2050"/>
      <c r="M30" s="2051"/>
    </row>
    <row r="31" spans="1:33" ht="18" customHeight="1">
      <c r="A31" s="1631" t="s">
        <v>1827</v>
      </c>
      <c r="B31" s="782" t="s">
        <v>653</v>
      </c>
      <c r="C31" s="51">
        <f ca="1">ROUND(IF(项目基本情况!B11="自然人",C6*F31/(1+'数据-取费表'!C42),C32+C33+C34),1)</f>
        <v>0.5</v>
      </c>
      <c r="D31" s="1960" t="s">
        <v>1789</v>
      </c>
      <c r="E31" s="1958" t="s">
        <v>1790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30" t="s">
        <v>1828</v>
      </c>
      <c r="B32" s="782" t="s">
        <v>1791</v>
      </c>
      <c r="C32" s="51">
        <f ca="1">ROUND(C6*F32/(1+'数据-取费表'!C42),1)</f>
        <v>0.2</v>
      </c>
      <c r="D32" s="1958" t="s">
        <v>1792</v>
      </c>
      <c r="E32" s="782" t="s">
        <v>1793</v>
      </c>
      <c r="F32" s="807">
        <f>'数据-取费表'!B41</f>
        <v>5.6000000000000001E-2</v>
      </c>
      <c r="G32" s="2043"/>
      <c r="H32" s="2052"/>
      <c r="I32" s="2053"/>
      <c r="J32" s="2054"/>
      <c r="K32" s="2055"/>
      <c r="L32" s="2056"/>
      <c r="M32" s="2057"/>
    </row>
    <row r="33" spans="1:18" ht="18" customHeight="1">
      <c r="A33" s="1630" t="s">
        <v>1829</v>
      </c>
      <c r="B33" s="782" t="s">
        <v>1794</v>
      </c>
      <c r="C33" s="51">
        <f ca="1">IF(D33="按租金收入计税",ROUND(C6*F33/(1+'数据-取费表'!C42),1),IF(D33="按房产原值计税",ROUND(C29*F33*0.7,1),INDIRECT("'数据-取费表'!Aj"&amp;$G$1)))</f>
        <v>0.3</v>
      </c>
      <c r="D33" s="809" t="s">
        <v>3516</v>
      </c>
      <c r="E33" s="782" t="s">
        <v>1793</v>
      </c>
      <c r="F33" s="807">
        <f>IF(D33="按租金收入计税",'数据-取费表'!B51,'数据-取费表'!B50)</f>
        <v>0.12</v>
      </c>
      <c r="G33" s="2043"/>
      <c r="H33" s="2058"/>
      <c r="I33" s="2058"/>
      <c r="J33" s="2058"/>
      <c r="K33" s="2059"/>
      <c r="L33" s="2058"/>
      <c r="M33" s="2058"/>
    </row>
    <row r="34" spans="1:18" ht="18" customHeight="1">
      <c r="A34" s="1633" t="s">
        <v>1830</v>
      </c>
      <c r="B34" s="339" t="s">
        <v>1795</v>
      </c>
      <c r="C34" s="52">
        <f ca="1">ROUND(F34*F35/10000,1)</f>
        <v>0</v>
      </c>
      <c r="D34" s="812" t="s">
        <v>1796</v>
      </c>
      <c r="E34" s="782" t="s">
        <v>1797</v>
      </c>
      <c r="F34" s="638">
        <f>'数据-取费表'!B52</f>
        <v>2</v>
      </c>
      <c r="G34" s="2043"/>
      <c r="H34" s="2046"/>
      <c r="I34" s="833" t="s">
        <v>1810</v>
      </c>
      <c r="J34" s="834"/>
      <c r="K34" s="2061"/>
      <c r="L34" s="2060"/>
      <c r="M34" s="2060"/>
    </row>
    <row r="35" spans="1:18" ht="18" customHeight="1">
      <c r="A35" s="813"/>
      <c r="B35" s="791"/>
      <c r="C35" s="67"/>
      <c r="D35" s="814"/>
      <c r="E35" s="782" t="s">
        <v>1798</v>
      </c>
      <c r="F35" s="783">
        <f ca="1">INDIRECT("'数据-取费表'!r"&amp;$G$1)</f>
        <v>40.510000000001128</v>
      </c>
      <c r="G35" s="2043"/>
      <c r="H35" s="2046"/>
      <c r="I35" s="835" t="s">
        <v>1811</v>
      </c>
      <c r="J35" s="836">
        <f ca="1">ROUND(C13*J36,0)</f>
        <v>0</v>
      </c>
      <c r="K35" s="2059"/>
      <c r="L35" s="2058"/>
      <c r="M35" s="2058"/>
    </row>
    <row r="36" spans="1:18" ht="18" customHeight="1">
      <c r="A36" s="1631" t="s">
        <v>1886</v>
      </c>
      <c r="B36" s="782" t="s">
        <v>1799</v>
      </c>
      <c r="C36" s="51">
        <f ca="1">ROUND(C29*F36,1)</f>
        <v>0.2</v>
      </c>
      <c r="D36" s="1958" t="s">
        <v>1800</v>
      </c>
      <c r="E36" s="782" t="s">
        <v>1793</v>
      </c>
      <c r="F36" s="815">
        <f ca="1">INDIRECT("'数据-取费表'!Ak"&amp;$G$1)</f>
        <v>1.4999999999999999E-2</v>
      </c>
      <c r="G36" s="2043"/>
      <c r="H36" s="2058"/>
      <c r="I36" s="837" t="s">
        <v>1812</v>
      </c>
      <c r="J36" s="838">
        <f ca="1">INDIRECT("'数据-取费表'!j"&amp;$G$1)</f>
        <v>8.5000000000000006E-2</v>
      </c>
      <c r="K36" s="2063"/>
      <c r="L36" s="2058"/>
      <c r="M36" s="2058"/>
    </row>
    <row r="37" spans="1:18" ht="18" customHeight="1">
      <c r="A37" s="1631" t="s">
        <v>1887</v>
      </c>
      <c r="B37" s="782" t="s">
        <v>676</v>
      </c>
      <c r="C37" s="51">
        <f ca="1">ROUND(C13*F37,1)</f>
        <v>0</v>
      </c>
      <c r="D37" s="1958" t="s">
        <v>1801</v>
      </c>
      <c r="E37" s="782" t="s">
        <v>1793</v>
      </c>
      <c r="F37" s="816">
        <f ca="1">INDIRECT("'数据-取费表'!Al"&amp;$G$1)</f>
        <v>1.5E-3</v>
      </c>
      <c r="G37" s="2043"/>
      <c r="H37" s="2058"/>
      <c r="I37" s="839" t="s">
        <v>1813</v>
      </c>
      <c r="J37" s="840"/>
      <c r="K37" s="2063"/>
      <c r="L37" s="2058"/>
      <c r="M37" s="2058"/>
    </row>
    <row r="38" spans="1:18" ht="18" customHeight="1" thickBot="1">
      <c r="A38" s="2511" t="s">
        <v>1888</v>
      </c>
      <c r="B38" s="2506" t="s">
        <v>663</v>
      </c>
      <c r="C38" s="2504">
        <f ca="1">ROUND(C5*F38,1)</f>
        <v>0</v>
      </c>
      <c r="D38" s="2505" t="s">
        <v>1802</v>
      </c>
      <c r="E38" s="2506" t="s">
        <v>1793</v>
      </c>
      <c r="F38" s="2502">
        <f ca="1">INDIRECT("'数据-取费表'!Am"&amp;$G$1)</f>
        <v>0.01</v>
      </c>
      <c r="G38" s="2043"/>
      <c r="H38" s="2058"/>
      <c r="I38" s="841" t="s">
        <v>1814</v>
      </c>
      <c r="J38" s="842"/>
      <c r="K38" s="2064"/>
      <c r="L38" s="2058"/>
      <c r="M38" s="2058"/>
    </row>
    <row r="39" spans="1:18" ht="24.6" customHeight="1" thickTop="1">
      <c r="A39" s="1811" t="s">
        <v>1891</v>
      </c>
      <c r="B39" s="2958" t="s">
        <v>2816</v>
      </c>
      <c r="C39" s="790">
        <f ca="1">C5-C30</f>
        <v>2</v>
      </c>
      <c r="D39" s="2508" t="s">
        <v>1803</v>
      </c>
      <c r="E39" s="2509"/>
      <c r="F39" s="2510"/>
      <c r="G39" s="2043"/>
      <c r="H39" s="2058"/>
      <c r="I39" s="835" t="s">
        <v>1815</v>
      </c>
      <c r="J39" s="843">
        <f ca="1">ROUND(J35/C39,3)</f>
        <v>0</v>
      </c>
      <c r="K39" s="2064"/>
      <c r="L39" s="2058"/>
      <c r="M39" s="2058"/>
    </row>
    <row r="40" spans="1:18" ht="18" customHeight="1">
      <c r="A40" s="779" t="s">
        <v>1892</v>
      </c>
      <c r="B40" s="2213" t="s">
        <v>2297</v>
      </c>
      <c r="C40" s="781">
        <f ca="1">ROUND(C39*(1-((1+F42)/(1+F40))^F41)/(F40-F42),0)</f>
        <v>36</v>
      </c>
      <c r="D40" s="812" t="s">
        <v>1804</v>
      </c>
      <c r="E40" s="782" t="s">
        <v>2414</v>
      </c>
      <c r="F40" s="792">
        <f ca="1">INDIRECT("'数据-取费表'!I"&amp;$G$1)</f>
        <v>5.5E-2</v>
      </c>
      <c r="G40" s="2043"/>
      <c r="H40" s="2043"/>
      <c r="I40" s="835" t="s">
        <v>1816</v>
      </c>
      <c r="J40" s="843">
        <f ca="1">1-J39</f>
        <v>1</v>
      </c>
      <c r="K40" s="2064"/>
      <c r="L40" s="2043"/>
      <c r="M40" s="2043"/>
    </row>
    <row r="41" spans="1:18" ht="18" customHeight="1">
      <c r="A41" s="784"/>
      <c r="B41" s="785"/>
      <c r="C41" s="786"/>
      <c r="D41" s="819" t="s">
        <v>1805</v>
      </c>
      <c r="E41" s="782" t="s">
        <v>2958</v>
      </c>
      <c r="F41" s="820">
        <f ca="1">IF(INDIRECT("'数据-取费表'!af"&amp;$G$1)=0,INDIRECT("'数据-取费表'!ae"&amp;$G$1),INDIRECT("'数据-取费表'!af"&amp;$G$1))</f>
        <v>32.74</v>
      </c>
      <c r="G41" s="2043"/>
      <c r="H41" s="1969"/>
      <c r="I41" s="841" t="s">
        <v>1817</v>
      </c>
      <c r="J41" s="844"/>
      <c r="K41" s="2063"/>
      <c r="L41" s="1969"/>
      <c r="M41" s="1969"/>
    </row>
    <row r="42" spans="1:18" ht="18" customHeight="1">
      <c r="A42" s="788"/>
      <c r="B42" s="789"/>
      <c r="C42" s="790"/>
      <c r="D42" s="814"/>
      <c r="E42" s="782" t="s">
        <v>1806</v>
      </c>
      <c r="F42" s="792">
        <f ca="1">INDIRECT("'数据-取费表'!v"&amp;$G$1)</f>
        <v>1.4999999999999999E-2</v>
      </c>
      <c r="G42" s="2043"/>
      <c r="H42" s="1969"/>
      <c r="I42" s="845" t="s">
        <v>1818</v>
      </c>
      <c r="J42" s="843">
        <f ca="1">ROUND(C13/C40,3)</f>
        <v>0</v>
      </c>
      <c r="K42" s="2063"/>
      <c r="L42" s="1969"/>
      <c r="M42" s="1969"/>
    </row>
    <row r="43" spans="1:18" ht="18" customHeight="1" thickBot="1">
      <c r="A43" s="821" t="s">
        <v>1784</v>
      </c>
      <c r="B43" s="822" t="s">
        <v>1807</v>
      </c>
      <c r="C43" s="823">
        <f ca="1">ROUND(C40*10000/F43,0)</f>
        <v>7495</v>
      </c>
      <c r="D43" s="824" t="s">
        <v>1808</v>
      </c>
      <c r="E43" s="825" t="s">
        <v>1809</v>
      </c>
      <c r="F43" s="826">
        <f ca="1">INDIRECT("'数据-取费表'!k"&amp;$G$1)</f>
        <v>48.03</v>
      </c>
      <c r="G43" s="2043"/>
      <c r="H43" s="1969"/>
      <c r="I43" s="845" t="s">
        <v>1819</v>
      </c>
      <c r="J43" s="846">
        <f ca="1">1-J42</f>
        <v>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2291</v>
      </c>
      <c r="B46" s="2066"/>
      <c r="C46" s="2534">
        <f ca="1">C67-C40</f>
        <v>-36</v>
      </c>
      <c r="D46" s="2066"/>
      <c r="E46" s="2066"/>
      <c r="F46" s="2066"/>
      <c r="I46" s="2338" t="s">
        <v>2338</v>
      </c>
      <c r="J46" s="2339"/>
      <c r="K46" s="2340"/>
      <c r="L46" s="3103">
        <f>IF(OR(M47="住宅",D1="土地（套用方法）"),0,IF(L48&gt;J51,L60,J60))</f>
        <v>0</v>
      </c>
      <c r="O46" s="2354" t="s">
        <v>2405</v>
      </c>
      <c r="P46" s="1575"/>
      <c r="Q46" s="1586"/>
      <c r="R46" s="1575"/>
    </row>
    <row r="47" spans="1:18" s="2040" customFormat="1" ht="18" customHeight="1" thickBot="1">
      <c r="A47" s="2332">
        <v>1</v>
      </c>
      <c r="B47" s="2333" t="s">
        <v>632</v>
      </c>
      <c r="C47" s="2534">
        <f ca="1">C48+C52+C54</f>
        <v>0</v>
      </c>
      <c r="D47" s="2066"/>
      <c r="E47" s="2066"/>
      <c r="F47" s="2066"/>
      <c r="I47" s="3094" t="s">
        <v>2339</v>
      </c>
      <c r="J47" s="2341" t="s">
        <v>3318</v>
      </c>
      <c r="K47" s="3100" t="s">
        <v>2344</v>
      </c>
      <c r="L47" s="3104">
        <f ca="1">INDIRECT("'数据-取费表'!d"&amp;$G$1)</f>
        <v>40</v>
      </c>
      <c r="M47" s="1586" t="str">
        <f>IF(ISNUMBER(FIND("住宅",C1)),"住宅","非住宅")</f>
        <v>非住宅</v>
      </c>
      <c r="O47" s="2355" t="s">
        <v>2370</v>
      </c>
      <c r="P47" s="2356" t="s">
        <v>2371</v>
      </c>
      <c r="Q47" s="2357" t="s">
        <v>2372</v>
      </c>
      <c r="R47" s="2356" t="s">
        <v>2373</v>
      </c>
    </row>
    <row r="48" spans="1:18" s="2040" customFormat="1" ht="18" customHeight="1" thickBot="1">
      <c r="A48" s="2602" t="s">
        <v>2531</v>
      </c>
      <c r="B48" s="2603" t="s">
        <v>2532</v>
      </c>
      <c r="C48" s="2334">
        <f ca="1">ROUND(F48*F50*F49*(1-F51)/10000,0)</f>
        <v>0</v>
      </c>
      <c r="D48" s="2335" t="s">
        <v>633</v>
      </c>
      <c r="E48" s="2336" t="s">
        <v>2292</v>
      </c>
      <c r="F48" s="2337"/>
      <c r="G48" s="2071"/>
      <c r="I48" s="3073" t="s">
        <v>2340</v>
      </c>
      <c r="J48" s="2342" t="s">
        <v>2345</v>
      </c>
      <c r="K48" s="3101" t="s">
        <v>2346</v>
      </c>
      <c r="L48" s="1890">
        <f ca="1">INDIRECT("'数据-取费表'!f"&amp;$G$1)</f>
        <v>34.74</v>
      </c>
      <c r="O48" s="2358" t="s">
        <v>2374</v>
      </c>
      <c r="P48" s="2359" t="s">
        <v>2400</v>
      </c>
      <c r="Q48" s="2360">
        <f ca="1">C40+J29</f>
        <v>36</v>
      </c>
      <c r="R48" s="2359" t="s">
        <v>2375</v>
      </c>
    </row>
    <row r="49" spans="1:18" s="2040" customFormat="1" ht="18" customHeight="1" thickBot="1">
      <c r="A49" s="784"/>
      <c r="B49" s="785"/>
      <c r="C49" s="786"/>
      <c r="D49" s="787"/>
      <c r="E49" s="782" t="s">
        <v>1736</v>
      </c>
      <c r="F49" s="783">
        <f ca="1">F7</f>
        <v>48.03</v>
      </c>
      <c r="G49" s="2071"/>
      <c r="H49" s="2074"/>
      <c r="I49" s="3073" t="s">
        <v>2341</v>
      </c>
      <c r="J49" s="2343"/>
      <c r="K49" s="3102" t="s">
        <v>2347</v>
      </c>
      <c r="L49" s="2344"/>
      <c r="O49" s="2358" t="s">
        <v>2376</v>
      </c>
      <c r="P49" s="2359" t="s">
        <v>2401</v>
      </c>
      <c r="Q49" s="2360">
        <f ca="1">J60</f>
        <v>0</v>
      </c>
      <c r="R49" s="2359" t="s">
        <v>2377</v>
      </c>
    </row>
    <row r="50" spans="1:18" s="2040" customFormat="1" ht="18" customHeight="1" thickBot="1">
      <c r="A50" s="784"/>
      <c r="B50" s="785"/>
      <c r="C50" s="786"/>
      <c r="D50" s="787"/>
      <c r="E50" s="782" t="s">
        <v>1737</v>
      </c>
      <c r="F50" s="783">
        <f ca="1">F8</f>
        <v>365</v>
      </c>
      <c r="G50" s="2076"/>
      <c r="H50" s="2074"/>
      <c r="I50" s="3073" t="s">
        <v>2342</v>
      </c>
      <c r="J50" s="3098">
        <f>SUMPRODUCT((I63:I65=J47)*(J62:L62=J48)*(J63:L65))</f>
        <v>60</v>
      </c>
      <c r="K50" s="3102" t="s">
        <v>2348</v>
      </c>
      <c r="L50" s="2344"/>
      <c r="O50" s="2361" t="s">
        <v>2378</v>
      </c>
      <c r="P50" s="2359" t="s">
        <v>2402</v>
      </c>
      <c r="Q50" s="2360">
        <f ca="1">C29</f>
        <v>16</v>
      </c>
      <c r="R50" s="2359" t="s">
        <v>2375</v>
      </c>
    </row>
    <row r="51" spans="1:18" s="2040" customFormat="1" ht="18" customHeight="1" thickBot="1">
      <c r="A51" s="784"/>
      <c r="B51" s="785"/>
      <c r="C51" s="786"/>
      <c r="D51" s="787"/>
      <c r="E51" s="782" t="s">
        <v>637</v>
      </c>
      <c r="F51" s="2331"/>
      <c r="H51" s="2074"/>
      <c r="I51" s="3095" t="s">
        <v>2343</v>
      </c>
      <c r="J51" s="3099">
        <f>IF(J49="",J50,J49+J50-YEAR('数据-取费表'!B2))</f>
        <v>60</v>
      </c>
      <c r="K51" s="3073" t="s">
        <v>2349</v>
      </c>
      <c r="L51" s="3105">
        <f ca="1">ROUND(-PV(INDIRECT("'数据-取费表'!h"&amp;$G$1),L48,(C39-C13*J36),0),0)</f>
        <v>33</v>
      </c>
      <c r="O51" s="2361" t="s">
        <v>2379</v>
      </c>
      <c r="P51" s="2359" t="s">
        <v>2380</v>
      </c>
      <c r="Q51" s="2362">
        <f ca="1">J58</f>
        <v>0.42099999999999999</v>
      </c>
      <c r="R51" s="2363"/>
    </row>
    <row r="52" spans="1:18" s="2040" customFormat="1" ht="18" customHeight="1" thickBot="1">
      <c r="A52" s="779" t="s">
        <v>2530</v>
      </c>
      <c r="B52" s="2454" t="s">
        <v>2453</v>
      </c>
      <c r="C52" s="797">
        <f ca="1">ROUND(IF(F52="押一",C48/12*F11,IF(F52="押二",C48/12*2*F11,IF(F52="押三",C48/12*3*F11,C53*F11))),0)</f>
        <v>0</v>
      </c>
      <c r="D52" s="2461" t="s">
        <v>2969</v>
      </c>
      <c r="E52" s="2458" t="s">
        <v>2458</v>
      </c>
      <c r="F52" s="2581"/>
      <c r="I52" s="3096" t="s">
        <v>2416</v>
      </c>
      <c r="J52" s="2345">
        <v>0.09</v>
      </c>
      <c r="K52" s="3096" t="s">
        <v>2415</v>
      </c>
      <c r="L52" s="2345"/>
      <c r="O52" s="2361" t="s">
        <v>2381</v>
      </c>
      <c r="P52" s="2359" t="s">
        <v>2382</v>
      </c>
      <c r="Q52" s="2362">
        <f>J52</f>
        <v>0.09</v>
      </c>
      <c r="R52" s="2363"/>
    </row>
    <row r="53" spans="1:18" s="2040" customFormat="1" ht="39.75" customHeight="1" thickBot="1">
      <c r="A53" s="784"/>
      <c r="B53" s="2455" t="s">
        <v>2567</v>
      </c>
      <c r="C53" s="2459"/>
      <c r="D53" s="2461"/>
      <c r="E53" s="2458"/>
      <c r="F53" s="798"/>
      <c r="I53" s="3097" t="s">
        <v>2972</v>
      </c>
      <c r="J53" s="3176">
        <f ca="1">IF(M47="住宅",IF(D1="——",MAX(J51,L48),MAX(J51,L48-'数据-取费表'!B20)),IF(D1="——",MIN(J51,L48),MIN(J51,L48-'数据-取费表'!B20)))</f>
        <v>32.74</v>
      </c>
      <c r="K53" s="3815" t="s">
        <v>2960</v>
      </c>
      <c r="L53" s="3816"/>
      <c r="O53" s="2361" t="s">
        <v>2383</v>
      </c>
      <c r="P53" s="2359" t="s">
        <v>2384</v>
      </c>
      <c r="Q53" s="2360">
        <f ca="1">J53</f>
        <v>32.74</v>
      </c>
      <c r="R53" s="2359" t="s">
        <v>2385</v>
      </c>
    </row>
    <row r="54" spans="1:18" s="2040" customFormat="1" ht="18" customHeight="1" thickBot="1">
      <c r="A54" s="2497" t="s">
        <v>2461</v>
      </c>
      <c r="B54" s="2498" t="s">
        <v>2454</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2386</v>
      </c>
      <c r="P54" s="2359" t="s">
        <v>2403</v>
      </c>
      <c r="Q54" s="2360">
        <f ca="1">Q48+Q49</f>
        <v>36</v>
      </c>
      <c r="R54" s="2363" t="s">
        <v>2387</v>
      </c>
    </row>
    <row r="55" spans="1:18" s="2040" customFormat="1" ht="18" customHeight="1" thickTop="1" thickBot="1">
      <c r="A55" s="795">
        <v>2</v>
      </c>
      <c r="B55" s="796" t="s">
        <v>641</v>
      </c>
      <c r="C55" s="797">
        <f ca="1">C13</f>
        <v>0</v>
      </c>
      <c r="D55" s="793"/>
      <c r="E55" s="793"/>
      <c r="F55" s="798"/>
      <c r="I55" s="3108" t="s">
        <v>2350</v>
      </c>
      <c r="J55" s="3048">
        <f ca="1">ROUND(IF(J47="钢混",J57/J50,1-(1-2%)*(J50-J57)/J50),3)</f>
        <v>0.42099999999999999</v>
      </c>
      <c r="K55" s="3109" t="s">
        <v>2351</v>
      </c>
      <c r="L55" s="2346"/>
      <c r="O55" s="2364" t="s">
        <v>2406</v>
      </c>
      <c r="P55" s="1575"/>
      <c r="Q55" s="1586"/>
      <c r="R55" s="1575"/>
    </row>
    <row r="56" spans="1:18" s="2040" customFormat="1" ht="42.75" customHeight="1" thickBot="1">
      <c r="A56" s="1632"/>
      <c r="B56" s="2212" t="s">
        <v>2298</v>
      </c>
      <c r="C56" s="51">
        <f ca="1">C29</f>
        <v>16</v>
      </c>
      <c r="D56" s="2599"/>
      <c r="E56" s="782"/>
      <c r="F56" s="807"/>
      <c r="I56" s="3110" t="s">
        <v>2352</v>
      </c>
      <c r="J56" s="3120" t="s">
        <v>3512</v>
      </c>
      <c r="K56" s="3073" t="s">
        <v>2357</v>
      </c>
      <c r="L56" s="1890" t="str">
        <f ca="1">IF(L48&lt;J51,"——",L48-J51)</f>
        <v>——</v>
      </c>
      <c r="O56" s="2355" t="s">
        <v>2370</v>
      </c>
      <c r="P56" s="2356" t="s">
        <v>2371</v>
      </c>
      <c r="Q56" s="2357" t="s">
        <v>2372</v>
      </c>
      <c r="R56" s="2356" t="s">
        <v>2373</v>
      </c>
    </row>
    <row r="57" spans="1:18" s="2040" customFormat="1" ht="28.5" customHeight="1" thickBot="1">
      <c r="A57" s="795" t="s">
        <v>1745</v>
      </c>
      <c r="B57" s="796" t="s">
        <v>648</v>
      </c>
      <c r="C57" s="797">
        <f ca="1">ROUND(C58+C63+C64+C65,0)</f>
        <v>0</v>
      </c>
      <c r="D57" s="24" t="s">
        <v>1747</v>
      </c>
      <c r="E57" s="2600"/>
      <c r="F57" s="54"/>
      <c r="I57" s="3111" t="s">
        <v>2353</v>
      </c>
      <c r="J57" s="3112">
        <f ca="1">IF(OR(M47="住宅",J51&lt;L48,J56="是"),"——",J51-L48)</f>
        <v>25.259999999999998</v>
      </c>
      <c r="K57" s="3073" t="s">
        <v>2358</v>
      </c>
      <c r="L57" s="1890" t="str">
        <f ca="1">IF(L48&lt;J51,"——",IF(L55="比较法",L49,IF(L55="基准地价",L50,L51)))</f>
        <v>——</v>
      </c>
      <c r="O57" s="2358" t="s">
        <v>2374</v>
      </c>
      <c r="P57" s="2359" t="s">
        <v>2404</v>
      </c>
      <c r="Q57" s="2360">
        <f ca="1">C40+J29</f>
        <v>36</v>
      </c>
      <c r="R57" s="2359" t="s">
        <v>2375</v>
      </c>
    </row>
    <row r="58" spans="1:18" s="2040" customFormat="1" ht="28.5" customHeight="1" thickBot="1">
      <c r="A58" s="1631" t="s">
        <v>1821</v>
      </c>
      <c r="B58" s="782" t="s">
        <v>653</v>
      </c>
      <c r="C58" s="51">
        <f ca="1">ROUND(IF(项目基本情况!B11="自然人",C47*F58,C59+C60+C61),1)</f>
        <v>0</v>
      </c>
      <c r="D58" s="2598" t="s">
        <v>654</v>
      </c>
      <c r="E58" s="2599" t="s">
        <v>687</v>
      </c>
      <c r="F58" s="808" t="str">
        <f ca="1">IF(项目基本情况!B11="企业","",IF(INDIRECT("'数据-取费表'!c"&amp;$G$1)="住宅",5%,IF(F48*F49*F50/12/(1+'数据-取费表'!C42)&gt;20000,12%,7%)))</f>
        <v/>
      </c>
      <c r="I58" s="3111" t="s">
        <v>2354</v>
      </c>
      <c r="J58" s="3049">
        <f ca="1">IF(J55&lt;0.4,0.4,J55)</f>
        <v>0.42099999999999999</v>
      </c>
      <c r="K58" s="3073" t="s">
        <v>2359</v>
      </c>
      <c r="L58" s="1890" t="e">
        <f ca="1">ROUND(POWER(1+L52,L47-L48)*(POWER(1+L52,L48)-1)/(POWER(1+L52,L47)-1),4)</f>
        <v>#DIV/0!</v>
      </c>
      <c r="O58" s="2358" t="s">
        <v>2376</v>
      </c>
      <c r="P58" s="2359" t="s">
        <v>2407</v>
      </c>
      <c r="Q58" s="2360">
        <f ca="1">L60</f>
        <v>0</v>
      </c>
      <c r="R58" s="2363" t="s">
        <v>2409</v>
      </c>
    </row>
    <row r="59" spans="1:18" s="2040" customFormat="1" ht="28.5" customHeight="1" thickBot="1">
      <c r="A59" s="1630" t="s">
        <v>1828</v>
      </c>
      <c r="B59" s="782" t="s">
        <v>657</v>
      </c>
      <c r="C59" s="51">
        <f ca="1">ROUND(C47*F59/1.05,1)</f>
        <v>0</v>
      </c>
      <c r="D59" s="2599" t="s">
        <v>1753</v>
      </c>
      <c r="E59" s="782" t="s">
        <v>1744</v>
      </c>
      <c r="F59" s="807">
        <f t="shared" ref="F59:F65" si="0">F32</f>
        <v>5.6000000000000001E-2</v>
      </c>
      <c r="I59" s="3111" t="s">
        <v>2355</v>
      </c>
      <c r="J59" s="3112">
        <f ca="1">IF(OR(M47="住宅",J51&lt;L48,J56="是"),"——",ROUND(C29*J58,0))</f>
        <v>7</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1" t="s">
        <v>2378</v>
      </c>
      <c r="P59" s="2359" t="s">
        <v>2408</v>
      </c>
      <c r="Q59" s="2360">
        <f>IF(L55="比较法",L49,IF(L55="基准地价",L50,0))</f>
        <v>0</v>
      </c>
      <c r="R59" s="2359" t="s">
        <v>2375</v>
      </c>
    </row>
    <row r="60" spans="1:18" s="2040" customFormat="1" ht="18" customHeight="1" thickBot="1">
      <c r="A60" s="1630" t="s">
        <v>1829</v>
      </c>
      <c r="B60" s="782" t="s">
        <v>1755</v>
      </c>
      <c r="C60" s="51">
        <f ca="1">IF(D60="按租金收入计税",ROUND(C47*F60,1),IF(D60="按房产原值计税",ROUND(C56*F60*0.7,1),INDIRECT("'数据-取费表'!Aj"&amp;$G$1)))</f>
        <v>0</v>
      </c>
      <c r="D60" s="2599" t="str">
        <f>D33</f>
        <v>按租金收入计税</v>
      </c>
      <c r="E60" s="782" t="s">
        <v>1744</v>
      </c>
      <c r="F60" s="807">
        <f t="shared" si="0"/>
        <v>0.12</v>
      </c>
      <c r="I60" s="3113" t="s">
        <v>2356</v>
      </c>
      <c r="J60" s="3114">
        <f ca="1">IF(OR(M47="住宅",J51&lt;L48,J56="是"),"0",ROUND(J59/(1+J52)^J53,0))</f>
        <v>0</v>
      </c>
      <c r="K60" s="3115" t="s">
        <v>2361</v>
      </c>
      <c r="L60" s="3114">
        <f ca="1">IF(OR(M47="住宅",L48&lt;J51),0,ROUND(L57*(L58/L59-1),0))</f>
        <v>0</v>
      </c>
      <c r="O60" s="2361" t="s">
        <v>2379</v>
      </c>
      <c r="P60" s="2359" t="s">
        <v>2388</v>
      </c>
      <c r="Q60" s="2362">
        <f>L52</f>
        <v>0</v>
      </c>
      <c r="R60" s="2363"/>
    </row>
    <row r="61" spans="1:18" s="2040" customFormat="1" ht="18" customHeight="1" thickBot="1">
      <c r="A61" s="1633" t="s">
        <v>1830</v>
      </c>
      <c r="B61" s="339" t="s">
        <v>665</v>
      </c>
      <c r="C61" s="52">
        <f ca="1">ROUND(F61*F62/10000,1)</f>
        <v>0</v>
      </c>
      <c r="D61" s="812" t="s">
        <v>666</v>
      </c>
      <c r="E61" s="782" t="s">
        <v>667</v>
      </c>
      <c r="F61" s="638">
        <f t="shared" si="0"/>
        <v>2</v>
      </c>
      <c r="K61" s="2067"/>
      <c r="O61" s="2361" t="s">
        <v>2381</v>
      </c>
      <c r="P61" s="2359" t="s">
        <v>2389</v>
      </c>
      <c r="Q61" s="2360" t="e">
        <f ca="1">L58</f>
        <v>#DIV/0!</v>
      </c>
      <c r="R61" s="2363" t="s">
        <v>2390</v>
      </c>
    </row>
    <row r="62" spans="1:18" s="2040" customFormat="1" ht="15.75" thickBot="1">
      <c r="A62" s="813"/>
      <c r="B62" s="791"/>
      <c r="C62" s="67"/>
      <c r="D62" s="814"/>
      <c r="E62" s="782" t="s">
        <v>671</v>
      </c>
      <c r="F62" s="783">
        <f t="shared" ca="1" si="0"/>
        <v>40.510000000001128</v>
      </c>
      <c r="I62" s="3116" t="s">
        <v>2362</v>
      </c>
      <c r="J62" s="3117" t="s">
        <v>2363</v>
      </c>
      <c r="K62" s="3117" t="s">
        <v>2364</v>
      </c>
      <c r="L62" s="3117" t="s">
        <v>2345</v>
      </c>
      <c r="M62" s="3118" t="s">
        <v>2937</v>
      </c>
      <c r="O62" s="2361" t="s">
        <v>2383</v>
      </c>
      <c r="P62" s="2359" t="str">
        <f>K59</f>
        <v>建设期及建筑物耐用年限下的土地年期修正系数Kn</v>
      </c>
      <c r="Q62" s="2360" t="e">
        <f ca="1">L59</f>
        <v>#DIV/0!</v>
      </c>
      <c r="R62" s="2363" t="s">
        <v>2392</v>
      </c>
    </row>
    <row r="63" spans="1:18" s="2040" customFormat="1" ht="15.75" thickBot="1">
      <c r="A63" s="1631" t="s">
        <v>1886</v>
      </c>
      <c r="B63" s="782" t="s">
        <v>673</v>
      </c>
      <c r="C63" s="51">
        <f ca="1">ROUND(C56*F63,1)</f>
        <v>0.2</v>
      </c>
      <c r="D63" s="2599" t="s">
        <v>1800</v>
      </c>
      <c r="E63" s="782" t="s">
        <v>1744</v>
      </c>
      <c r="F63" s="815">
        <f t="shared" ca="1" si="0"/>
        <v>1.4999999999999999E-2</v>
      </c>
      <c r="I63" s="3116" t="s">
        <v>2365</v>
      </c>
      <c r="J63" s="3117">
        <v>70</v>
      </c>
      <c r="K63" s="3117">
        <v>50</v>
      </c>
      <c r="L63" s="3117">
        <v>80</v>
      </c>
      <c r="M63" s="3119">
        <v>0.02</v>
      </c>
      <c r="O63" s="2358" t="s">
        <v>2386</v>
      </c>
      <c r="P63" s="2359" t="s">
        <v>2403</v>
      </c>
      <c r="Q63" s="2360">
        <f ca="1">Q57+Q58</f>
        <v>36</v>
      </c>
      <c r="R63" s="2363" t="s">
        <v>2387</v>
      </c>
    </row>
    <row r="64" spans="1:18" s="2040" customFormat="1" ht="16.5" thickBot="1">
      <c r="A64" s="1631" t="s">
        <v>1887</v>
      </c>
      <c r="B64" s="782" t="s">
        <v>676</v>
      </c>
      <c r="C64" s="51">
        <f ca="1">ROUND(C55*F64,1)</f>
        <v>0</v>
      </c>
      <c r="D64" s="2599" t="s">
        <v>677</v>
      </c>
      <c r="E64" s="782" t="s">
        <v>1744</v>
      </c>
      <c r="F64" s="816">
        <f t="shared" ca="1" si="0"/>
        <v>1.5E-3</v>
      </c>
      <c r="I64" s="3116" t="s">
        <v>2366</v>
      </c>
      <c r="J64" s="3117">
        <v>50</v>
      </c>
      <c r="K64" s="3117">
        <v>35</v>
      </c>
      <c r="L64" s="3117">
        <v>60</v>
      </c>
      <c r="M64" s="844">
        <v>0</v>
      </c>
      <c r="O64" s="2364" t="s">
        <v>2410</v>
      </c>
      <c r="P64" s="1575"/>
      <c r="Q64" s="1586"/>
      <c r="R64" s="1575"/>
    </row>
    <row r="65" spans="1:18" s="2040" customFormat="1" ht="15.75" thickBot="1">
      <c r="A65" s="1631" t="s">
        <v>1888</v>
      </c>
      <c r="B65" s="782" t="s">
        <v>663</v>
      </c>
      <c r="C65" s="51">
        <f ca="1">ROUND(C47*F65,1)</f>
        <v>0</v>
      </c>
      <c r="D65" s="2599" t="s">
        <v>680</v>
      </c>
      <c r="E65" s="782" t="s">
        <v>1744</v>
      </c>
      <c r="F65" s="792">
        <f t="shared" ca="1" si="0"/>
        <v>0.01</v>
      </c>
      <c r="I65" s="3116" t="s">
        <v>2367</v>
      </c>
      <c r="J65" s="3117">
        <v>40</v>
      </c>
      <c r="K65" s="3117">
        <v>30</v>
      </c>
      <c r="L65" s="3117">
        <v>50</v>
      </c>
      <c r="M65" s="3119">
        <v>0.02</v>
      </c>
      <c r="O65" s="2355" t="s">
        <v>2370</v>
      </c>
      <c r="P65" s="2356" t="s">
        <v>2371</v>
      </c>
      <c r="Q65" s="2357" t="s">
        <v>2372</v>
      </c>
      <c r="R65" s="2356" t="s">
        <v>2373</v>
      </c>
    </row>
    <row r="66" spans="1:18" s="2040" customFormat="1" ht="24.75" thickBot="1">
      <c r="A66" s="795" t="s">
        <v>1773</v>
      </c>
      <c r="B66" s="2959" t="s">
        <v>2816</v>
      </c>
      <c r="C66" s="797">
        <f ca="1">C47-C57</f>
        <v>0</v>
      </c>
      <c r="D66" s="2598" t="s">
        <v>697</v>
      </c>
      <c r="E66" s="2597"/>
      <c r="F66" s="818"/>
      <c r="K66" s="2067"/>
      <c r="O66" s="2358" t="s">
        <v>2374</v>
      </c>
      <c r="P66" s="2359" t="s">
        <v>2404</v>
      </c>
      <c r="Q66" s="2360">
        <f ca="1">C40+J29</f>
        <v>36</v>
      </c>
      <c r="R66" s="2359" t="s">
        <v>2375</v>
      </c>
    </row>
    <row r="67" spans="1:18" s="2040" customFormat="1" ht="20.25" thickBot="1">
      <c r="A67" s="779" t="s">
        <v>1777</v>
      </c>
      <c r="B67" s="2213" t="s">
        <v>2297</v>
      </c>
      <c r="C67" s="781">
        <f ca="1">ROUND(C66*(1-((1+F69)/(1+F67))^F68)/(F67-F69),0)</f>
        <v>0</v>
      </c>
      <c r="D67" s="812" t="s">
        <v>701</v>
      </c>
      <c r="E67" s="782" t="s">
        <v>702</v>
      </c>
      <c r="F67" s="792">
        <f ca="1">F40</f>
        <v>5.5E-2</v>
      </c>
      <c r="K67" s="2067"/>
      <c r="O67" s="2358" t="s">
        <v>2376</v>
      </c>
      <c r="P67" s="2359" t="s">
        <v>2407</v>
      </c>
      <c r="Q67" s="2360">
        <f ca="1">L60</f>
        <v>0</v>
      </c>
      <c r="R67" s="2363" t="s">
        <v>2409</v>
      </c>
    </row>
    <row r="68" spans="1:18" ht="21.75" thickBot="1">
      <c r="A68" s="784"/>
      <c r="B68" s="785"/>
      <c r="C68" s="786"/>
      <c r="D68" s="819" t="s">
        <v>1805</v>
      </c>
      <c r="E68" s="782" t="s">
        <v>1781</v>
      </c>
      <c r="F68" s="820">
        <f ca="1">F41</f>
        <v>32.74</v>
      </c>
      <c r="O68" s="2361" t="s">
        <v>2378</v>
      </c>
      <c r="P68" s="2359" t="s">
        <v>2408</v>
      </c>
      <c r="Q68" s="2365">
        <f ca="1">L51</f>
        <v>33</v>
      </c>
      <c r="R68" s="2366" t="s">
        <v>2411</v>
      </c>
    </row>
    <row r="69" spans="1:18" ht="20.25" thickBot="1">
      <c r="A69" s="788"/>
      <c r="B69" s="789"/>
      <c r="C69" s="790"/>
      <c r="D69" s="814"/>
      <c r="E69" s="782" t="s">
        <v>707</v>
      </c>
      <c r="F69" s="2331"/>
      <c r="O69" s="2361" t="s">
        <v>2379</v>
      </c>
      <c r="P69" s="2367" t="s">
        <v>2393</v>
      </c>
      <c r="Q69" s="2360">
        <f ca="1">ROUND(Q70-Q71*Q72,0)</f>
        <v>2</v>
      </c>
      <c r="R69" s="2363"/>
    </row>
    <row r="70" spans="1:18" ht="15.75" thickBot="1">
      <c r="A70" s="821" t="s">
        <v>1784</v>
      </c>
      <c r="B70" s="822" t="s">
        <v>1807</v>
      </c>
      <c r="C70" s="823">
        <f ca="1">ROUND(C67*10000/F70,0)</f>
        <v>0</v>
      </c>
      <c r="D70" s="824" t="s">
        <v>1808</v>
      </c>
      <c r="E70" s="825" t="s">
        <v>1809</v>
      </c>
      <c r="F70" s="826">
        <f ca="1">F43</f>
        <v>48.03</v>
      </c>
      <c r="O70" s="2361" t="s">
        <v>2394</v>
      </c>
      <c r="P70" s="2367" t="s">
        <v>2395</v>
      </c>
      <c r="Q70" s="2360">
        <f ca="1">C39</f>
        <v>2</v>
      </c>
      <c r="R70" s="2359" t="s">
        <v>2375</v>
      </c>
    </row>
    <row r="71" spans="1:18" ht="15.75" thickBot="1">
      <c r="O71" s="2361" t="s">
        <v>2396</v>
      </c>
      <c r="P71" s="2367" t="s">
        <v>2397</v>
      </c>
      <c r="Q71" s="2360">
        <f ca="1">C13</f>
        <v>0</v>
      </c>
      <c r="R71" s="2359" t="s">
        <v>2375</v>
      </c>
    </row>
    <row r="72" spans="1:18" ht="15.75" thickBot="1">
      <c r="O72" s="2361" t="s">
        <v>2398</v>
      </c>
      <c r="P72" s="2367" t="s">
        <v>2399</v>
      </c>
      <c r="Q72" s="2362">
        <f ca="1">J36</f>
        <v>8.5000000000000006E-2</v>
      </c>
      <c r="R72" s="2363"/>
    </row>
    <row r="73" spans="1:18" ht="15.75" thickBot="1">
      <c r="O73" s="2361" t="s">
        <v>2381</v>
      </c>
      <c r="P73" s="2359" t="s">
        <v>2388</v>
      </c>
      <c r="Q73" s="2362">
        <f>L52</f>
        <v>0</v>
      </c>
      <c r="R73" s="2363"/>
    </row>
    <row r="74" spans="1:18" ht="20.25" thickBot="1">
      <c r="O74" s="2361" t="s">
        <v>2383</v>
      </c>
      <c r="P74" s="2359" t="s">
        <v>2389</v>
      </c>
      <c r="Q74" s="2360" t="e">
        <f ca="1">L58</f>
        <v>#DIV/0!</v>
      </c>
      <c r="R74" s="2363" t="s">
        <v>2390</v>
      </c>
    </row>
    <row r="75" spans="1:18" ht="15.75" thickBot="1">
      <c r="O75" s="2361" t="s">
        <v>2412</v>
      </c>
      <c r="P75" s="2359" t="str">
        <f>K59</f>
        <v>建设期及建筑物耐用年限下的土地年期修正系数Kn</v>
      </c>
      <c r="Q75" s="2360" t="e">
        <f ca="1">L59</f>
        <v>#DIV/0!</v>
      </c>
      <c r="R75" s="2363" t="s">
        <v>2392</v>
      </c>
    </row>
    <row r="76" spans="1:18" ht="15.75" thickBot="1">
      <c r="O76" s="2358" t="s">
        <v>2386</v>
      </c>
      <c r="P76" s="2359" t="s">
        <v>2403</v>
      </c>
      <c r="Q76" s="2360">
        <f ca="1">Q66+Q67</f>
        <v>36</v>
      </c>
      <c r="R76" s="2363"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2" priority="7">
      <formula>$L$48&gt;$J$51</formula>
    </cfRule>
  </conditionalFormatting>
  <conditionalFormatting sqref="I55">
    <cfRule type="expression" dxfId="141" priority="8">
      <formula>$J$51&gt;$L$48</formula>
    </cfRule>
  </conditionalFormatting>
  <conditionalFormatting sqref="I60">
    <cfRule type="expression" dxfId="140" priority="6">
      <formula>$J$51&gt;$L$48</formula>
    </cfRule>
  </conditionalFormatting>
  <conditionalFormatting sqref="K60">
    <cfRule type="expression" dxfId="139" priority="5">
      <formula>$L$48&gt;$J$51</formula>
    </cfRule>
  </conditionalFormatting>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23" sqref="G23"/>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1722</v>
      </c>
      <c r="B1" s="736"/>
      <c r="C1" s="771" t="s">
        <v>3019</v>
      </c>
      <c r="D1" s="3072" t="s">
        <v>3511</v>
      </c>
      <c r="E1" s="2347" t="s">
        <v>867</v>
      </c>
      <c r="F1" s="2348">
        <f ca="1">J53</f>
        <v>38</v>
      </c>
      <c r="G1" s="772">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791</v>
      </c>
      <c r="B2" s="773">
        <f ca="1">C40+J29+L46</f>
        <v>2388</v>
      </c>
      <c r="C2" s="2038"/>
      <c r="D2" s="2036"/>
      <c r="E2" s="2037"/>
      <c r="F2" s="2037"/>
      <c r="G2" s="1573"/>
      <c r="H2" s="2038"/>
      <c r="I2" s="2038"/>
      <c r="J2" s="2038"/>
      <c r="K2" s="2039"/>
      <c r="L2" s="2038"/>
      <c r="M2" s="2038"/>
    </row>
    <row r="3" spans="1:33" ht="18" customHeight="1" thickBot="1">
      <c r="A3" s="831" t="s">
        <v>1724</v>
      </c>
      <c r="B3" s="832">
        <f ca="1">IF(ISERROR(B2*10000/F43),0,ROUND(B2*10000/F43,0))</f>
        <v>2103</v>
      </c>
      <c r="C3" s="2038"/>
      <c r="D3" s="2036"/>
      <c r="E3" s="2037"/>
      <c r="F3" s="2037"/>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2452</v>
      </c>
      <c r="C5" s="53">
        <f ca="1">C6+C10+C12</f>
        <v>187</v>
      </c>
      <c r="D5" s="2456" t="s">
        <v>2455</v>
      </c>
      <c r="E5" s="2450"/>
      <c r="F5" s="2451"/>
      <c r="G5" s="1575"/>
      <c r="H5" s="779">
        <v>1</v>
      </c>
      <c r="I5" s="780" t="s">
        <v>2452</v>
      </c>
      <c r="J5" s="53">
        <f ca="1">J6+J10+J12</f>
        <v>0</v>
      </c>
      <c r="K5" s="2456" t="s">
        <v>2455</v>
      </c>
      <c r="L5" s="2450"/>
      <c r="M5" s="2451"/>
    </row>
    <row r="6" spans="1:33" ht="18" customHeight="1">
      <c r="A6" s="1812" t="s">
        <v>1821</v>
      </c>
      <c r="B6" s="3817" t="s">
        <v>2457</v>
      </c>
      <c r="C6" s="781">
        <f ca="1">ROUND(F6*F8*F7*(1-F9)/10000,0)</f>
        <v>187</v>
      </c>
      <c r="D6" s="2457" t="s">
        <v>2456</v>
      </c>
      <c r="E6" s="782" t="s">
        <v>1735</v>
      </c>
      <c r="F6" s="783">
        <f ca="1">INDIRECT("'数据-取费表'!u"&amp;$G$1)</f>
        <v>0.5</v>
      </c>
      <c r="G6" s="1575"/>
      <c r="H6" s="2464" t="s">
        <v>1821</v>
      </c>
      <c r="I6" s="3817" t="s">
        <v>2457</v>
      </c>
      <c r="J6" s="781">
        <f ca="1">ROUND(M6*M8*M7*(1-M9)/10000,0)</f>
        <v>0</v>
      </c>
      <c r="K6" s="339" t="s">
        <v>1734</v>
      </c>
      <c r="L6" s="782" t="s">
        <v>1735</v>
      </c>
      <c r="M6" s="783">
        <f ca="1">INDIRECT("'数据-取费表'!z"&amp;$G$1)</f>
        <v>0</v>
      </c>
    </row>
    <row r="7" spans="1:33" ht="18" customHeight="1">
      <c r="A7" s="2460"/>
      <c r="B7" s="3818"/>
      <c r="C7" s="786"/>
      <c r="D7" s="787"/>
      <c r="E7" s="782" t="s">
        <v>1736</v>
      </c>
      <c r="F7" s="783">
        <f ca="1">IF(INDIRECT("'数据-取费表'!ah"&amp;$G$1)="",INDIRECT("'数据-取费表'!k"&amp;$G$1),INDIRECT("'数据-取费表'!ah"&amp;$G$1))</f>
        <v>11357.88</v>
      </c>
      <c r="G7" s="1575"/>
      <c r="H7" s="2449"/>
      <c r="I7" s="3818"/>
      <c r="J7" s="786"/>
      <c r="K7" s="787"/>
      <c r="L7" s="782" t="s">
        <v>1736</v>
      </c>
      <c r="M7" s="783">
        <f ca="1">F7</f>
        <v>11357.88</v>
      </c>
    </row>
    <row r="8" spans="1:33" ht="18" customHeight="1">
      <c r="A8" s="2453"/>
      <c r="B8" s="3819"/>
      <c r="C8" s="786"/>
      <c r="D8" s="787"/>
      <c r="E8" s="782" t="s">
        <v>1737</v>
      </c>
      <c r="F8" s="783">
        <f ca="1">INDIRECT("'数据-取费表'!ai"&amp;$G$1)</f>
        <v>365</v>
      </c>
      <c r="G8" s="1575"/>
      <c r="H8" s="2449"/>
      <c r="I8" s="3819"/>
      <c r="J8" s="786"/>
      <c r="K8" s="787"/>
      <c r="L8" s="782" t="s">
        <v>1737</v>
      </c>
      <c r="M8" s="783">
        <f ca="1">INDIRECT("'数据-取费表'!ai"&amp;$G$1)</f>
        <v>365</v>
      </c>
    </row>
    <row r="9" spans="1:33" ht="18" customHeight="1">
      <c r="A9" s="784"/>
      <c r="B9" s="3820"/>
      <c r="C9" s="786"/>
      <c r="D9" s="787"/>
      <c r="E9" s="782" t="s">
        <v>1738</v>
      </c>
      <c r="F9" s="792">
        <f ca="1">INDIRECT("'数据-取费表'!w"&amp;$G$1)</f>
        <v>0.1</v>
      </c>
      <c r="G9" s="1575"/>
      <c r="H9" s="2465"/>
      <c r="I9" s="3819"/>
      <c r="J9" s="786"/>
      <c r="K9" s="787"/>
      <c r="L9" s="793" t="s">
        <v>1738</v>
      </c>
      <c r="M9" s="794">
        <f ca="1">INDIRECT("'数据-取费表'!ab"&amp;$G$1)</f>
        <v>0</v>
      </c>
    </row>
    <row r="10" spans="1:33" ht="18" customHeight="1">
      <c r="A10" s="1812" t="s">
        <v>2460</v>
      </c>
      <c r="B10" s="2454" t="s">
        <v>2453</v>
      </c>
      <c r="C10" s="797">
        <f ca="1">ROUND(IF(F10="押一",C6/12*F11,IF(F10="押二",C6/12*2*F11,IF(F10="押三",C6/12*3*F11,C11*F11))),0)</f>
        <v>0</v>
      </c>
      <c r="D10" s="2461" t="s">
        <v>2968</v>
      </c>
      <c r="E10" s="2458" t="s">
        <v>2458</v>
      </c>
      <c r="F10" s="2581"/>
      <c r="G10" s="1575"/>
      <c r="H10" s="2521" t="s">
        <v>2463</v>
      </c>
      <c r="I10" s="2526" t="s">
        <v>2453</v>
      </c>
      <c r="J10" s="781">
        <f ca="1">ROUND(IF(M10="押一",J6/12*M11,IF(M10="押二",J6/12*2*M11,IF(M10="押三",J6/12*3*M11,J11*M11))),0)</f>
        <v>0</v>
      </c>
      <c r="K10" s="2461" t="s">
        <v>2968</v>
      </c>
      <c r="L10" s="2458" t="s">
        <v>2458</v>
      </c>
      <c r="M10" s="2581"/>
    </row>
    <row r="11" spans="1:33" ht="18" customHeight="1">
      <c r="A11" s="788"/>
      <c r="B11" s="2455" t="s">
        <v>2567</v>
      </c>
      <c r="C11" s="2459"/>
      <c r="D11" s="787"/>
      <c r="E11" s="2458" t="s">
        <v>2459</v>
      </c>
      <c r="F11" s="794">
        <f ca="1">'数据-取费表'!B39</f>
        <v>1.4999999999999999E-2</v>
      </c>
      <c r="G11" s="1575"/>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5"/>
      <c r="H12" s="2511" t="s">
        <v>2464</v>
      </c>
      <c r="I12" s="2524" t="s">
        <v>2454</v>
      </c>
      <c r="J12" s="2525"/>
      <c r="K12" s="2500"/>
      <c r="L12" s="2501"/>
      <c r="M12" s="2514"/>
    </row>
    <row r="13" spans="1:33" ht="18" customHeight="1" thickTop="1">
      <c r="A13" s="1811">
        <v>2</v>
      </c>
      <c r="B13" s="1809" t="s">
        <v>1739</v>
      </c>
      <c r="C13" s="790">
        <f ca="1">ROUND(C29*F13,0)</f>
        <v>0</v>
      </c>
      <c r="D13" s="1816" t="s">
        <v>2293</v>
      </c>
      <c r="E13" s="1816" t="s">
        <v>1741</v>
      </c>
      <c r="F13" s="2496">
        <f ca="1">INDIRECT("'数据-取费表'!y"&amp;$G$1)</f>
        <v>0</v>
      </c>
      <c r="G13" s="1575"/>
      <c r="H13" s="1811">
        <v>2</v>
      </c>
      <c r="I13" s="1809" t="s">
        <v>1739</v>
      </c>
      <c r="J13" s="1801">
        <f ca="1">ROUND(J14*J15,0)</f>
        <v>0</v>
      </c>
      <c r="K13" s="1803" t="s">
        <v>1740</v>
      </c>
      <c r="L13" s="2512"/>
      <c r="M13" s="2513"/>
    </row>
    <row r="14" spans="1:33" ht="18" customHeight="1">
      <c r="A14" s="1630" t="s">
        <v>1881</v>
      </c>
      <c r="B14" s="782" t="s">
        <v>642</v>
      </c>
      <c r="C14" s="802">
        <f ca="1">INDIRECT("'数据-取费表'!m"&amp;$G$1)+INDIRECT("'数据-取费表'!t"&amp;$G$1)</f>
        <v>2272</v>
      </c>
      <c r="D14" s="3178" t="s">
        <v>1742</v>
      </c>
      <c r="E14" s="3179"/>
      <c r="F14" s="803"/>
      <c r="G14" s="1575"/>
      <c r="H14" s="1631" t="s">
        <v>1821</v>
      </c>
      <c r="I14" s="2212" t="s">
        <v>2820</v>
      </c>
      <c r="J14" s="51">
        <f ca="1">C29</f>
        <v>3116</v>
      </c>
      <c r="K14" s="24"/>
      <c r="L14" s="799"/>
      <c r="M14" s="800"/>
    </row>
    <row r="15" spans="1:33" s="2045" customFormat="1" ht="18" customHeight="1" thickBot="1">
      <c r="A15" s="1630" t="s">
        <v>1882</v>
      </c>
      <c r="B15" s="782" t="s">
        <v>644</v>
      </c>
      <c r="C15" s="51">
        <f ca="1">ROUND(C14*F15,0)</f>
        <v>91</v>
      </c>
      <c r="D15" s="804" t="s">
        <v>1743</v>
      </c>
      <c r="E15" s="804" t="s">
        <v>1744</v>
      </c>
      <c r="F15" s="805">
        <f>'数据-取费表'!B33</f>
        <v>0.04</v>
      </c>
      <c r="G15" s="1576"/>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309</v>
      </c>
      <c r="K16" s="1803" t="s">
        <v>1747</v>
      </c>
      <c r="L16" s="3180"/>
      <c r="M16" s="2451"/>
    </row>
    <row r="17" spans="1:33" s="2045" customFormat="1" ht="18" customHeight="1">
      <c r="A17" s="1630" t="s">
        <v>1884</v>
      </c>
      <c r="B17" s="782" t="s">
        <v>650</v>
      </c>
      <c r="C17" s="51">
        <f ca="1">ROUND(F17*(F43+INDIRECT("'数据-取费表'!S"&amp;$G$1))/10000,0)</f>
        <v>227</v>
      </c>
      <c r="D17" s="782" t="s">
        <v>1748</v>
      </c>
      <c r="E17" s="782" t="s">
        <v>1749</v>
      </c>
      <c r="F17" s="54">
        <f>'数据-取费表'!B35</f>
        <v>200</v>
      </c>
      <c r="G17" s="1576"/>
      <c r="H17" s="1631" t="s">
        <v>1821</v>
      </c>
      <c r="I17" s="782" t="s">
        <v>653</v>
      </c>
      <c r="J17" s="51">
        <f ca="1">ROUND(IF(项目基本情况!B11="自然人",J6*M17/(1+'数据-取费表'!C42),J18+J19+J20),0)</f>
        <v>262</v>
      </c>
      <c r="K17" s="3178" t="s">
        <v>1750</v>
      </c>
      <c r="L17" s="3177" t="s">
        <v>1751</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0" t="s">
        <v>1885</v>
      </c>
      <c r="B18" s="782" t="s">
        <v>656</v>
      </c>
      <c r="C18" s="51">
        <f ca="1">ROUND(C14*F18,0)</f>
        <v>34</v>
      </c>
      <c r="D18" s="782" t="s">
        <v>1743</v>
      </c>
      <c r="E18" s="782" t="s">
        <v>1744</v>
      </c>
      <c r="F18" s="807">
        <f>'数据-取费表'!B36</f>
        <v>1.4999999999999999E-2</v>
      </c>
      <c r="G18" s="1576"/>
      <c r="H18" s="1630" t="s">
        <v>1881</v>
      </c>
      <c r="I18" s="782" t="s">
        <v>1752</v>
      </c>
      <c r="J18" s="51">
        <f ca="1">ROUND(J6*M18/(1+'数据-取费表'!C42),1)</f>
        <v>0</v>
      </c>
      <c r="K18" s="3177" t="s">
        <v>1753</v>
      </c>
      <c r="L18" s="782" t="s">
        <v>1744</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1" t="s">
        <v>1821</v>
      </c>
      <c r="B19" s="782" t="s">
        <v>659</v>
      </c>
      <c r="C19" s="51">
        <f ca="1">SUM(C14:C18)</f>
        <v>2624</v>
      </c>
      <c r="D19" s="259" t="s">
        <v>1754</v>
      </c>
      <c r="E19" s="3182"/>
      <c r="F19" s="54"/>
      <c r="G19" s="1575"/>
      <c r="H19" s="1630" t="s">
        <v>1882</v>
      </c>
      <c r="I19" s="782" t="s">
        <v>661</v>
      </c>
      <c r="J19" s="51">
        <f ca="1">IF(K19="按租金收入计税",ROUND(J6*M19/(1+'数据-取费表'!C42),1),ROUND(C29*F33*0.7,1))</f>
        <v>261.7</v>
      </c>
      <c r="K19" s="809" t="s">
        <v>662</v>
      </c>
      <c r="L19" s="782" t="s">
        <v>1744</v>
      </c>
      <c r="M19" s="807">
        <f>IF(K19="按租金收入计税",'数据-取费表'!B51,'数据-取费表'!B50)</f>
        <v>1.2E-2</v>
      </c>
    </row>
    <row r="20" spans="1:33" s="2045" customFormat="1" ht="18" customHeight="1">
      <c r="A20" s="1631" t="s">
        <v>1886</v>
      </c>
      <c r="B20" s="782" t="s">
        <v>663</v>
      </c>
      <c r="C20" s="51">
        <f ca="1">ROUND(C19*F20,0)</f>
        <v>52</v>
      </c>
      <c r="D20" s="810" t="s">
        <v>1756</v>
      </c>
      <c r="E20" s="782" t="s">
        <v>1744</v>
      </c>
      <c r="F20" s="807">
        <f>'数据-取费表'!B37</f>
        <v>0.02</v>
      </c>
      <c r="G20" s="1576"/>
      <c r="H20" s="1633" t="s">
        <v>1830</v>
      </c>
      <c r="I20" s="339" t="s">
        <v>1757</v>
      </c>
      <c r="J20" s="52">
        <f ca="1">ROUND(M20*M21/10000,0)</f>
        <v>0</v>
      </c>
      <c r="K20" s="812" t="s">
        <v>1758</v>
      </c>
      <c r="L20" s="782" t="s">
        <v>1759</v>
      </c>
      <c r="M20" s="638">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1" t="s">
        <v>1887</v>
      </c>
      <c r="B21" s="782" t="s">
        <v>1760</v>
      </c>
      <c r="C21" s="51" t="s">
        <v>1761</v>
      </c>
      <c r="D21" s="810" t="s">
        <v>2294</v>
      </c>
      <c r="E21" s="782" t="s">
        <v>1762</v>
      </c>
      <c r="F21" s="807">
        <f>'数据-取费表'!B38</f>
        <v>0.02</v>
      </c>
      <c r="G21" s="1576"/>
      <c r="H21" s="2466"/>
      <c r="I21" s="791"/>
      <c r="J21" s="67"/>
      <c r="K21" s="814"/>
      <c r="L21" s="782" t="s">
        <v>1763</v>
      </c>
      <c r="M21" s="783">
        <f ca="1">INDIRECT("'数据-取费表'!r"&amp;$G$1)</f>
        <v>0</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1" t="s">
        <v>1888</v>
      </c>
      <c r="B22" s="782" t="s">
        <v>1764</v>
      </c>
      <c r="C22" s="51"/>
      <c r="D22" s="2532" t="str">
        <f>IF(F23&lt;=1,"单利计息。","复利计息。")&amp;"建造成本、管理费用、销售费用产生的利息。"</f>
        <v>复利计息。建造成本、管理费用、销售费用产生的利息。</v>
      </c>
      <c r="E22" s="3182"/>
      <c r="F22" s="54"/>
      <c r="G22" s="1575"/>
      <c r="H22" s="1631" t="s">
        <v>1886</v>
      </c>
      <c r="I22" s="782" t="s">
        <v>1765</v>
      </c>
      <c r="J22" s="51">
        <f ca="1">ROUND(J14*M22,0)</f>
        <v>47</v>
      </c>
      <c r="K22" s="3177" t="s">
        <v>1766</v>
      </c>
      <c r="L22" s="782" t="s">
        <v>1744</v>
      </c>
      <c r="M22" s="815">
        <f ca="1">INDIRECT("'数据-取费表'!Ak"&amp;$G$1)</f>
        <v>1.4999999999999999E-2</v>
      </c>
    </row>
    <row r="23" spans="1:33" s="2045" customFormat="1" ht="18" customHeight="1">
      <c r="A23" s="1630" t="s">
        <v>1828</v>
      </c>
      <c r="B23" s="782" t="s">
        <v>2529</v>
      </c>
      <c r="C23" s="51">
        <f ca="1">ROUND(IF('数据-取费表'!B22&lt;=1,(C19+C20)*F24*F23/2,(C19+C20)*(POWER((1+F24),F23/2)-1)),0)</f>
        <v>127</v>
      </c>
      <c r="D23" s="2531"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3177" t="s">
        <v>1768</v>
      </c>
      <c r="L23" s="782" t="s">
        <v>1744</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0" t="s">
        <v>1829</v>
      </c>
      <c r="B24" s="782" t="s">
        <v>1769</v>
      </c>
      <c r="C24" s="51">
        <f ca="1">ROUND(IF('数据-取费表'!B22&lt;=1,F21*F24*F23/2,F21*(POWER((1+F24),F23/2)-1)),4)</f>
        <v>1E-3</v>
      </c>
      <c r="D24" s="2531" t="str">
        <f>IF(F23&lt;=1,"销售费用×利率×(建设周期÷2)","销售费用×((1+利率)^(建设周期÷2)-1)")</f>
        <v>销售费用×((1+利率)^(建设周期÷2)-1)</v>
      </c>
      <c r="E24" s="782" t="s">
        <v>1770</v>
      </c>
      <c r="F24" s="817">
        <f ca="1">'数据-取费表'!B40</f>
        <v>4.7500000000000001E-2</v>
      </c>
      <c r="G24" s="1576"/>
      <c r="H24" s="2511" t="s">
        <v>1888</v>
      </c>
      <c r="I24" s="2506" t="s">
        <v>663</v>
      </c>
      <c r="J24" s="2504">
        <f ca="1">ROUND(J5*M24,0)</f>
        <v>0</v>
      </c>
      <c r="K24" s="2505" t="s">
        <v>1771</v>
      </c>
      <c r="L24" s="2506" t="s">
        <v>1744</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2" t="s">
        <v>1837</v>
      </c>
      <c r="B25" s="782" t="s">
        <v>681</v>
      </c>
      <c r="C25" s="51"/>
      <c r="D25" s="259" t="s">
        <v>1772</v>
      </c>
      <c r="E25" s="3182"/>
      <c r="F25" s="54"/>
      <c r="G25" s="1575"/>
      <c r="H25" s="1811" t="s">
        <v>1773</v>
      </c>
      <c r="I25" s="2958" t="s">
        <v>2816</v>
      </c>
      <c r="J25" s="790">
        <f ca="1">J5-J16</f>
        <v>-309</v>
      </c>
      <c r="K25" s="2508" t="s">
        <v>1774</v>
      </c>
      <c r="L25" s="2509"/>
      <c r="M25" s="2510"/>
    </row>
    <row r="26" spans="1:33" ht="18" customHeight="1">
      <c r="A26" s="1630" t="s">
        <v>1828</v>
      </c>
      <c r="B26" s="782" t="s">
        <v>2433</v>
      </c>
      <c r="C26" s="51">
        <f ca="1">ROUND((C19+C20)*F26,0)</f>
        <v>80</v>
      </c>
      <c r="D26" s="810" t="s">
        <v>1775</v>
      </c>
      <c r="E26" s="793" t="s">
        <v>1776</v>
      </c>
      <c r="F26" s="792">
        <f ca="1">INDIRECT("'数据-取费表'!q"&amp;$G$1)</f>
        <v>0.03</v>
      </c>
      <c r="G26" s="1575"/>
      <c r="H26" s="2462" t="s">
        <v>1777</v>
      </c>
      <c r="I26" s="2213" t="s">
        <v>2821</v>
      </c>
      <c r="J26" s="781">
        <f ca="1">IF(J5&lt;&gt;0,ROUND(J25*(1-((1+M28)/(1+M26))^M27)/(M26-M28),0),0)</f>
        <v>0</v>
      </c>
      <c r="K26" s="812" t="s">
        <v>1778</v>
      </c>
      <c r="L26" s="782" t="s">
        <v>2414</v>
      </c>
      <c r="M26" s="792">
        <f ca="1">INDIRECT("'数据-取费表'!I"&amp;$G$1)</f>
        <v>4.4999999999999998E-2</v>
      </c>
    </row>
    <row r="27" spans="1:33" ht="18" customHeight="1">
      <c r="A27" s="1630" t="s">
        <v>1829</v>
      </c>
      <c r="B27" s="782" t="s">
        <v>683</v>
      </c>
      <c r="C27" s="51">
        <f ca="1">ROUND(F21*F26,4)</f>
        <v>5.9999999999999995E-4</v>
      </c>
      <c r="D27" s="810" t="s">
        <v>1779</v>
      </c>
      <c r="E27" s="804"/>
      <c r="F27" s="805"/>
      <c r="G27" s="1575"/>
      <c r="H27" s="2463"/>
      <c r="I27" s="785"/>
      <c r="J27" s="786"/>
      <c r="K27" s="819" t="s">
        <v>1780</v>
      </c>
      <c r="L27" s="782" t="s">
        <v>1781</v>
      </c>
      <c r="M27" s="820">
        <f ca="1">INDIRECT("'数据-取费表'!ag"&amp;$G$1)</f>
        <v>0</v>
      </c>
    </row>
    <row r="28" spans="1:33" s="2045"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2296</v>
      </c>
      <c r="C29" s="2504">
        <f ca="1">ROUND((C19+C20+C23+C26)/(1-F21-C24-C27-C28),0)</f>
        <v>3116</v>
      </c>
      <c r="D29" s="2505"/>
      <c r="E29" s="2506"/>
      <c r="F29" s="2507"/>
      <c r="G29" s="1576"/>
      <c r="H29" s="821" t="s">
        <v>1784</v>
      </c>
      <c r="I29" s="822" t="s">
        <v>1785</v>
      </c>
      <c r="J29" s="823">
        <f ca="1">ROUND(J26/(1+F40)^F41,0)</f>
        <v>0</v>
      </c>
      <c r="K29" s="824" t="s">
        <v>1786</v>
      </c>
      <c r="L29" s="825"/>
      <c r="M29" s="826">
        <f ca="1">INDIRECT("'数据-取费表'!k"&amp;$G$1)</f>
        <v>11357.88</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1" t="s">
        <v>1890</v>
      </c>
      <c r="B30" s="1809" t="s">
        <v>1787</v>
      </c>
      <c r="C30" s="790">
        <f ca="1">ROUND(C31+C36+C37+C38,0)</f>
        <v>80</v>
      </c>
      <c r="D30" s="1803" t="s">
        <v>1788</v>
      </c>
      <c r="E30" s="3180"/>
      <c r="F30" s="2451"/>
      <c r="G30" s="2043"/>
      <c r="H30" s="2046"/>
      <c r="I30" s="2047"/>
      <c r="J30" s="2048"/>
      <c r="K30" s="2049"/>
      <c r="L30" s="2050"/>
      <c r="M30" s="2051"/>
    </row>
    <row r="31" spans="1:33" ht="18" customHeight="1">
      <c r="A31" s="1631" t="s">
        <v>1821</v>
      </c>
      <c r="B31" s="782" t="s">
        <v>653</v>
      </c>
      <c r="C31" s="51">
        <f ca="1">ROUND(IF(项目基本情况!B11="自然人",C6*F31/(1+'数据-取费表'!C42),C32+C33+C34),1)</f>
        <v>31.4</v>
      </c>
      <c r="D31" s="3178" t="s">
        <v>1789</v>
      </c>
      <c r="E31" s="3177" t="s">
        <v>1790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30" t="s">
        <v>1828</v>
      </c>
      <c r="B32" s="782" t="s">
        <v>1791</v>
      </c>
      <c r="C32" s="51">
        <f ca="1">ROUND(C6*F32/(1+'数据-取费表'!C42),1)</f>
        <v>10</v>
      </c>
      <c r="D32" s="3177" t="s">
        <v>1792</v>
      </c>
      <c r="E32" s="782" t="s">
        <v>1793</v>
      </c>
      <c r="F32" s="807">
        <f>'数据-取费表'!B41</f>
        <v>5.6000000000000001E-2</v>
      </c>
      <c r="G32" s="2043"/>
      <c r="H32" s="2052"/>
      <c r="I32" s="2053"/>
      <c r="J32" s="2054"/>
      <c r="K32" s="2055"/>
      <c r="L32" s="2056"/>
      <c r="M32" s="2057"/>
    </row>
    <row r="33" spans="1:18" ht="18" customHeight="1">
      <c r="A33" s="1630" t="s">
        <v>1829</v>
      </c>
      <c r="B33" s="782" t="s">
        <v>1794</v>
      </c>
      <c r="C33" s="3580">
        <f ca="1">IF(D33="按租金收入计税",ROUND(C6*F33/(1+'数据-取费表'!C42),1),IF(D33="按房产原值计税",ROUND(C29*F33*0.7,1),INDIRECT("'数据-取费表'!Aj"&amp;$G$1)))</f>
        <v>21.4</v>
      </c>
      <c r="D33" s="809" t="s">
        <v>3516</v>
      </c>
      <c r="E33" s="782" t="s">
        <v>1793</v>
      </c>
      <c r="F33" s="807">
        <f>IF(D33="按租金收入计税",'数据-取费表'!B51,'数据-取费表'!B50)</f>
        <v>0.12</v>
      </c>
      <c r="G33" s="2043"/>
      <c r="H33" s="2058"/>
      <c r="I33" s="2058"/>
      <c r="J33" s="2058"/>
      <c r="K33" s="2059"/>
      <c r="L33" s="2058"/>
      <c r="M33" s="2058"/>
    </row>
    <row r="34" spans="1:18" ht="18" customHeight="1">
      <c r="A34" s="1633" t="s">
        <v>1830</v>
      </c>
      <c r="B34" s="339" t="s">
        <v>1795</v>
      </c>
      <c r="C34" s="3581">
        <f ca="1">ROUND(F34*F35/10000,1)</f>
        <v>0</v>
      </c>
      <c r="D34" s="812" t="s">
        <v>1796</v>
      </c>
      <c r="E34" s="782" t="s">
        <v>1797</v>
      </c>
      <c r="F34" s="638">
        <f>'数据-取费表'!B52</f>
        <v>2</v>
      </c>
      <c r="G34" s="2043"/>
      <c r="H34" s="2046"/>
      <c r="I34" s="833" t="s">
        <v>1810</v>
      </c>
      <c r="J34" s="834"/>
      <c r="K34" s="2061"/>
      <c r="L34" s="2060"/>
      <c r="M34" s="2060"/>
    </row>
    <row r="35" spans="1:18" ht="18" customHeight="1">
      <c r="A35" s="813"/>
      <c r="B35" s="791"/>
      <c r="C35" s="67"/>
      <c r="D35" s="814"/>
      <c r="E35" s="782" t="s">
        <v>1798</v>
      </c>
      <c r="F35" s="783">
        <f ca="1">INDIRECT("'数据-取费表'!r"&amp;$G$1)</f>
        <v>0</v>
      </c>
      <c r="G35" s="2043"/>
      <c r="H35" s="2046"/>
      <c r="I35" s="835" t="s">
        <v>1811</v>
      </c>
      <c r="J35" s="836">
        <f ca="1">ROUND(C13*J36,0)</f>
        <v>0</v>
      </c>
      <c r="K35" s="2059"/>
      <c r="L35" s="2058"/>
      <c r="M35" s="2058"/>
    </row>
    <row r="36" spans="1:18" ht="18" customHeight="1">
      <c r="A36" s="1631" t="s">
        <v>1886</v>
      </c>
      <c r="B36" s="782" t="s">
        <v>1799</v>
      </c>
      <c r="C36" s="51">
        <f ca="1">ROUND(C29*F36,1)</f>
        <v>46.7</v>
      </c>
      <c r="D36" s="3177" t="s">
        <v>1800</v>
      </c>
      <c r="E36" s="782" t="s">
        <v>1793</v>
      </c>
      <c r="F36" s="815">
        <f ca="1">INDIRECT("'数据-取费表'!Ak"&amp;$G$1)</f>
        <v>1.4999999999999999E-2</v>
      </c>
      <c r="G36" s="2043"/>
      <c r="H36" s="2058"/>
      <c r="I36" s="837" t="s">
        <v>1812</v>
      </c>
      <c r="J36" s="838">
        <f ca="1">INDIRECT("'数据-取费表'!j"&amp;$G$1)</f>
        <v>8.5000000000000006E-2</v>
      </c>
      <c r="K36" s="2063"/>
      <c r="L36" s="2058"/>
      <c r="M36" s="2058"/>
    </row>
    <row r="37" spans="1:18" ht="18" customHeight="1">
      <c r="A37" s="1631" t="s">
        <v>1887</v>
      </c>
      <c r="B37" s="782" t="s">
        <v>676</v>
      </c>
      <c r="C37" s="51">
        <f ca="1">ROUND(C13*F37,1)</f>
        <v>0</v>
      </c>
      <c r="D37" s="3177" t="s">
        <v>1801</v>
      </c>
      <c r="E37" s="782" t="s">
        <v>1793</v>
      </c>
      <c r="F37" s="816">
        <f ca="1">INDIRECT("'数据-取费表'!Al"&amp;$G$1)</f>
        <v>1.5E-3</v>
      </c>
      <c r="G37" s="2043"/>
      <c r="H37" s="2058"/>
      <c r="I37" s="839" t="s">
        <v>1813</v>
      </c>
      <c r="J37" s="840"/>
      <c r="K37" s="2063"/>
      <c r="L37" s="2058"/>
      <c r="M37" s="2058"/>
    </row>
    <row r="38" spans="1:18" ht="18" customHeight="1" thickBot="1">
      <c r="A38" s="2511" t="s">
        <v>1888</v>
      </c>
      <c r="B38" s="2506" t="s">
        <v>663</v>
      </c>
      <c r="C38" s="2504">
        <f ca="1">ROUND(C5*F38,1)</f>
        <v>1.9</v>
      </c>
      <c r="D38" s="2505" t="s">
        <v>1802</v>
      </c>
      <c r="E38" s="2506" t="s">
        <v>1793</v>
      </c>
      <c r="F38" s="2502">
        <f ca="1">INDIRECT("'数据-取费表'!Am"&amp;$G$1)</f>
        <v>0.01</v>
      </c>
      <c r="G38" s="2043"/>
      <c r="H38" s="2058"/>
      <c r="I38" s="841" t="s">
        <v>1814</v>
      </c>
      <c r="J38" s="842"/>
      <c r="K38" s="2064"/>
      <c r="L38" s="2058"/>
      <c r="M38" s="2058"/>
    </row>
    <row r="39" spans="1:18" ht="24.6" customHeight="1" thickTop="1">
      <c r="A39" s="1811" t="s">
        <v>1891</v>
      </c>
      <c r="B39" s="2958" t="s">
        <v>2816</v>
      </c>
      <c r="C39" s="790">
        <f ca="1">C5-C30</f>
        <v>107</v>
      </c>
      <c r="D39" s="2508" t="s">
        <v>1803</v>
      </c>
      <c r="E39" s="2509"/>
      <c r="F39" s="2510"/>
      <c r="G39" s="2043"/>
      <c r="H39" s="2058"/>
      <c r="I39" s="835" t="s">
        <v>1815</v>
      </c>
      <c r="J39" s="843">
        <f ca="1">ROUND(J35/C39,3)</f>
        <v>0</v>
      </c>
      <c r="K39" s="2064"/>
      <c r="L39" s="2058"/>
      <c r="M39" s="2058"/>
    </row>
    <row r="40" spans="1:18" ht="18" customHeight="1">
      <c r="A40" s="779" t="s">
        <v>1892</v>
      </c>
      <c r="B40" s="2213" t="s">
        <v>2297</v>
      </c>
      <c r="C40" s="781">
        <f ca="1">ROUND(C39*(1-((1+F42)/(1+F40))^F41)/(F40-F42),0)</f>
        <v>2388</v>
      </c>
      <c r="D40" s="812" t="s">
        <v>1804</v>
      </c>
      <c r="E40" s="782" t="s">
        <v>2414</v>
      </c>
      <c r="F40" s="792">
        <f ca="1">INDIRECT("'数据-取费表'!I"&amp;$G$1)</f>
        <v>4.4999999999999998E-2</v>
      </c>
      <c r="G40" s="2043"/>
      <c r="H40" s="2043"/>
      <c r="I40" s="835" t="s">
        <v>1816</v>
      </c>
      <c r="J40" s="843">
        <f ca="1">1-J39</f>
        <v>1</v>
      </c>
      <c r="K40" s="2064"/>
      <c r="L40" s="2043"/>
      <c r="M40" s="2043"/>
    </row>
    <row r="41" spans="1:18" ht="18" customHeight="1">
      <c r="A41" s="784"/>
      <c r="B41" s="785"/>
      <c r="C41" s="786"/>
      <c r="D41" s="819" t="s">
        <v>1805</v>
      </c>
      <c r="E41" s="782" t="s">
        <v>2958</v>
      </c>
      <c r="F41" s="820">
        <f ca="1">IF(INDIRECT("'数据-取费表'!af"&amp;$G$1)=0,INDIRECT("'数据-取费表'!ae"&amp;$G$1),INDIRECT("'数据-取费表'!af"&amp;$G$1))</f>
        <v>38</v>
      </c>
      <c r="G41" s="2043"/>
      <c r="H41" s="1969"/>
      <c r="I41" s="841" t="s">
        <v>1817</v>
      </c>
      <c r="J41" s="844"/>
      <c r="K41" s="2063"/>
      <c r="L41" s="1969"/>
      <c r="M41" s="1969"/>
    </row>
    <row r="42" spans="1:18" ht="18" customHeight="1">
      <c r="A42" s="788"/>
      <c r="B42" s="789"/>
      <c r="C42" s="790"/>
      <c r="D42" s="814"/>
      <c r="E42" s="782" t="s">
        <v>1806</v>
      </c>
      <c r="F42" s="792">
        <f ca="1">INDIRECT("'数据-取费表'!v"&amp;$G$1)</f>
        <v>1.4999999999999999E-2</v>
      </c>
      <c r="G42" s="2043"/>
      <c r="H42" s="1969"/>
      <c r="I42" s="845" t="s">
        <v>1818</v>
      </c>
      <c r="J42" s="843">
        <f ca="1">ROUND(C13/C40,3)</f>
        <v>0</v>
      </c>
      <c r="K42" s="2063"/>
      <c r="L42" s="1969"/>
      <c r="M42" s="1969"/>
    </row>
    <row r="43" spans="1:18" ht="18" customHeight="1" thickBot="1">
      <c r="A43" s="821" t="s">
        <v>1784</v>
      </c>
      <c r="B43" s="822" t="s">
        <v>1807</v>
      </c>
      <c r="C43" s="823">
        <f ca="1">ROUND(C40*10000/F43,0)</f>
        <v>2103</v>
      </c>
      <c r="D43" s="824" t="s">
        <v>1808</v>
      </c>
      <c r="E43" s="825" t="s">
        <v>1809</v>
      </c>
      <c r="F43" s="826">
        <f ca="1">INDIRECT("'数据-取费表'!k"&amp;$G$1)</f>
        <v>11357.88</v>
      </c>
      <c r="G43" s="2043"/>
      <c r="H43" s="1969"/>
      <c r="I43" s="845" t="s">
        <v>1819</v>
      </c>
      <c r="J43" s="846">
        <f ca="1">1-J42</f>
        <v>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2291</v>
      </c>
      <c r="B46" s="2066"/>
      <c r="C46" s="2534">
        <f ca="1">C67-C40</f>
        <v>-3236</v>
      </c>
      <c r="D46" s="2066"/>
      <c r="E46" s="2066"/>
      <c r="F46" s="2066"/>
      <c r="I46" s="2338" t="s">
        <v>2338</v>
      </c>
      <c r="J46" s="2339"/>
      <c r="K46" s="2340"/>
      <c r="L46" s="3103">
        <f>IF(OR(M47="住宅",D1="土地（套用方法）"),0,IF(L48&gt;J51,L60,J60))</f>
        <v>0</v>
      </c>
      <c r="O46" s="2354" t="s">
        <v>2405</v>
      </c>
      <c r="P46" s="1575"/>
      <c r="Q46" s="1586"/>
      <c r="R46" s="1575"/>
    </row>
    <row r="47" spans="1:18" s="2040" customFormat="1" ht="18" customHeight="1" thickBot="1">
      <c r="A47" s="2332">
        <v>1</v>
      </c>
      <c r="B47" s="2333" t="s">
        <v>632</v>
      </c>
      <c r="C47" s="2534">
        <f ca="1">C48+C52+C54</f>
        <v>0</v>
      </c>
      <c r="D47" s="2066"/>
      <c r="E47" s="2066"/>
      <c r="F47" s="2066"/>
      <c r="I47" s="3094" t="s">
        <v>2339</v>
      </c>
      <c r="J47" s="2341" t="s">
        <v>3318</v>
      </c>
      <c r="K47" s="3100" t="s">
        <v>2344</v>
      </c>
      <c r="L47" s="3104">
        <f ca="1">INDIRECT("'数据-取费表'!d"&amp;$G$1)</f>
        <v>40</v>
      </c>
      <c r="M47" s="1586" t="str">
        <f>IF(ISNUMBER(FIND("住宅",C1)),"住宅","非住宅")</f>
        <v>非住宅</v>
      </c>
      <c r="O47" s="2355" t="s">
        <v>2370</v>
      </c>
      <c r="P47" s="2356" t="s">
        <v>2371</v>
      </c>
      <c r="Q47" s="2357" t="s">
        <v>2372</v>
      </c>
      <c r="R47" s="2356" t="s">
        <v>2373</v>
      </c>
    </row>
    <row r="48" spans="1:18" s="2040" customFormat="1" ht="18" customHeight="1" thickBot="1">
      <c r="A48" s="2602" t="s">
        <v>2531</v>
      </c>
      <c r="B48" s="2603" t="s">
        <v>2532</v>
      </c>
      <c r="C48" s="2334">
        <f ca="1">ROUND(F48*F50*F49*(1-F51)/10000,0)</f>
        <v>0</v>
      </c>
      <c r="D48" s="2335" t="s">
        <v>633</v>
      </c>
      <c r="E48" s="2336" t="s">
        <v>2292</v>
      </c>
      <c r="F48" s="2337"/>
      <c r="G48" s="2071"/>
      <c r="I48" s="3073" t="s">
        <v>2340</v>
      </c>
      <c r="J48" s="2342" t="s">
        <v>2345</v>
      </c>
      <c r="K48" s="3101" t="s">
        <v>2346</v>
      </c>
      <c r="L48" s="1890">
        <f ca="1">INDIRECT("'数据-取费表'!f"&amp;$G$1)</f>
        <v>40</v>
      </c>
      <c r="O48" s="2358" t="s">
        <v>2374</v>
      </c>
      <c r="P48" s="2359" t="s">
        <v>2400</v>
      </c>
      <c r="Q48" s="2360">
        <f ca="1">C40+J29</f>
        <v>2388</v>
      </c>
      <c r="R48" s="2359" t="s">
        <v>2375</v>
      </c>
    </row>
    <row r="49" spans="1:18" s="2040" customFormat="1" ht="18" customHeight="1" thickBot="1">
      <c r="A49" s="784"/>
      <c r="B49" s="785"/>
      <c r="C49" s="786"/>
      <c r="D49" s="787"/>
      <c r="E49" s="782" t="s">
        <v>1736</v>
      </c>
      <c r="F49" s="783">
        <f ca="1">F7</f>
        <v>11357.88</v>
      </c>
      <c r="G49" s="2071"/>
      <c r="H49" s="2074"/>
      <c r="I49" s="3073" t="s">
        <v>2341</v>
      </c>
      <c r="J49" s="2343"/>
      <c r="K49" s="3102" t="s">
        <v>2347</v>
      </c>
      <c r="L49" s="2344"/>
      <c r="O49" s="2358" t="s">
        <v>2376</v>
      </c>
      <c r="P49" s="2359" t="s">
        <v>2401</v>
      </c>
      <c r="Q49" s="2360">
        <f ca="1">J60</f>
        <v>47</v>
      </c>
      <c r="R49" s="2359" t="s">
        <v>2377</v>
      </c>
    </row>
    <row r="50" spans="1:18" s="2040" customFormat="1" ht="18" customHeight="1" thickBot="1">
      <c r="A50" s="784"/>
      <c r="B50" s="785"/>
      <c r="C50" s="786"/>
      <c r="D50" s="787"/>
      <c r="E50" s="782" t="s">
        <v>1737</v>
      </c>
      <c r="F50" s="783">
        <f ca="1">F8</f>
        <v>365</v>
      </c>
      <c r="G50" s="2076"/>
      <c r="H50" s="2074"/>
      <c r="I50" s="3073" t="s">
        <v>2342</v>
      </c>
      <c r="J50" s="3098">
        <f>SUMPRODUCT((I63:I65=J47)*(J62:L62=J48)*(J63:L65))</f>
        <v>60</v>
      </c>
      <c r="K50" s="3102" t="s">
        <v>2348</v>
      </c>
      <c r="L50" s="2344"/>
      <c r="O50" s="2361" t="s">
        <v>2378</v>
      </c>
      <c r="P50" s="2359" t="s">
        <v>2402</v>
      </c>
      <c r="Q50" s="2360">
        <f ca="1">C29</f>
        <v>3116</v>
      </c>
      <c r="R50" s="2359" t="s">
        <v>2375</v>
      </c>
    </row>
    <row r="51" spans="1:18" s="2040" customFormat="1" ht="18" customHeight="1" thickBot="1">
      <c r="A51" s="784"/>
      <c r="B51" s="785"/>
      <c r="C51" s="786"/>
      <c r="D51" s="787"/>
      <c r="E51" s="782" t="s">
        <v>637</v>
      </c>
      <c r="F51" s="2331"/>
      <c r="H51" s="2074"/>
      <c r="I51" s="3095" t="s">
        <v>2343</v>
      </c>
      <c r="J51" s="3099">
        <f>IF(J49="",J50,J49+J50-YEAR('数据-取费表'!B2))</f>
        <v>60</v>
      </c>
      <c r="K51" s="3073" t="s">
        <v>2349</v>
      </c>
      <c r="L51" s="3105">
        <f ca="1">ROUND(-PV(INDIRECT("'数据-取费表'!h"&amp;$G$1),L48,(C39-C13*J36),0),0)</f>
        <v>2118</v>
      </c>
      <c r="O51" s="2361" t="s">
        <v>2379</v>
      </c>
      <c r="P51" s="2359" t="s">
        <v>2380</v>
      </c>
      <c r="Q51" s="2362">
        <f ca="1">J58</f>
        <v>0.4</v>
      </c>
      <c r="R51" s="2363"/>
    </row>
    <row r="52" spans="1:18" s="2040" customFormat="1" ht="18" customHeight="1" thickBot="1">
      <c r="A52" s="779" t="s">
        <v>2530</v>
      </c>
      <c r="B52" s="2454" t="s">
        <v>2453</v>
      </c>
      <c r="C52" s="797">
        <f ca="1">ROUND(IF(F52="押一",C48/12*F11,IF(F52="押二",C48/12*2*F11,IF(F52="押三",C48/12*3*F11,C53*F11))),0)</f>
        <v>0</v>
      </c>
      <c r="D52" s="2461" t="s">
        <v>2969</v>
      </c>
      <c r="E52" s="2458" t="s">
        <v>2458</v>
      </c>
      <c r="F52" s="2581"/>
      <c r="I52" s="3096" t="s">
        <v>2416</v>
      </c>
      <c r="J52" s="2345">
        <v>0.09</v>
      </c>
      <c r="K52" s="3096" t="s">
        <v>2415</v>
      </c>
      <c r="L52" s="2345"/>
      <c r="O52" s="2361" t="s">
        <v>2381</v>
      </c>
      <c r="P52" s="2359" t="s">
        <v>2382</v>
      </c>
      <c r="Q52" s="2362">
        <f>J52</f>
        <v>0.09</v>
      </c>
      <c r="R52" s="2363"/>
    </row>
    <row r="53" spans="1:18" s="2040" customFormat="1" ht="39.75" customHeight="1" thickBot="1">
      <c r="A53" s="784"/>
      <c r="B53" s="2455" t="s">
        <v>2567</v>
      </c>
      <c r="C53" s="2459"/>
      <c r="D53" s="2461"/>
      <c r="E53" s="2458"/>
      <c r="F53" s="798"/>
      <c r="I53" s="3097" t="s">
        <v>2972</v>
      </c>
      <c r="J53" s="3176">
        <f ca="1">IF(M47="住宅",IF(D1="——",MAX(J51,L48),MAX(J51,L48-'数据-取费表'!B20)),IF(D1="——",MIN(J51,L48),MIN(J51,L48-'数据-取费表'!B20)))</f>
        <v>38</v>
      </c>
      <c r="K53" s="3815" t="s">
        <v>2960</v>
      </c>
      <c r="L53" s="3816"/>
      <c r="O53" s="2361" t="s">
        <v>2383</v>
      </c>
      <c r="P53" s="2359" t="s">
        <v>2384</v>
      </c>
      <c r="Q53" s="2360">
        <f ca="1">J53</f>
        <v>38</v>
      </c>
      <c r="R53" s="2359" t="s">
        <v>2385</v>
      </c>
    </row>
    <row r="54" spans="1:18" s="2040" customFormat="1" ht="18" customHeight="1" thickBot="1">
      <c r="A54" s="2497" t="s">
        <v>2461</v>
      </c>
      <c r="B54" s="2498" t="s">
        <v>2454</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2386</v>
      </c>
      <c r="P54" s="2359" t="s">
        <v>2403</v>
      </c>
      <c r="Q54" s="2360">
        <f ca="1">Q48+Q49</f>
        <v>2435</v>
      </c>
      <c r="R54" s="2363" t="s">
        <v>2387</v>
      </c>
    </row>
    <row r="55" spans="1:18" s="2040" customFormat="1" ht="18" customHeight="1" thickTop="1" thickBot="1">
      <c r="A55" s="795">
        <v>2</v>
      </c>
      <c r="B55" s="796" t="s">
        <v>641</v>
      </c>
      <c r="C55" s="797">
        <f ca="1">C13</f>
        <v>0</v>
      </c>
      <c r="D55" s="793"/>
      <c r="E55" s="793"/>
      <c r="F55" s="798"/>
      <c r="I55" s="3108" t="s">
        <v>2350</v>
      </c>
      <c r="J55" s="3048">
        <f ca="1">ROUND(IF(J47="钢混",J57/J50,1-(1-2%)*(J50-J57)/J50),3)</f>
        <v>0.33300000000000002</v>
      </c>
      <c r="K55" s="3109" t="s">
        <v>2351</v>
      </c>
      <c r="L55" s="2346"/>
      <c r="O55" s="2364" t="s">
        <v>2406</v>
      </c>
      <c r="P55" s="1575"/>
      <c r="Q55" s="1586"/>
      <c r="R55" s="1575"/>
    </row>
    <row r="56" spans="1:18" s="2040" customFormat="1" ht="42.75" customHeight="1" thickBot="1">
      <c r="A56" s="1632"/>
      <c r="B56" s="2212" t="s">
        <v>2298</v>
      </c>
      <c r="C56" s="51">
        <f ca="1">C29</f>
        <v>3116</v>
      </c>
      <c r="D56" s="3177"/>
      <c r="E56" s="782"/>
      <c r="F56" s="807"/>
      <c r="I56" s="3110" t="s">
        <v>2352</v>
      </c>
      <c r="J56" s="3120" t="s">
        <v>3512</v>
      </c>
      <c r="K56" s="3073" t="s">
        <v>2357</v>
      </c>
      <c r="L56" s="1890" t="str">
        <f ca="1">IF(L48&lt;J51,"——",L48-J51)</f>
        <v>——</v>
      </c>
      <c r="O56" s="2355" t="s">
        <v>2370</v>
      </c>
      <c r="P56" s="2356" t="s">
        <v>2371</v>
      </c>
      <c r="Q56" s="2357" t="s">
        <v>2372</v>
      </c>
      <c r="R56" s="2356" t="s">
        <v>2373</v>
      </c>
    </row>
    <row r="57" spans="1:18" s="2040" customFormat="1" ht="28.5" customHeight="1" thickBot="1">
      <c r="A57" s="795" t="s">
        <v>1745</v>
      </c>
      <c r="B57" s="796" t="s">
        <v>648</v>
      </c>
      <c r="C57" s="797">
        <f ca="1">ROUND(C58+C63+C64+C65,0)</f>
        <v>47</v>
      </c>
      <c r="D57" s="24" t="s">
        <v>1747</v>
      </c>
      <c r="E57" s="3182"/>
      <c r="F57" s="54"/>
      <c r="I57" s="3111" t="s">
        <v>2353</v>
      </c>
      <c r="J57" s="3112">
        <f ca="1">IF(OR(M47="住宅",J51&lt;L48,J56="是"),"——",J51-L48)</f>
        <v>20</v>
      </c>
      <c r="K57" s="3073" t="s">
        <v>2358</v>
      </c>
      <c r="L57" s="1890" t="str">
        <f ca="1">IF(L48&lt;J51,"——",IF(L55="比较法",L49,IF(L55="基准地价",L50,L51)))</f>
        <v>——</v>
      </c>
      <c r="O57" s="2358" t="s">
        <v>2374</v>
      </c>
      <c r="P57" s="2359" t="s">
        <v>2404</v>
      </c>
      <c r="Q57" s="2360">
        <f ca="1">C40+J29</f>
        <v>2388</v>
      </c>
      <c r="R57" s="2359" t="s">
        <v>2375</v>
      </c>
    </row>
    <row r="58" spans="1:18" s="2040" customFormat="1" ht="28.5" customHeight="1" thickBot="1">
      <c r="A58" s="1631" t="s">
        <v>1821</v>
      </c>
      <c r="B58" s="782" t="s">
        <v>653</v>
      </c>
      <c r="C58" s="51">
        <f ca="1">ROUND(IF(项目基本情况!B11="自然人",C47*F58,C59+C60+C61),1)</f>
        <v>0</v>
      </c>
      <c r="D58" s="3178" t="s">
        <v>654</v>
      </c>
      <c r="E58" s="3177" t="s">
        <v>687</v>
      </c>
      <c r="F58" s="808" t="str">
        <f ca="1">IF(项目基本情况!B11="企业","",IF(INDIRECT("'数据-取费表'!c"&amp;$G$1)="住宅",5%,IF(F48*F49*F50/12/(1+'数据-取费表'!C42)&gt;20000,12%,7%)))</f>
        <v/>
      </c>
      <c r="I58" s="3111" t="s">
        <v>2354</v>
      </c>
      <c r="J58" s="3049">
        <f ca="1">IF(J55&lt;0.4,0.4,J55)</f>
        <v>0.4</v>
      </c>
      <c r="K58" s="3073" t="s">
        <v>2359</v>
      </c>
      <c r="L58" s="1890" t="e">
        <f ca="1">ROUND(POWER(1+L52,L47-L48)*(POWER(1+L52,L48)-1)/(POWER(1+L52,L47)-1),4)</f>
        <v>#DIV/0!</v>
      </c>
      <c r="O58" s="2358" t="s">
        <v>2376</v>
      </c>
      <c r="P58" s="2359" t="s">
        <v>2407</v>
      </c>
      <c r="Q58" s="2360">
        <f ca="1">L60</f>
        <v>0</v>
      </c>
      <c r="R58" s="2363" t="s">
        <v>2409</v>
      </c>
    </row>
    <row r="59" spans="1:18" s="2040" customFormat="1" ht="28.5" customHeight="1" thickBot="1">
      <c r="A59" s="1630" t="s">
        <v>1828</v>
      </c>
      <c r="B59" s="782" t="s">
        <v>657</v>
      </c>
      <c r="C59" s="51">
        <f ca="1">ROUND(C47*F59/1.05,1)</f>
        <v>0</v>
      </c>
      <c r="D59" s="3177" t="s">
        <v>1753</v>
      </c>
      <c r="E59" s="782" t="s">
        <v>1744</v>
      </c>
      <c r="F59" s="807">
        <f t="shared" ref="F59:F65" si="0">F32</f>
        <v>5.6000000000000001E-2</v>
      </c>
      <c r="I59" s="3111" t="s">
        <v>2355</v>
      </c>
      <c r="J59" s="3112">
        <f ca="1">IF(OR(M47="住宅",J51&lt;L48,J56="是"),"——",ROUND(C29*J58,0))</f>
        <v>1246</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1" t="s">
        <v>2378</v>
      </c>
      <c r="P59" s="2359" t="s">
        <v>2408</v>
      </c>
      <c r="Q59" s="2360">
        <f>IF(L55="比较法",L49,IF(L55="基准地价",L50,0))</f>
        <v>0</v>
      </c>
      <c r="R59" s="2359" t="s">
        <v>2375</v>
      </c>
    </row>
    <row r="60" spans="1:18" s="2040" customFormat="1" ht="18" customHeight="1" thickBot="1">
      <c r="A60" s="1630" t="s">
        <v>1829</v>
      </c>
      <c r="B60" s="782" t="s">
        <v>661</v>
      </c>
      <c r="C60" s="51">
        <f ca="1">IF(D60="按租金收入计税",ROUND(C47*F60,1),IF(D60="按房产原值计税",ROUND(C56*F60*0.7,1),INDIRECT("'数据-取费表'!Aj"&amp;$G$1)))</f>
        <v>0</v>
      </c>
      <c r="D60" s="3177" t="str">
        <f>D33</f>
        <v>按租金收入计税</v>
      </c>
      <c r="E60" s="782" t="s">
        <v>1744</v>
      </c>
      <c r="F60" s="807">
        <f t="shared" si="0"/>
        <v>0.12</v>
      </c>
      <c r="I60" s="3113" t="s">
        <v>2356</v>
      </c>
      <c r="J60" s="3114">
        <f ca="1">IF(OR(M47="住宅",J51&lt;L48,J56="是"),"0",ROUND(J59/(1+J52)^J53,0))</f>
        <v>47</v>
      </c>
      <c r="K60" s="3115" t="s">
        <v>2361</v>
      </c>
      <c r="L60" s="3114">
        <f ca="1">IF(OR(M47="住宅",L48&lt;J51),0,ROUND(L57*(L58/L59-1),0))</f>
        <v>0</v>
      </c>
      <c r="O60" s="2361" t="s">
        <v>2379</v>
      </c>
      <c r="P60" s="2359" t="s">
        <v>2388</v>
      </c>
      <c r="Q60" s="2362">
        <f>L52</f>
        <v>0</v>
      </c>
      <c r="R60" s="2363"/>
    </row>
    <row r="61" spans="1:18" s="2040" customFormat="1" ht="18" customHeight="1" thickBot="1">
      <c r="A61" s="1633" t="s">
        <v>1830</v>
      </c>
      <c r="B61" s="339" t="s">
        <v>665</v>
      </c>
      <c r="C61" s="52">
        <f ca="1">ROUND(F61*F62/10000,1)</f>
        <v>0</v>
      </c>
      <c r="D61" s="812" t="s">
        <v>666</v>
      </c>
      <c r="E61" s="782" t="s">
        <v>667</v>
      </c>
      <c r="F61" s="638">
        <f t="shared" si="0"/>
        <v>2</v>
      </c>
      <c r="K61" s="2067"/>
      <c r="O61" s="2361" t="s">
        <v>2381</v>
      </c>
      <c r="P61" s="2359" t="s">
        <v>2389</v>
      </c>
      <c r="Q61" s="2360" t="e">
        <f ca="1">L58</f>
        <v>#DIV/0!</v>
      </c>
      <c r="R61" s="2363" t="s">
        <v>2390</v>
      </c>
    </row>
    <row r="62" spans="1:18" s="2040" customFormat="1" ht="15.75" thickBot="1">
      <c r="A62" s="813"/>
      <c r="B62" s="791"/>
      <c r="C62" s="67"/>
      <c r="D62" s="814"/>
      <c r="E62" s="782" t="s">
        <v>671</v>
      </c>
      <c r="F62" s="783">
        <f t="shared" ca="1" si="0"/>
        <v>0</v>
      </c>
      <c r="I62" s="3116" t="s">
        <v>2362</v>
      </c>
      <c r="J62" s="3117" t="s">
        <v>2363</v>
      </c>
      <c r="K62" s="3117" t="s">
        <v>2364</v>
      </c>
      <c r="L62" s="3117" t="s">
        <v>2345</v>
      </c>
      <c r="M62" s="3118" t="s">
        <v>2937</v>
      </c>
      <c r="O62" s="2361" t="s">
        <v>2383</v>
      </c>
      <c r="P62" s="2359" t="str">
        <f>K59</f>
        <v>建设期及建筑物耐用年限下的土地年期修正系数Kn</v>
      </c>
      <c r="Q62" s="2360" t="e">
        <f ca="1">L59</f>
        <v>#DIV/0!</v>
      </c>
      <c r="R62" s="2363" t="s">
        <v>2392</v>
      </c>
    </row>
    <row r="63" spans="1:18" s="2040" customFormat="1" ht="15.75" thickBot="1">
      <c r="A63" s="1631" t="s">
        <v>1886</v>
      </c>
      <c r="B63" s="782" t="s">
        <v>673</v>
      </c>
      <c r="C63" s="51">
        <f ca="1">ROUND(C56*F63,1)</f>
        <v>46.7</v>
      </c>
      <c r="D63" s="3177" t="s">
        <v>1800</v>
      </c>
      <c r="E63" s="782" t="s">
        <v>1744</v>
      </c>
      <c r="F63" s="815">
        <f t="shared" ca="1" si="0"/>
        <v>1.4999999999999999E-2</v>
      </c>
      <c r="I63" s="3116" t="s">
        <v>2365</v>
      </c>
      <c r="J63" s="3117">
        <v>70</v>
      </c>
      <c r="K63" s="3117">
        <v>50</v>
      </c>
      <c r="L63" s="3117">
        <v>80</v>
      </c>
      <c r="M63" s="3119">
        <v>0.02</v>
      </c>
      <c r="O63" s="2358" t="s">
        <v>2386</v>
      </c>
      <c r="P63" s="2359" t="s">
        <v>2403</v>
      </c>
      <c r="Q63" s="2360">
        <f ca="1">Q57+Q58</f>
        <v>2388</v>
      </c>
      <c r="R63" s="2363" t="s">
        <v>2387</v>
      </c>
    </row>
    <row r="64" spans="1:18" s="2040" customFormat="1" ht="16.5" thickBot="1">
      <c r="A64" s="1631" t="s">
        <v>1887</v>
      </c>
      <c r="B64" s="782" t="s">
        <v>676</v>
      </c>
      <c r="C64" s="51">
        <f ca="1">ROUND(C55*F64,1)</f>
        <v>0</v>
      </c>
      <c r="D64" s="3177" t="s">
        <v>677</v>
      </c>
      <c r="E64" s="782" t="s">
        <v>1744</v>
      </c>
      <c r="F64" s="816">
        <f t="shared" ca="1" si="0"/>
        <v>1.5E-3</v>
      </c>
      <c r="I64" s="3116" t="s">
        <v>2366</v>
      </c>
      <c r="J64" s="3117">
        <v>50</v>
      </c>
      <c r="K64" s="3117">
        <v>35</v>
      </c>
      <c r="L64" s="3117">
        <v>60</v>
      </c>
      <c r="M64" s="844">
        <v>0</v>
      </c>
      <c r="O64" s="2364" t="s">
        <v>2410</v>
      </c>
      <c r="P64" s="1575"/>
      <c r="Q64" s="1586"/>
      <c r="R64" s="1575"/>
    </row>
    <row r="65" spans="1:18" s="2040" customFormat="1" ht="15.75" thickBot="1">
      <c r="A65" s="1631" t="s">
        <v>1888</v>
      </c>
      <c r="B65" s="782" t="s">
        <v>663</v>
      </c>
      <c r="C65" s="51">
        <f ca="1">ROUND(C47*F65,1)</f>
        <v>0</v>
      </c>
      <c r="D65" s="3177" t="s">
        <v>680</v>
      </c>
      <c r="E65" s="782" t="s">
        <v>1744</v>
      </c>
      <c r="F65" s="792">
        <f t="shared" ca="1" si="0"/>
        <v>0.01</v>
      </c>
      <c r="I65" s="3116" t="s">
        <v>2367</v>
      </c>
      <c r="J65" s="3117">
        <v>40</v>
      </c>
      <c r="K65" s="3117">
        <v>30</v>
      </c>
      <c r="L65" s="3117">
        <v>50</v>
      </c>
      <c r="M65" s="3119">
        <v>0.02</v>
      </c>
      <c r="O65" s="2355" t="s">
        <v>2370</v>
      </c>
      <c r="P65" s="2356" t="s">
        <v>2371</v>
      </c>
      <c r="Q65" s="2357" t="s">
        <v>2372</v>
      </c>
      <c r="R65" s="2356" t="s">
        <v>2373</v>
      </c>
    </row>
    <row r="66" spans="1:18" s="2040" customFormat="1" ht="24.75" thickBot="1">
      <c r="A66" s="795" t="s">
        <v>1773</v>
      </c>
      <c r="B66" s="2959" t="s">
        <v>2816</v>
      </c>
      <c r="C66" s="797">
        <f ca="1">C47-C57</f>
        <v>-47</v>
      </c>
      <c r="D66" s="3178" t="s">
        <v>697</v>
      </c>
      <c r="E66" s="3181"/>
      <c r="F66" s="818"/>
      <c r="K66" s="2067"/>
      <c r="O66" s="2358" t="s">
        <v>2374</v>
      </c>
      <c r="P66" s="2359" t="s">
        <v>2404</v>
      </c>
      <c r="Q66" s="2360">
        <f ca="1">C40+J29</f>
        <v>2388</v>
      </c>
      <c r="R66" s="2359" t="s">
        <v>2375</v>
      </c>
    </row>
    <row r="67" spans="1:18" s="2040" customFormat="1" ht="20.25" thickBot="1">
      <c r="A67" s="779" t="s">
        <v>1777</v>
      </c>
      <c r="B67" s="2213" t="s">
        <v>2297</v>
      </c>
      <c r="C67" s="781">
        <f ca="1">ROUND(C66*(1-((1+F69)/(1+F67))^F68)/(F67-F69),0)</f>
        <v>-848</v>
      </c>
      <c r="D67" s="812" t="s">
        <v>701</v>
      </c>
      <c r="E67" s="782" t="s">
        <v>702</v>
      </c>
      <c r="F67" s="792">
        <f ca="1">F40</f>
        <v>4.4999999999999998E-2</v>
      </c>
      <c r="K67" s="2067"/>
      <c r="O67" s="2358" t="s">
        <v>2376</v>
      </c>
      <c r="P67" s="2359" t="s">
        <v>2407</v>
      </c>
      <c r="Q67" s="2360">
        <f ca="1">L60</f>
        <v>0</v>
      </c>
      <c r="R67" s="2363" t="s">
        <v>2409</v>
      </c>
    </row>
    <row r="68" spans="1:18" ht="21.75" thickBot="1">
      <c r="A68" s="784"/>
      <c r="B68" s="785"/>
      <c r="C68" s="786"/>
      <c r="D68" s="819" t="s">
        <v>1805</v>
      </c>
      <c r="E68" s="782" t="s">
        <v>1781</v>
      </c>
      <c r="F68" s="820">
        <f ca="1">F41</f>
        <v>38</v>
      </c>
      <c r="O68" s="2361" t="s">
        <v>2378</v>
      </c>
      <c r="P68" s="2359" t="s">
        <v>2408</v>
      </c>
      <c r="Q68" s="2365">
        <f ca="1">L51</f>
        <v>2118</v>
      </c>
      <c r="R68" s="2366" t="s">
        <v>2411</v>
      </c>
    </row>
    <row r="69" spans="1:18" ht="20.25" thickBot="1">
      <c r="A69" s="788"/>
      <c r="B69" s="789"/>
      <c r="C69" s="790"/>
      <c r="D69" s="814"/>
      <c r="E69" s="782" t="s">
        <v>707</v>
      </c>
      <c r="F69" s="2331"/>
      <c r="O69" s="2361" t="s">
        <v>2379</v>
      </c>
      <c r="P69" s="2367" t="s">
        <v>2393</v>
      </c>
      <c r="Q69" s="2360">
        <f ca="1">ROUND(Q70-Q71*Q72,0)</f>
        <v>107</v>
      </c>
      <c r="R69" s="2363"/>
    </row>
    <row r="70" spans="1:18" ht="15.75" thickBot="1">
      <c r="A70" s="821" t="s">
        <v>1784</v>
      </c>
      <c r="B70" s="822" t="s">
        <v>1807</v>
      </c>
      <c r="C70" s="823">
        <f ca="1">ROUND(C67*10000/F70,0)</f>
        <v>-747</v>
      </c>
      <c r="D70" s="824" t="s">
        <v>1808</v>
      </c>
      <c r="E70" s="825" t="s">
        <v>1809</v>
      </c>
      <c r="F70" s="826">
        <f ca="1">F43</f>
        <v>11357.88</v>
      </c>
      <c r="O70" s="2361" t="s">
        <v>2394</v>
      </c>
      <c r="P70" s="2367" t="s">
        <v>2395</v>
      </c>
      <c r="Q70" s="2360">
        <f ca="1">C39</f>
        <v>107</v>
      </c>
      <c r="R70" s="2359" t="s">
        <v>2375</v>
      </c>
    </row>
    <row r="71" spans="1:18" ht="15.75" thickBot="1">
      <c r="O71" s="2361" t="s">
        <v>2396</v>
      </c>
      <c r="P71" s="2367" t="s">
        <v>2397</v>
      </c>
      <c r="Q71" s="2360">
        <f ca="1">C13</f>
        <v>0</v>
      </c>
      <c r="R71" s="2359" t="s">
        <v>2375</v>
      </c>
    </row>
    <row r="72" spans="1:18" ht="15.75" thickBot="1">
      <c r="O72" s="2361" t="s">
        <v>2398</v>
      </c>
      <c r="P72" s="2367" t="s">
        <v>2399</v>
      </c>
      <c r="Q72" s="2362">
        <f ca="1">J36</f>
        <v>8.5000000000000006E-2</v>
      </c>
      <c r="R72" s="2363"/>
    </row>
    <row r="73" spans="1:18" ht="15.75" thickBot="1">
      <c r="O73" s="2361" t="s">
        <v>2381</v>
      </c>
      <c r="P73" s="2359" t="s">
        <v>2388</v>
      </c>
      <c r="Q73" s="2362">
        <f>L52</f>
        <v>0</v>
      </c>
      <c r="R73" s="2363"/>
    </row>
    <row r="74" spans="1:18" ht="20.25" thickBot="1">
      <c r="O74" s="2361" t="s">
        <v>2383</v>
      </c>
      <c r="P74" s="2359" t="s">
        <v>2389</v>
      </c>
      <c r="Q74" s="2360" t="e">
        <f ca="1">L58</f>
        <v>#DIV/0!</v>
      </c>
      <c r="R74" s="2363" t="s">
        <v>2390</v>
      </c>
    </row>
    <row r="75" spans="1:18" ht="15.75" thickBot="1">
      <c r="O75" s="2361" t="s">
        <v>2412</v>
      </c>
      <c r="P75" s="2359" t="str">
        <f>K59</f>
        <v>建设期及建筑物耐用年限下的土地年期修正系数Kn</v>
      </c>
      <c r="Q75" s="2360" t="e">
        <f ca="1">L59</f>
        <v>#DIV/0!</v>
      </c>
      <c r="R75" s="2363" t="s">
        <v>2392</v>
      </c>
    </row>
    <row r="76" spans="1:18" ht="15.75" thickBot="1">
      <c r="O76" s="2358" t="s">
        <v>2386</v>
      </c>
      <c r="P76" s="2359" t="s">
        <v>2403</v>
      </c>
      <c r="Q76" s="2360">
        <f ca="1">Q66+Q67</f>
        <v>2388</v>
      </c>
      <c r="R76" s="2363"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I48" sqref="I4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464</v>
      </c>
      <c r="B2" s="506">
        <f>F68</f>
        <v>17674</v>
      </c>
      <c r="C2" s="2108"/>
      <c r="D2" s="2108"/>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c r="AD2" s="1329"/>
    </row>
    <row r="3" spans="1:30" s="1330" customFormat="1" ht="28.5" customHeight="1">
      <c r="A3" s="1372" t="s">
        <v>1681</v>
      </c>
      <c r="B3" s="508">
        <f>ROUND(B2*10000/'数据-汇总表'!E3,0)</f>
        <v>3605</v>
      </c>
      <c r="C3" s="2042"/>
      <c r="D3" s="2530"/>
      <c r="E3" s="2042"/>
      <c r="F3" s="2042"/>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30" s="1330" customFormat="1" ht="28.5" customHeight="1">
      <c r="A4" s="509" t="s">
        <v>517</v>
      </c>
      <c r="B4" s="425">
        <f>IF(B48="单位面积地价",C50,ROUND(B2*10000/'数据-汇总表'!D3,0))</f>
        <v>5996</v>
      </c>
      <c r="C4" s="2042"/>
      <c r="D4" s="2530"/>
      <c r="E4" s="2042"/>
      <c r="F4" s="2042"/>
      <c r="G4" s="2109"/>
      <c r="H4" s="2109"/>
      <c r="I4" s="2109"/>
      <c r="J4" s="2109"/>
      <c r="K4" s="2111"/>
      <c r="L4" s="2112"/>
      <c r="M4" s="2113"/>
      <c r="N4" s="2113"/>
      <c r="O4" s="2113"/>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400</v>
      </c>
      <c r="C5" s="429" t="s">
        <v>466</v>
      </c>
      <c r="D5" s="2042"/>
      <c r="E5" s="2042"/>
      <c r="F5" s="2042"/>
      <c r="G5" s="2109"/>
      <c r="H5" s="2109"/>
      <c r="I5" s="2109"/>
      <c r="J5" s="2109"/>
      <c r="K5" s="2111"/>
      <c r="L5" s="2112"/>
      <c r="M5" s="2113"/>
      <c r="N5" s="2113"/>
      <c r="O5" s="2113"/>
      <c r="P5" s="1547"/>
      <c r="Q5" s="1547"/>
      <c r="R5" s="1547"/>
      <c r="S5" s="1547"/>
      <c r="T5" s="1547"/>
      <c r="U5" s="1547"/>
      <c r="V5" s="1547"/>
      <c r="W5" s="1547"/>
      <c r="X5" s="1547"/>
      <c r="Y5" s="1547"/>
      <c r="Z5" s="1547"/>
      <c r="AA5" s="1547"/>
      <c r="AB5" s="1547"/>
      <c r="AC5" s="426"/>
    </row>
    <row r="6" spans="1:30" ht="20.25">
      <c r="A6" s="510" t="s">
        <v>518</v>
      </c>
      <c r="B6" s="511"/>
      <c r="C6" s="3830" t="s">
        <v>519</v>
      </c>
      <c r="D6" s="3831"/>
      <c r="E6" s="3830" t="s">
        <v>520</v>
      </c>
      <c r="F6" s="3831"/>
      <c r="G6" s="3830" t="s">
        <v>521</v>
      </c>
      <c r="H6" s="3831"/>
      <c r="I6" s="3830" t="s">
        <v>522</v>
      </c>
      <c r="J6" s="3831"/>
      <c r="K6" s="512" t="s">
        <v>523</v>
      </c>
      <c r="L6" s="2114"/>
      <c r="M6" s="2113"/>
      <c r="N6" s="2113"/>
      <c r="O6" s="2115"/>
      <c r="P6" s="3832" t="s">
        <v>524</v>
      </c>
      <c r="Q6" s="3833"/>
      <c r="R6" s="3838" t="s">
        <v>520</v>
      </c>
      <c r="S6" s="3839"/>
      <c r="T6" s="3838" t="s">
        <v>521</v>
      </c>
      <c r="U6" s="3839"/>
      <c r="V6" s="3825" t="s">
        <v>522</v>
      </c>
      <c r="W6" s="3825"/>
      <c r="X6" s="1550"/>
      <c r="Y6" s="3838" t="s">
        <v>524</v>
      </c>
      <c r="Z6" s="3839"/>
      <c r="AA6" s="3827" t="s">
        <v>520</v>
      </c>
      <c r="AB6" s="3828" t="s">
        <v>521</v>
      </c>
      <c r="AC6" s="3827" t="s">
        <v>522</v>
      </c>
    </row>
    <row r="7" spans="1:30" ht="20.25">
      <c r="A7" s="513"/>
      <c r="B7" s="514"/>
      <c r="C7" s="3846" t="s">
        <v>2924</v>
      </c>
      <c r="D7" s="3847"/>
      <c r="E7" s="3846" t="s">
        <v>3063</v>
      </c>
      <c r="F7" s="3847"/>
      <c r="G7" s="3846" t="s">
        <v>3064</v>
      </c>
      <c r="H7" s="3847"/>
      <c r="I7" s="3846" t="s">
        <v>3065</v>
      </c>
      <c r="J7" s="3847"/>
      <c r="K7" s="512"/>
      <c r="L7" s="2114"/>
      <c r="M7" s="2113"/>
      <c r="N7" s="2113"/>
      <c r="O7" s="2115"/>
      <c r="P7" s="3834"/>
      <c r="Q7" s="3835"/>
      <c r="R7" s="3840"/>
      <c r="S7" s="3841"/>
      <c r="T7" s="3840"/>
      <c r="U7" s="3841"/>
      <c r="V7" s="3825"/>
      <c r="W7" s="3825"/>
      <c r="X7" s="1550"/>
      <c r="Y7" s="3840"/>
      <c r="Z7" s="3841"/>
      <c r="AA7" s="3828"/>
      <c r="AB7" s="3828"/>
      <c r="AC7" s="3828"/>
    </row>
    <row r="8" spans="1:30" ht="21" thickBot="1">
      <c r="A8" s="513"/>
      <c r="B8" s="514"/>
      <c r="C8" s="3848" t="s">
        <v>2928</v>
      </c>
      <c r="D8" s="3849"/>
      <c r="E8" s="3848" t="s">
        <v>3062</v>
      </c>
      <c r="F8" s="3849"/>
      <c r="G8" s="3844" t="s">
        <v>3062</v>
      </c>
      <c r="H8" s="3845"/>
      <c r="I8" s="3844" t="s">
        <v>3062</v>
      </c>
      <c r="J8" s="3845"/>
      <c r="K8" s="512" t="s">
        <v>525</v>
      </c>
      <c r="L8" s="2114"/>
      <c r="M8" s="2113"/>
      <c r="N8" s="2113"/>
      <c r="O8" s="2115"/>
      <c r="P8" s="3836"/>
      <c r="Q8" s="3837"/>
      <c r="R8" s="3840"/>
      <c r="S8" s="3841"/>
      <c r="T8" s="3842"/>
      <c r="U8" s="3843"/>
      <c r="V8" s="3825"/>
      <c r="W8" s="3825"/>
      <c r="X8" s="1550"/>
      <c r="Y8" s="3842"/>
      <c r="Z8" s="3843"/>
      <c r="AA8" s="3829"/>
      <c r="AB8" s="3829"/>
      <c r="AC8" s="3829"/>
    </row>
    <row r="9" spans="1:30" s="1214" customFormat="1" ht="21" thickBot="1">
      <c r="A9" s="2863"/>
      <c r="B9" s="2870" t="s">
        <v>526</v>
      </c>
      <c r="C9" s="2862">
        <f>'数据-取费表'!B2</f>
        <v>43764</v>
      </c>
      <c r="D9" s="518">
        <v>100</v>
      </c>
      <c r="E9" s="519" t="str">
        <f>土地案例!H2</f>
        <v>2019-09-30</v>
      </c>
      <c r="F9" s="520">
        <f>SUMIF(72:72,YEAR(E9)&amp;"-"&amp;INT((MONTH(E9)+2)/3),73:73)</f>
        <v>99.5</v>
      </c>
      <c r="G9" s="521" t="str">
        <f>土地案例!H3</f>
        <v>2019-09-30</v>
      </c>
      <c r="H9" s="518">
        <f>SUMIF(72:72,YEAR(G9)&amp;"-"&amp;INT((MONTH(G9)+2)/3),73:73)</f>
        <v>99.5</v>
      </c>
      <c r="I9" s="521" t="str">
        <f>土地案例!H6</f>
        <v>2017-10-20</v>
      </c>
      <c r="J9" s="518">
        <f>SUMIF(72:72,YEAR(I9)&amp;"-"&amp;INT((MONTH(I9)+2)/3),73:73)</f>
        <v>96</v>
      </c>
      <c r="K9" s="522"/>
      <c r="L9" s="2116"/>
      <c r="M9" s="2113"/>
      <c r="N9" s="2113"/>
      <c r="O9" s="2117"/>
      <c r="P9" s="3855" t="s">
        <v>527</v>
      </c>
      <c r="Q9" s="3857"/>
      <c r="R9" s="1551" t="s">
        <v>8</v>
      </c>
      <c r="S9" s="1552">
        <f t="shared" ref="S9:S17" si="0">F9</f>
        <v>99.5</v>
      </c>
      <c r="T9" s="1551" t="s">
        <v>8</v>
      </c>
      <c r="U9" s="1552">
        <f t="shared" ref="U9:U17" si="1">H9</f>
        <v>99.5</v>
      </c>
      <c r="V9" s="1551" t="s">
        <v>8</v>
      </c>
      <c r="W9" s="1552">
        <f t="shared" ref="W9:W17" si="2">J9</f>
        <v>96</v>
      </c>
      <c r="X9" s="1553"/>
      <c r="Y9" s="3855" t="s">
        <v>527</v>
      </c>
      <c r="Z9" s="3856"/>
      <c r="AA9" s="1554">
        <f>D9/F9</f>
        <v>1.0050251256281406</v>
      </c>
      <c r="AB9" s="1554">
        <f>D9/H9</f>
        <v>1.0050251256281406</v>
      </c>
      <c r="AC9" s="1554">
        <f>D9/J9</f>
        <v>1.0416666666666667</v>
      </c>
    </row>
    <row r="10" spans="1:30" s="1214" customFormat="1" ht="21" thickBot="1">
      <c r="A10" s="2864"/>
      <c r="B10" s="2871" t="s">
        <v>528</v>
      </c>
      <c r="C10" s="854" t="s">
        <v>529</v>
      </c>
      <c r="D10" s="518">
        <v>100</v>
      </c>
      <c r="E10" s="523" t="s">
        <v>3267</v>
      </c>
      <c r="F10" s="520">
        <f>SUMIF(75:75,E10,76:76)-SUMIF(75:75,C10,76:76)+100</f>
        <v>100</v>
      </c>
      <c r="G10" s="523" t="s">
        <v>3267</v>
      </c>
      <c r="H10" s="518">
        <f>SUMIF(75:75,G10,76:76)-SUMIF(75:75,C10,76:76)+100</f>
        <v>100</v>
      </c>
      <c r="I10" s="523" t="s">
        <v>3267</v>
      </c>
      <c r="J10" s="518">
        <f>SUMIF(75:75,I10,76:76)-SUMIF(75:75,C10,76:76)+100</f>
        <v>100</v>
      </c>
      <c r="K10" s="522"/>
      <c r="L10" s="2116"/>
      <c r="M10" s="2113"/>
      <c r="N10" s="2113"/>
      <c r="O10" s="2117"/>
      <c r="P10" s="3855" t="s">
        <v>530</v>
      </c>
      <c r="Q10" s="3856"/>
      <c r="R10" s="1551" t="s">
        <v>8</v>
      </c>
      <c r="S10" s="1552">
        <f t="shared" si="0"/>
        <v>100</v>
      </c>
      <c r="T10" s="1551" t="s">
        <v>8</v>
      </c>
      <c r="U10" s="1552">
        <f t="shared" si="1"/>
        <v>100</v>
      </c>
      <c r="V10" s="1551" t="s">
        <v>8</v>
      </c>
      <c r="W10" s="1552">
        <f t="shared" si="2"/>
        <v>100</v>
      </c>
      <c r="X10" s="1553"/>
      <c r="Y10" s="3855" t="s">
        <v>530</v>
      </c>
      <c r="Z10" s="3856"/>
      <c r="AA10" s="1554">
        <f t="shared" ref="AA10:AA47" si="3">D10/F10</f>
        <v>1</v>
      </c>
      <c r="AB10" s="1554">
        <f t="shared" ref="AB10:AB47" si="4">D10/H10</f>
        <v>1</v>
      </c>
      <c r="AC10" s="1554">
        <f t="shared" ref="AC10:AC47" si="5">D10/J10</f>
        <v>1</v>
      </c>
    </row>
    <row r="11" spans="1:30" s="1214" customFormat="1" ht="20.25">
      <c r="A11" s="2865"/>
      <c r="B11" s="2872" t="s">
        <v>2750</v>
      </c>
      <c r="C11" s="2859" t="s">
        <v>920</v>
      </c>
      <c r="D11" s="252">
        <v>100</v>
      </c>
      <c r="E11" s="524" t="s">
        <v>2641</v>
      </c>
      <c r="F11" s="252">
        <f>SUMIF(77:77,E11,78:78)-SUMIF(77:77,C11,78:78)+100</f>
        <v>105</v>
      </c>
      <c r="G11" s="524" t="s">
        <v>2641</v>
      </c>
      <c r="H11" s="252">
        <f>SUMIF(77:77,G11,78:78)-SUMIF(77:77,C11,78:78)+100</f>
        <v>105</v>
      </c>
      <c r="I11" s="524" t="s">
        <v>920</v>
      </c>
      <c r="J11" s="252">
        <f>SUMIF(77:77,I11,78:78)-SUMIF(77:77,C11,78:78)+100</f>
        <v>100</v>
      </c>
      <c r="K11" s="522"/>
      <c r="L11" s="2116"/>
      <c r="M11" s="2113"/>
      <c r="N11" s="2113"/>
      <c r="O11" s="2118"/>
      <c r="P11" s="3824" t="s">
        <v>532</v>
      </c>
      <c r="Q11" s="1145" t="str">
        <f t="shared" ref="Q11:Q17" si="6">B11</f>
        <v>用途</v>
      </c>
      <c r="R11" s="1551" t="s">
        <v>8</v>
      </c>
      <c r="S11" s="1552">
        <f t="shared" si="0"/>
        <v>105</v>
      </c>
      <c r="T11" s="1551" t="s">
        <v>8</v>
      </c>
      <c r="U11" s="1552">
        <f t="shared" si="1"/>
        <v>105</v>
      </c>
      <c r="V11" s="1551" t="s">
        <v>8</v>
      </c>
      <c r="W11" s="1552">
        <f t="shared" si="2"/>
        <v>100</v>
      </c>
      <c r="X11" s="1553"/>
      <c r="Y11" s="3712" t="s">
        <v>533</v>
      </c>
      <c r="Z11" s="1144" t="str">
        <f t="shared" ref="Z11:Z17" si="7">Q11</f>
        <v>用途</v>
      </c>
      <c r="AA11" s="1554">
        <f t="shared" si="3"/>
        <v>0.95238095238095233</v>
      </c>
      <c r="AB11" s="1554">
        <f t="shared" si="4"/>
        <v>0.95238095238095233</v>
      </c>
      <c r="AC11" s="1554">
        <f t="shared" si="5"/>
        <v>1</v>
      </c>
    </row>
    <row r="12" spans="1:30" s="1332" customFormat="1" ht="27">
      <c r="A12" s="2866"/>
      <c r="B12" s="2871" t="s">
        <v>2751</v>
      </c>
      <c r="C12" s="908"/>
      <c r="D12" s="253">
        <v>100</v>
      </c>
      <c r="E12" s="527"/>
      <c r="F12" s="253">
        <f>ROUND(100/'数据-取费表'!G16,0)</f>
        <v>101</v>
      </c>
      <c r="G12" s="528"/>
      <c r="H12" s="253">
        <f>ROUND(100/'数据-取费表'!G16,0)</f>
        <v>101</v>
      </c>
      <c r="I12" s="528"/>
      <c r="J12" s="253">
        <f>ROUND(100/'数据-取费表'!G16,0)</f>
        <v>101</v>
      </c>
      <c r="K12" s="529"/>
      <c r="L12" s="2119"/>
      <c r="M12" s="2113"/>
      <c r="N12" s="2113"/>
      <c r="O12" s="2120"/>
      <c r="P12" s="3824"/>
      <c r="Q12" s="1145" t="str">
        <f t="shared" si="6"/>
        <v>土地使用年限（年）</v>
      </c>
      <c r="R12" s="1551" t="s">
        <v>8</v>
      </c>
      <c r="S12" s="1552">
        <f t="shared" si="0"/>
        <v>101</v>
      </c>
      <c r="T12" s="1551" t="s">
        <v>8</v>
      </c>
      <c r="U12" s="1552">
        <f t="shared" si="1"/>
        <v>101</v>
      </c>
      <c r="V12" s="1551" t="s">
        <v>8</v>
      </c>
      <c r="W12" s="1552">
        <f t="shared" si="2"/>
        <v>101</v>
      </c>
      <c r="X12" s="1553"/>
      <c r="Y12" s="3712"/>
      <c r="Z12" s="1144" t="str">
        <f t="shared" si="7"/>
        <v>土地使用年限（年）</v>
      </c>
      <c r="AA12" s="1554">
        <f t="shared" si="3"/>
        <v>0.99009900990099009</v>
      </c>
      <c r="AB12" s="1554">
        <f t="shared" si="4"/>
        <v>0.99009900990099009</v>
      </c>
      <c r="AC12" s="1554">
        <f t="shared" si="5"/>
        <v>0.99009900990099009</v>
      </c>
    </row>
    <row r="13" spans="1:30" ht="20.25">
      <c r="A13" s="2867"/>
      <c r="B13" s="2871" t="s">
        <v>2752</v>
      </c>
      <c r="C13" s="532">
        <f>'数据-汇总表'!I7</f>
        <v>1.2</v>
      </c>
      <c r="D13" s="253">
        <v>100</v>
      </c>
      <c r="E13" s="531">
        <v>2.5</v>
      </c>
      <c r="F13" s="253">
        <f>LOOKUP(E13,82:82,83:83)-LOOKUP(C13,82:82,83:83)+100</f>
        <v>98</v>
      </c>
      <c r="G13" s="532">
        <v>2.5</v>
      </c>
      <c r="H13" s="253">
        <f>LOOKUP(G13,82:82,83:83)-LOOKUP(C13,82:82,83:83)+100</f>
        <v>98</v>
      </c>
      <c r="I13" s="531">
        <v>1.2</v>
      </c>
      <c r="J13" s="253">
        <f>LOOKUP(I13,82:82,83:83)-LOOKUP(C13,82:82,83:83)+100</f>
        <v>100</v>
      </c>
      <c r="K13" s="533">
        <v>2</v>
      </c>
      <c r="L13" s="2121"/>
      <c r="M13" s="2113"/>
      <c r="N13" s="2113"/>
      <c r="O13" s="2122"/>
      <c r="P13" s="3824"/>
      <c r="Q13" s="1145" t="str">
        <f t="shared" si="6"/>
        <v>容积率</v>
      </c>
      <c r="R13" s="1551" t="s">
        <v>8</v>
      </c>
      <c r="S13" s="1552">
        <f t="shared" si="0"/>
        <v>98</v>
      </c>
      <c r="T13" s="1551" t="s">
        <v>8</v>
      </c>
      <c r="U13" s="1552">
        <f t="shared" si="1"/>
        <v>98</v>
      </c>
      <c r="V13" s="1551" t="s">
        <v>8</v>
      </c>
      <c r="W13" s="1552">
        <f t="shared" si="2"/>
        <v>100</v>
      </c>
      <c r="X13" s="1553"/>
      <c r="Y13" s="3712"/>
      <c r="Z13" s="1144" t="str">
        <f t="shared" si="7"/>
        <v>容积率</v>
      </c>
      <c r="AA13" s="1554">
        <f t="shared" si="3"/>
        <v>1.0204081632653061</v>
      </c>
      <c r="AB13" s="1554">
        <f t="shared" si="4"/>
        <v>1.0204081632653061</v>
      </c>
      <c r="AC13" s="1554">
        <f t="shared" si="5"/>
        <v>1</v>
      </c>
    </row>
    <row r="14" spans="1:30" s="1214" customFormat="1" ht="20.25">
      <c r="A14" s="2864"/>
      <c r="B14" s="2873" t="s">
        <v>2753</v>
      </c>
      <c r="C14" s="2860" t="s">
        <v>3268</v>
      </c>
      <c r="D14" s="536">
        <v>100</v>
      </c>
      <c r="E14" s="3577" t="s">
        <v>3269</v>
      </c>
      <c r="F14" s="253">
        <f>SUMIF(84:84,E14,85:85)-SUMIF(84:84,C14,85:85)+100</f>
        <v>90</v>
      </c>
      <c r="G14" s="3420" t="s">
        <v>3268</v>
      </c>
      <c r="H14" s="253">
        <f>SUMIF(84:84,G14,85:85)-SUMIF(84:84,C14,85:85)+100</f>
        <v>100</v>
      </c>
      <c r="I14" s="3421" t="s">
        <v>3268</v>
      </c>
      <c r="J14" s="253">
        <f>SUMIF(84:84,I14,85:85)-SUMIF(84:84,C14,85:85)+100</f>
        <v>100</v>
      </c>
      <c r="K14" s="529"/>
      <c r="L14" s="2116"/>
      <c r="M14" s="2113"/>
      <c r="N14" s="2113"/>
      <c r="O14" s="2118"/>
      <c r="P14" s="3824"/>
      <c r="Q14" s="1145" t="str">
        <f t="shared" si="6"/>
        <v>配建</v>
      </c>
      <c r="R14" s="1551" t="s">
        <v>8</v>
      </c>
      <c r="S14" s="1552">
        <f t="shared" si="0"/>
        <v>90</v>
      </c>
      <c r="T14" s="1551" t="s">
        <v>8</v>
      </c>
      <c r="U14" s="1552">
        <f t="shared" si="1"/>
        <v>100</v>
      </c>
      <c r="V14" s="1551" t="s">
        <v>8</v>
      </c>
      <c r="W14" s="1552">
        <f t="shared" si="2"/>
        <v>100</v>
      </c>
      <c r="X14" s="1553"/>
      <c r="Y14" s="3712"/>
      <c r="Z14" s="1144" t="str">
        <f t="shared" si="7"/>
        <v>配建</v>
      </c>
      <c r="AA14" s="1554">
        <f>D14/F14</f>
        <v>1.1111111111111112</v>
      </c>
      <c r="AB14" s="1554">
        <f>D14/H14</f>
        <v>1</v>
      </c>
      <c r="AC14" s="1554">
        <f>D14/J14</f>
        <v>1</v>
      </c>
    </row>
    <row r="15" spans="1:30" ht="20.25">
      <c r="A15" s="2868"/>
      <c r="B15" s="2874">
        <v>111</v>
      </c>
      <c r="C15" s="910"/>
      <c r="D15" s="538">
        <v>100</v>
      </c>
      <c r="E15" s="539"/>
      <c r="F15" s="253">
        <f>SUMIF(86:86,E15,87:87)-SUMIF(86:86,C15,87:87)+100</f>
        <v>100</v>
      </c>
      <c r="G15" s="540"/>
      <c r="H15" s="538">
        <f>SUMIF(86:86,G15,87:87)-SUMIF(86:86,C15,87:87)+100</f>
        <v>100</v>
      </c>
      <c r="I15" s="540"/>
      <c r="J15" s="538">
        <f>SUMIF(86:86,I15,87:87)-SUMIF(86:86,C15,87:87)+100</f>
        <v>100</v>
      </c>
      <c r="K15" s="529"/>
      <c r="L15" s="2123"/>
      <c r="M15" s="2113"/>
      <c r="N15" s="2113"/>
      <c r="O15" s="2122"/>
      <c r="P15" s="3824"/>
      <c r="Q15" s="1145">
        <f t="shared" si="6"/>
        <v>111</v>
      </c>
      <c r="R15" s="1551" t="s">
        <v>8</v>
      </c>
      <c r="S15" s="1552">
        <f t="shared" si="0"/>
        <v>100</v>
      </c>
      <c r="T15" s="1551" t="s">
        <v>8</v>
      </c>
      <c r="U15" s="1552">
        <f t="shared" si="1"/>
        <v>100</v>
      </c>
      <c r="V15" s="1551" t="s">
        <v>8</v>
      </c>
      <c r="W15" s="1552">
        <f t="shared" si="2"/>
        <v>100</v>
      </c>
      <c r="X15" s="1553"/>
      <c r="Y15" s="3712"/>
      <c r="Z15" s="1144">
        <f t="shared" si="7"/>
        <v>111</v>
      </c>
      <c r="AA15" s="1554">
        <f>D15/F15</f>
        <v>1</v>
      </c>
      <c r="AB15" s="1554">
        <f>D15/H15</f>
        <v>1</v>
      </c>
      <c r="AC15" s="1554">
        <f>D15/J15</f>
        <v>1</v>
      </c>
    </row>
    <row r="16" spans="1:30" ht="21" thickBot="1">
      <c r="A16" s="2869"/>
      <c r="B16" s="2875">
        <v>111</v>
      </c>
      <c r="C16" s="913"/>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824"/>
      <c r="Q16" s="1145">
        <f t="shared" si="6"/>
        <v>111</v>
      </c>
      <c r="R16" s="1551" t="s">
        <v>8</v>
      </c>
      <c r="S16" s="1552">
        <f t="shared" si="0"/>
        <v>100</v>
      </c>
      <c r="T16" s="1551" t="s">
        <v>8</v>
      </c>
      <c r="U16" s="1552">
        <f t="shared" si="1"/>
        <v>100</v>
      </c>
      <c r="V16" s="1551" t="s">
        <v>8</v>
      </c>
      <c r="W16" s="1552">
        <f t="shared" si="2"/>
        <v>100</v>
      </c>
      <c r="X16" s="1553"/>
      <c r="Y16" s="3712"/>
      <c r="Z16" s="1144">
        <f t="shared" si="7"/>
        <v>111</v>
      </c>
      <c r="AA16" s="1554">
        <f>D16/F16</f>
        <v>1</v>
      </c>
      <c r="AB16" s="1554">
        <f>D16/H16</f>
        <v>1</v>
      </c>
      <c r="AC16" s="1554">
        <f>D16/J16</f>
        <v>1</v>
      </c>
    </row>
    <row r="17" spans="1:29" ht="99.75">
      <c r="A17" s="2861" t="s">
        <v>2748</v>
      </c>
      <c r="B17" s="3578"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5</v>
      </c>
      <c r="L17" s="2123"/>
      <c r="M17" s="2113"/>
      <c r="N17" s="2113"/>
      <c r="O17" s="2122"/>
      <c r="P17" s="3858" t="s">
        <v>537</v>
      </c>
      <c r="Q17" s="1555" t="str">
        <f t="shared" si="6"/>
        <v>居住社区成熟度</v>
      </c>
      <c r="R17" s="1556" t="s">
        <v>8</v>
      </c>
      <c r="S17" s="1557">
        <f t="shared" si="0"/>
        <v>100</v>
      </c>
      <c r="T17" s="1556" t="s">
        <v>8</v>
      </c>
      <c r="U17" s="1557">
        <f t="shared" si="1"/>
        <v>100</v>
      </c>
      <c r="V17" s="1556" t="s">
        <v>8</v>
      </c>
      <c r="W17" s="1557">
        <f t="shared" si="2"/>
        <v>100</v>
      </c>
      <c r="X17" s="1550"/>
      <c r="Y17" s="3858" t="s">
        <v>537</v>
      </c>
      <c r="Z17" s="1558" t="str">
        <f t="shared" si="7"/>
        <v>居住社区成熟度</v>
      </c>
      <c r="AA17" s="1559">
        <f t="shared" si="3"/>
        <v>1</v>
      </c>
      <c r="AB17" s="1559">
        <f t="shared" si="4"/>
        <v>1</v>
      </c>
      <c r="AC17" s="1559">
        <f t="shared" si="5"/>
        <v>1</v>
      </c>
    </row>
    <row r="18" spans="1:29" ht="20.25">
      <c r="A18" s="530"/>
      <c r="B18" s="551"/>
      <c r="C18" s="552" t="s">
        <v>3037</v>
      </c>
      <c r="D18" s="555"/>
      <c r="E18" s="556" t="s">
        <v>3037</v>
      </c>
      <c r="F18" s="553"/>
      <c r="G18" s="554" t="s">
        <v>3037</v>
      </c>
      <c r="H18" s="557"/>
      <c r="I18" s="556" t="s">
        <v>3037</v>
      </c>
      <c r="J18" s="553"/>
      <c r="K18" s="529"/>
      <c r="L18" s="2123"/>
      <c r="M18" s="2113"/>
      <c r="N18" s="2113"/>
      <c r="O18" s="2122"/>
      <c r="P18" s="3859"/>
      <c r="Q18" s="1555"/>
      <c r="R18" s="1556"/>
      <c r="S18" s="1557"/>
      <c r="T18" s="1556"/>
      <c r="U18" s="1557"/>
      <c r="V18" s="1556"/>
      <c r="W18" s="1557"/>
      <c r="X18" s="1550"/>
      <c r="Y18" s="3859"/>
      <c r="Z18" s="1558"/>
      <c r="AA18" s="1559">
        <v>1</v>
      </c>
      <c r="AB18" s="1559">
        <v>1</v>
      </c>
      <c r="AC18" s="1559">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859"/>
      <c r="Q19" s="1555" t="str">
        <f>B19</f>
        <v>商业繁华度</v>
      </c>
      <c r="R19" s="1556" t="s">
        <v>8</v>
      </c>
      <c r="S19" s="1557">
        <f>F19</f>
        <v>100</v>
      </c>
      <c r="T19" s="1556" t="s">
        <v>8</v>
      </c>
      <c r="U19" s="1557">
        <f>H19</f>
        <v>100</v>
      </c>
      <c r="V19" s="1556" t="s">
        <v>8</v>
      </c>
      <c r="W19" s="1557">
        <f>J19</f>
        <v>100</v>
      </c>
      <c r="X19" s="1550"/>
      <c r="Y19" s="3859"/>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3"/>
      <c r="M20" s="2113"/>
      <c r="N20" s="2113"/>
      <c r="O20" s="2122"/>
      <c r="P20" s="3859"/>
      <c r="Q20" s="1555"/>
      <c r="R20" s="1556"/>
      <c r="S20" s="1557"/>
      <c r="T20" s="1556"/>
      <c r="U20" s="1557"/>
      <c r="V20" s="1556"/>
      <c r="W20" s="1557"/>
      <c r="X20" s="1550"/>
      <c r="Y20" s="3859"/>
      <c r="Z20" s="1558"/>
      <c r="AA20" s="1559">
        <v>1</v>
      </c>
      <c r="AB20" s="1559">
        <v>1</v>
      </c>
      <c r="AC20" s="1559">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859"/>
      <c r="Q21" s="1555" t="str">
        <f>B21</f>
        <v>办公集聚程度</v>
      </c>
      <c r="R21" s="1556" t="s">
        <v>8</v>
      </c>
      <c r="S21" s="1557">
        <f>F21</f>
        <v>100</v>
      </c>
      <c r="T21" s="1556" t="s">
        <v>8</v>
      </c>
      <c r="U21" s="1557">
        <f>H21</f>
        <v>100</v>
      </c>
      <c r="V21" s="1556" t="s">
        <v>8</v>
      </c>
      <c r="W21" s="1557">
        <f>J21</f>
        <v>100</v>
      </c>
      <c r="X21" s="1550"/>
      <c r="Y21" s="3859"/>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3"/>
      <c r="M22" s="2113"/>
      <c r="N22" s="2113"/>
      <c r="O22" s="2122"/>
      <c r="P22" s="3859"/>
      <c r="Q22" s="1555"/>
      <c r="R22" s="1556"/>
      <c r="S22" s="1557"/>
      <c r="T22" s="1556"/>
      <c r="U22" s="1557"/>
      <c r="V22" s="1556"/>
      <c r="W22" s="1557"/>
      <c r="X22" s="1550"/>
      <c r="Y22" s="3859"/>
      <c r="Z22" s="1558"/>
      <c r="AA22" s="1559">
        <v>1</v>
      </c>
      <c r="AB22" s="1559">
        <v>1</v>
      </c>
      <c r="AC22" s="1559">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103</v>
      </c>
      <c r="G23" s="560"/>
      <c r="H23" s="557">
        <f>SUMIF(96:96,G24,97:97)-SUMIF(96:96,C24,97:97)+100</f>
        <v>103</v>
      </c>
      <c r="I23" s="562"/>
      <c r="J23" s="557">
        <f>SUMIF(96:96,I24,97:97)-SUMIF(96:96,C24,97:97)+100</f>
        <v>100</v>
      </c>
      <c r="K23" s="533">
        <v>3</v>
      </c>
      <c r="L23" s="2123"/>
      <c r="M23" s="2113"/>
      <c r="N23" s="2113"/>
      <c r="O23" s="2122"/>
      <c r="P23" s="3859"/>
      <c r="Q23" s="1555" t="str">
        <f>B23</f>
        <v>交通便捷度</v>
      </c>
      <c r="R23" s="1556" t="s">
        <v>8</v>
      </c>
      <c r="S23" s="1557">
        <f>F23</f>
        <v>103</v>
      </c>
      <c r="T23" s="1556" t="s">
        <v>8</v>
      </c>
      <c r="U23" s="1557">
        <f>H23</f>
        <v>103</v>
      </c>
      <c r="V23" s="1556" t="s">
        <v>8</v>
      </c>
      <c r="W23" s="1557">
        <f>J23</f>
        <v>100</v>
      </c>
      <c r="X23" s="1550"/>
      <c r="Y23" s="3859"/>
      <c r="Z23" s="1558" t="str">
        <f>Q23</f>
        <v>交通便捷度</v>
      </c>
      <c r="AA23" s="1559">
        <f t="shared" si="3"/>
        <v>0.970873786407767</v>
      </c>
      <c r="AB23" s="1559">
        <f t="shared" si="4"/>
        <v>0.970873786407767</v>
      </c>
      <c r="AC23" s="1559">
        <f t="shared" si="5"/>
        <v>1</v>
      </c>
    </row>
    <row r="24" spans="1:29" ht="20.25">
      <c r="A24" s="530"/>
      <c r="B24" s="576"/>
      <c r="C24" s="552" t="s">
        <v>3038</v>
      </c>
      <c r="D24" s="555"/>
      <c r="E24" s="556" t="s">
        <v>3037</v>
      </c>
      <c r="F24" s="553"/>
      <c r="G24" s="554" t="s">
        <v>3037</v>
      </c>
      <c r="H24" s="553"/>
      <c r="I24" s="556" t="s">
        <v>3038</v>
      </c>
      <c r="J24" s="553"/>
      <c r="K24" s="529"/>
      <c r="L24" s="2123"/>
      <c r="M24" s="2113"/>
      <c r="N24" s="2113"/>
      <c r="O24" s="2122"/>
      <c r="P24" s="3859"/>
      <c r="Q24" s="1555"/>
      <c r="R24" s="1556"/>
      <c r="S24" s="1557"/>
      <c r="T24" s="1556"/>
      <c r="U24" s="1557"/>
      <c r="V24" s="1556"/>
      <c r="W24" s="1557"/>
      <c r="X24" s="1550"/>
      <c r="Y24" s="3859"/>
      <c r="Z24" s="1558"/>
      <c r="AA24" s="1559">
        <v>1</v>
      </c>
      <c r="AB24" s="1559">
        <v>1</v>
      </c>
      <c r="AC24" s="1559">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3"/>
      <c r="M25" s="2113"/>
      <c r="N25" s="2113"/>
      <c r="O25" s="2122"/>
      <c r="P25" s="3859"/>
      <c r="Q25" s="1555" t="str">
        <f t="shared" ref="Q25:Q39" si="8">B25</f>
        <v>区域土地利用方向</v>
      </c>
      <c r="R25" s="1556" t="s">
        <v>8</v>
      </c>
      <c r="S25" s="1557">
        <f>F25</f>
        <v>100</v>
      </c>
      <c r="T25" s="1556" t="s">
        <v>8</v>
      </c>
      <c r="U25" s="1557">
        <f>H25</f>
        <v>100</v>
      </c>
      <c r="V25" s="1556" t="s">
        <v>8</v>
      </c>
      <c r="W25" s="1557">
        <f>J25</f>
        <v>100</v>
      </c>
      <c r="X25" s="1550"/>
      <c r="Y25" s="3859"/>
      <c r="Z25" s="1558" t="str">
        <f>Q25</f>
        <v>区域土地利用方向</v>
      </c>
      <c r="AA25" s="1559">
        <f t="shared" si="3"/>
        <v>1</v>
      </c>
      <c r="AB25" s="1559">
        <f t="shared" si="4"/>
        <v>1</v>
      </c>
      <c r="AC25" s="1559">
        <f t="shared" si="5"/>
        <v>1</v>
      </c>
    </row>
    <row r="26" spans="1:29" ht="20.25">
      <c r="A26" s="513"/>
      <c r="B26" s="1005"/>
      <c r="C26" s="552"/>
      <c r="D26" s="555"/>
      <c r="E26" s="556"/>
      <c r="F26" s="553"/>
      <c r="G26" s="554"/>
      <c r="H26" s="553"/>
      <c r="I26" s="556"/>
      <c r="J26" s="553"/>
      <c r="K26" s="529"/>
      <c r="L26" s="2123"/>
      <c r="M26" s="2113"/>
      <c r="N26" s="2113"/>
      <c r="O26" s="2122"/>
      <c r="P26" s="3859"/>
      <c r="Q26" s="1555"/>
      <c r="R26" s="1556"/>
      <c r="S26" s="1557"/>
      <c r="T26" s="1556"/>
      <c r="U26" s="1557"/>
      <c r="V26" s="1556"/>
      <c r="W26" s="1557"/>
      <c r="X26" s="1550"/>
      <c r="Y26" s="3859"/>
      <c r="Z26" s="1558"/>
      <c r="AA26" s="1559"/>
      <c r="AB26" s="1559"/>
      <c r="AC26" s="1559"/>
    </row>
    <row r="27" spans="1:29" ht="57">
      <c r="A27" s="513"/>
      <c r="B27" s="576" t="s">
        <v>542</v>
      </c>
      <c r="C27" s="559" t="str">
        <f>估价对象房地状况!C20</f>
        <v>区域自然环境：；人文环境；综合评价环境状况一般</v>
      </c>
      <c r="D27" s="561">
        <v>100</v>
      </c>
      <c r="E27" s="562"/>
      <c r="F27" s="557">
        <f>SUMIF(100:100,E28,101:101)-SUMIF(100:100,C28,101:101)+100</f>
        <v>95</v>
      </c>
      <c r="G27" s="560"/>
      <c r="H27" s="557">
        <f>SUMIF(100:100,G28,101:101)-SUMIF(100:100,C28,101:101)+100</f>
        <v>95</v>
      </c>
      <c r="I27" s="562"/>
      <c r="J27" s="557">
        <f>SUMIF(100:100,I28,101:101)-SUMIF(100:100,C28,101:101)+100</f>
        <v>105</v>
      </c>
      <c r="K27" s="533">
        <v>5</v>
      </c>
      <c r="L27" s="2123"/>
      <c r="M27" s="2113"/>
      <c r="N27" s="2113"/>
      <c r="O27" s="2122"/>
      <c r="P27" s="3859"/>
      <c r="Q27" s="1555" t="str">
        <f t="shared" si="8"/>
        <v>自然及人文环境状况</v>
      </c>
      <c r="R27" s="1556" t="s">
        <v>8</v>
      </c>
      <c r="S27" s="1557">
        <f>F27</f>
        <v>95</v>
      </c>
      <c r="T27" s="1556" t="s">
        <v>8</v>
      </c>
      <c r="U27" s="1557">
        <f>H27</f>
        <v>95</v>
      </c>
      <c r="V27" s="1556" t="s">
        <v>8</v>
      </c>
      <c r="W27" s="1557">
        <f>J27</f>
        <v>105</v>
      </c>
      <c r="X27" s="1550"/>
      <c r="Y27" s="3859"/>
      <c r="Z27" s="1558" t="str">
        <f>Q27</f>
        <v>自然及人文环境状况</v>
      </c>
      <c r="AA27" s="1559">
        <f t="shared" si="3"/>
        <v>1.0526315789473684</v>
      </c>
      <c r="AB27" s="1559">
        <f t="shared" si="4"/>
        <v>1.0526315789473684</v>
      </c>
      <c r="AC27" s="1559">
        <f t="shared" si="5"/>
        <v>0.95238095238095233</v>
      </c>
    </row>
    <row r="28" spans="1:29" ht="20.25">
      <c r="A28" s="513"/>
      <c r="B28" s="564"/>
      <c r="C28" s="552" t="s">
        <v>3037</v>
      </c>
      <c r="D28" s="555"/>
      <c r="E28" s="574" t="s">
        <v>3038</v>
      </c>
      <c r="F28" s="553"/>
      <c r="G28" s="552" t="s">
        <v>3038</v>
      </c>
      <c r="H28" s="553"/>
      <c r="I28" s="574" t="s">
        <v>3039</v>
      </c>
      <c r="J28" s="553"/>
      <c r="K28" s="529"/>
      <c r="L28" s="2123"/>
      <c r="M28" s="2113"/>
      <c r="N28" s="2113"/>
      <c r="O28" s="2122"/>
      <c r="P28" s="3859"/>
      <c r="Q28" s="1555"/>
      <c r="R28" s="1556"/>
      <c r="S28" s="1557"/>
      <c r="T28" s="1556"/>
      <c r="U28" s="1557"/>
      <c r="V28" s="1556"/>
      <c r="W28" s="1557"/>
      <c r="X28" s="1550"/>
      <c r="Y28" s="3859"/>
      <c r="Z28" s="1558"/>
      <c r="AA28" s="1559">
        <v>1</v>
      </c>
      <c r="AB28" s="1559">
        <v>1</v>
      </c>
      <c r="AC28" s="1559">
        <v>1</v>
      </c>
    </row>
    <row r="29" spans="1:29" s="1214" customFormat="1" ht="42.75">
      <c r="A29" s="575"/>
      <c r="B29" s="2551" t="s">
        <v>2542</v>
      </c>
      <c r="C29" s="571" t="str">
        <f>估价对象房地状况!C21</f>
        <v>估价对象所在区域公共配套设施齐备情况</v>
      </c>
      <c r="D29" s="561">
        <v>100</v>
      </c>
      <c r="E29" s="562"/>
      <c r="F29" s="557">
        <f>SUMIF(102:102,E30,103:103)-SUMIF(102:102,C30,103:103)+100</f>
        <v>102</v>
      </c>
      <c r="G29" s="560"/>
      <c r="H29" s="557">
        <f>SUMIF(102:102,G30,103:103)-SUMIF(102:102,C30,103:103)+100</f>
        <v>102</v>
      </c>
      <c r="I29" s="562"/>
      <c r="J29" s="557">
        <f>SUMIF(102:102,I30,103:103)-SUMIF(102:102,C30,103:103)+100</f>
        <v>100</v>
      </c>
      <c r="K29" s="533">
        <v>2</v>
      </c>
      <c r="L29" s="2116"/>
      <c r="M29" s="2113"/>
      <c r="N29" s="2113"/>
      <c r="O29" s="2118"/>
      <c r="P29" s="3859"/>
      <c r="Q29" s="1145" t="str">
        <f t="shared" si="8"/>
        <v>公共配套设施</v>
      </c>
      <c r="R29" s="1551" t="s">
        <v>8</v>
      </c>
      <c r="S29" s="1552">
        <f>F29</f>
        <v>102</v>
      </c>
      <c r="T29" s="1551" t="s">
        <v>8</v>
      </c>
      <c r="U29" s="1552">
        <f>H29</f>
        <v>102</v>
      </c>
      <c r="V29" s="1551" t="s">
        <v>8</v>
      </c>
      <c r="W29" s="1552">
        <f>J29</f>
        <v>100</v>
      </c>
      <c r="X29" s="1553"/>
      <c r="Y29" s="3859"/>
      <c r="Z29" s="1144" t="str">
        <f>Q29</f>
        <v>公共配套设施</v>
      </c>
      <c r="AA29" s="1559">
        <f>D29/F29</f>
        <v>0.98039215686274506</v>
      </c>
      <c r="AB29" s="1559">
        <f>D29/H29</f>
        <v>0.98039215686274506</v>
      </c>
      <c r="AC29" s="1559">
        <f>D29/J29</f>
        <v>1</v>
      </c>
    </row>
    <row r="30" spans="1:29" s="1214" customFormat="1" ht="20.25">
      <c r="A30" s="575"/>
      <c r="B30" s="564"/>
      <c r="C30" s="577" t="s">
        <v>3038</v>
      </c>
      <c r="D30" s="555"/>
      <c r="E30" s="574" t="s">
        <v>3037</v>
      </c>
      <c r="F30" s="553"/>
      <c r="G30" s="552" t="s">
        <v>3037</v>
      </c>
      <c r="H30" s="553"/>
      <c r="I30" s="574" t="s">
        <v>3038</v>
      </c>
      <c r="J30" s="553"/>
      <c r="K30" s="529"/>
      <c r="L30" s="2116"/>
      <c r="M30" s="2113"/>
      <c r="N30" s="2113"/>
      <c r="O30" s="2118"/>
      <c r="P30" s="3859"/>
      <c r="Q30" s="1145"/>
      <c r="R30" s="1551"/>
      <c r="S30" s="1552"/>
      <c r="T30" s="1551"/>
      <c r="U30" s="1552"/>
      <c r="V30" s="1551"/>
      <c r="W30" s="1552"/>
      <c r="X30" s="1553"/>
      <c r="Y30" s="3859"/>
      <c r="Z30" s="1144"/>
      <c r="AA30" s="1559">
        <v>1</v>
      </c>
      <c r="AB30" s="1559">
        <v>1</v>
      </c>
      <c r="AC30" s="1559">
        <v>1</v>
      </c>
    </row>
    <row r="31" spans="1:29" s="1214" customFormat="1" ht="28.5">
      <c r="A31" s="575"/>
      <c r="B31" s="2551" t="s">
        <v>2543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6"/>
      <c r="M31" s="2113"/>
      <c r="N31" s="2113"/>
      <c r="O31" s="2118"/>
      <c r="P31" s="3859"/>
      <c r="Q31" s="2538" t="str">
        <f t="shared" ref="Q31" si="9">B31</f>
        <v>基础设施水平</v>
      </c>
      <c r="R31" s="1551" t="s">
        <v>8</v>
      </c>
      <c r="S31" s="1552">
        <f>F31</f>
        <v>100</v>
      </c>
      <c r="T31" s="1551" t="s">
        <v>8</v>
      </c>
      <c r="U31" s="1552">
        <f>H31</f>
        <v>100</v>
      </c>
      <c r="V31" s="1551" t="s">
        <v>8</v>
      </c>
      <c r="W31" s="1552">
        <f>J31</f>
        <v>100</v>
      </c>
      <c r="X31" s="1553"/>
      <c r="Y31" s="3859"/>
      <c r="Z31" s="2535" t="str">
        <f>Q31</f>
        <v>基础设施水平</v>
      </c>
      <c r="AA31" s="1559">
        <f>D31/F31</f>
        <v>1</v>
      </c>
      <c r="AB31" s="1559">
        <f>D31/H31</f>
        <v>1</v>
      </c>
      <c r="AC31" s="1559">
        <f>D31/J31</f>
        <v>1</v>
      </c>
    </row>
    <row r="32" spans="1:29" s="1214" customFormat="1" ht="20.25">
      <c r="A32" s="575"/>
      <c r="B32" s="564"/>
      <c r="C32" s="577"/>
      <c r="D32" s="555"/>
      <c r="E32" s="2552"/>
      <c r="F32" s="553"/>
      <c r="G32" s="577"/>
      <c r="H32" s="553"/>
      <c r="I32" s="577"/>
      <c r="J32" s="553"/>
      <c r="K32" s="529"/>
      <c r="L32" s="2116"/>
      <c r="M32" s="2113"/>
      <c r="N32" s="2113"/>
      <c r="O32" s="2118"/>
      <c r="P32" s="3859"/>
      <c r="Q32" s="2538"/>
      <c r="R32" s="1551"/>
      <c r="S32" s="1552"/>
      <c r="T32" s="1551"/>
      <c r="U32" s="1552"/>
      <c r="V32" s="1551"/>
      <c r="W32" s="1552"/>
      <c r="X32" s="1553"/>
      <c r="Y32" s="3859"/>
      <c r="Z32" s="2535"/>
      <c r="AA32" s="1559">
        <v>1</v>
      </c>
      <c r="AB32" s="1559">
        <v>1</v>
      </c>
      <c r="AC32" s="1559">
        <v>1</v>
      </c>
    </row>
    <row r="33" spans="1:29" ht="21" thickBot="1">
      <c r="A33" s="530"/>
      <c r="B33" s="564" t="s">
        <v>544</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v>2</v>
      </c>
      <c r="L33" s="2123"/>
      <c r="M33" s="2113"/>
      <c r="N33" s="2113"/>
      <c r="O33" s="2122"/>
      <c r="P33" s="3859"/>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859"/>
      <c r="Z33" s="1558" t="str">
        <f t="shared" ref="Z33:Z47" si="13">Q33</f>
        <v>临街状况</v>
      </c>
      <c r="AA33" s="1559">
        <f t="shared" si="3"/>
        <v>1</v>
      </c>
      <c r="AB33" s="1559">
        <f t="shared" si="4"/>
        <v>1</v>
      </c>
      <c r="AC33" s="1559">
        <f t="shared" si="5"/>
        <v>1</v>
      </c>
    </row>
    <row r="34" spans="1:29" ht="27" hidden="1">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3"/>
      <c r="M34" s="2113"/>
      <c r="N34" s="2113"/>
      <c r="O34" s="2122"/>
      <c r="P34" s="3859"/>
      <c r="Q34" s="1555" t="str">
        <f t="shared" si="8"/>
        <v>毗邻道路的类型与等级</v>
      </c>
      <c r="R34" s="1556" t="s">
        <v>8</v>
      </c>
      <c r="S34" s="1557">
        <f t="shared" si="10"/>
        <v>100</v>
      </c>
      <c r="T34" s="1556" t="s">
        <v>8</v>
      </c>
      <c r="U34" s="1557">
        <f t="shared" si="11"/>
        <v>100</v>
      </c>
      <c r="V34" s="1556" t="s">
        <v>8</v>
      </c>
      <c r="W34" s="1557">
        <f t="shared" si="12"/>
        <v>100</v>
      </c>
      <c r="X34" s="1550"/>
      <c r="Y34" s="3859"/>
      <c r="Z34" s="1558" t="str">
        <f t="shared" si="13"/>
        <v>毗邻道路的类型与等级</v>
      </c>
      <c r="AA34" s="1559">
        <f t="shared" si="3"/>
        <v>1</v>
      </c>
      <c r="AB34" s="1559">
        <f t="shared" si="4"/>
        <v>1</v>
      </c>
      <c r="AC34" s="1559">
        <f t="shared" si="5"/>
        <v>1</v>
      </c>
    </row>
    <row r="35" spans="1:29" ht="20.25" hidden="1">
      <c r="A35" s="530"/>
      <c r="B35" s="564"/>
      <c r="C35" s="552"/>
      <c r="D35" s="555"/>
      <c r="E35" s="574"/>
      <c r="F35" s="553"/>
      <c r="G35" s="552"/>
      <c r="H35" s="553"/>
      <c r="I35" s="574"/>
      <c r="J35" s="553"/>
      <c r="K35" s="579"/>
      <c r="L35" s="2123"/>
      <c r="M35" s="2113"/>
      <c r="N35" s="2113"/>
      <c r="O35" s="2122"/>
      <c r="P35" s="3859"/>
      <c r="Q35" s="1555"/>
      <c r="R35" s="1556"/>
      <c r="S35" s="1557"/>
      <c r="T35" s="1556"/>
      <c r="U35" s="1557"/>
      <c r="V35" s="1556"/>
      <c r="W35" s="1557"/>
      <c r="X35" s="1550"/>
      <c r="Y35" s="3859"/>
      <c r="Z35" s="1558"/>
      <c r="AA35" s="1559">
        <v>1</v>
      </c>
      <c r="AB35" s="1559">
        <v>1</v>
      </c>
      <c r="AC35" s="1559">
        <v>1</v>
      </c>
    </row>
    <row r="36" spans="1:29" ht="20.25" hidden="1">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859"/>
      <c r="Q36" s="1555" t="str">
        <f t="shared" si="8"/>
        <v>土地级别</v>
      </c>
      <c r="R36" s="1556" t="s">
        <v>8</v>
      </c>
      <c r="S36" s="1557">
        <f t="shared" si="10"/>
        <v>100</v>
      </c>
      <c r="T36" s="1556" t="s">
        <v>8</v>
      </c>
      <c r="U36" s="1557">
        <f t="shared" si="11"/>
        <v>100</v>
      </c>
      <c r="V36" s="1556" t="s">
        <v>8</v>
      </c>
      <c r="W36" s="1557">
        <f t="shared" si="12"/>
        <v>100</v>
      </c>
      <c r="X36" s="1550"/>
      <c r="Y36" s="3859"/>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859"/>
      <c r="Q37" s="1555">
        <f t="shared" si="8"/>
        <v>111</v>
      </c>
      <c r="R37" s="1556" t="s">
        <v>8</v>
      </c>
      <c r="S37" s="1557">
        <f t="shared" si="10"/>
        <v>100</v>
      </c>
      <c r="T37" s="1556" t="s">
        <v>8</v>
      </c>
      <c r="U37" s="1557">
        <f t="shared" si="11"/>
        <v>100</v>
      </c>
      <c r="V37" s="1556" t="s">
        <v>8</v>
      </c>
      <c r="W37" s="1557">
        <f t="shared" si="12"/>
        <v>100</v>
      </c>
      <c r="X37" s="1550"/>
      <c r="Y37" s="3859"/>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860" t="s">
        <v>547</v>
      </c>
      <c r="Q38" s="1555">
        <f t="shared" si="8"/>
        <v>111</v>
      </c>
      <c r="R38" s="1556" t="s">
        <v>8</v>
      </c>
      <c r="S38" s="1557">
        <f t="shared" si="10"/>
        <v>100</v>
      </c>
      <c r="T38" s="1556" t="s">
        <v>8</v>
      </c>
      <c r="U38" s="1557">
        <f t="shared" si="11"/>
        <v>100</v>
      </c>
      <c r="V38" s="1556" t="s">
        <v>8</v>
      </c>
      <c r="W38" s="1557">
        <f t="shared" si="12"/>
        <v>100</v>
      </c>
      <c r="X38" s="1550"/>
      <c r="Y38" s="3861" t="s">
        <v>547</v>
      </c>
      <c r="Z38" s="1558">
        <f t="shared" si="13"/>
        <v>111</v>
      </c>
      <c r="AA38" s="1559">
        <f t="shared" si="3"/>
        <v>1</v>
      </c>
      <c r="AB38" s="1559">
        <f t="shared" si="4"/>
        <v>1</v>
      </c>
      <c r="AC38" s="1559">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861"/>
      <c r="Q39" s="1555">
        <f t="shared" si="8"/>
        <v>111</v>
      </c>
      <c r="R39" s="1560" t="s">
        <v>8</v>
      </c>
      <c r="S39" s="1561">
        <f t="shared" si="10"/>
        <v>100</v>
      </c>
      <c r="T39" s="1560" t="s">
        <v>8</v>
      </c>
      <c r="U39" s="1561">
        <f t="shared" si="11"/>
        <v>100</v>
      </c>
      <c r="V39" s="1560" t="s">
        <v>8</v>
      </c>
      <c r="W39" s="1561">
        <f t="shared" si="12"/>
        <v>100</v>
      </c>
      <c r="X39" s="1562"/>
      <c r="Y39" s="3861"/>
      <c r="Z39" s="1563">
        <f t="shared" si="13"/>
        <v>111</v>
      </c>
      <c r="AA39" s="1559">
        <f t="shared" si="3"/>
        <v>1</v>
      </c>
      <c r="AB39" s="1559">
        <f t="shared" si="4"/>
        <v>1</v>
      </c>
      <c r="AC39" s="1559">
        <f t="shared" si="5"/>
        <v>1</v>
      </c>
    </row>
    <row r="40" spans="1:29" ht="20.25">
      <c r="A40" s="2858" t="s">
        <v>2749</v>
      </c>
      <c r="B40" s="593" t="s">
        <v>549</v>
      </c>
      <c r="C40" s="594">
        <f>'数据-基础表'!A3</f>
        <v>29475.73</v>
      </c>
      <c r="D40" s="595">
        <v>100</v>
      </c>
      <c r="E40" s="594">
        <f>土地案例!D2</f>
        <v>66444.58</v>
      </c>
      <c r="F40" s="595">
        <f>LOOKUP(E40,119:119,120:120)-LOOKUP(C40,119:119,120:120)+100</f>
        <v>101</v>
      </c>
      <c r="G40" s="594">
        <f>土地案例!D3</f>
        <v>75431.77</v>
      </c>
      <c r="H40" s="595">
        <f>LOOKUP(G40,119:119,120:120)-LOOKUP(C40,119:119,120:120)+100</f>
        <v>101</v>
      </c>
      <c r="I40" s="596">
        <f>土地案例!D6</f>
        <v>132646.79999999999</v>
      </c>
      <c r="J40" s="595">
        <f>LOOKUP(I40,119:119,120:120)-LOOKUP(C40,119:119,120:120)+100</f>
        <v>103</v>
      </c>
      <c r="K40" s="579"/>
      <c r="L40" s="2123"/>
      <c r="M40" s="2113"/>
      <c r="N40" s="2113"/>
      <c r="O40" s="2122"/>
      <c r="P40" s="3861"/>
      <c r="Q40" s="1555" t="str">
        <f>B40</f>
        <v>宗地面积</v>
      </c>
      <c r="R40" s="1556" t="s">
        <v>8</v>
      </c>
      <c r="S40" s="1557">
        <f t="shared" si="10"/>
        <v>101</v>
      </c>
      <c r="T40" s="1556" t="s">
        <v>8</v>
      </c>
      <c r="U40" s="1557">
        <f t="shared" si="11"/>
        <v>101</v>
      </c>
      <c r="V40" s="1556" t="s">
        <v>8</v>
      </c>
      <c r="W40" s="1557">
        <f t="shared" si="12"/>
        <v>103</v>
      </c>
      <c r="X40" s="1550"/>
      <c r="Y40" s="3861"/>
      <c r="Z40" s="1558" t="str">
        <f t="shared" si="13"/>
        <v>宗地面积</v>
      </c>
      <c r="AA40" s="1559">
        <f t="shared" si="3"/>
        <v>0.99009900990099009</v>
      </c>
      <c r="AB40" s="1559">
        <f t="shared" si="4"/>
        <v>0.99009900990099009</v>
      </c>
      <c r="AC40" s="1559">
        <f t="shared" si="5"/>
        <v>0.970873786407767</v>
      </c>
    </row>
    <row r="41" spans="1:29" ht="20.25">
      <c r="A41" s="592"/>
      <c r="B41" s="525" t="s">
        <v>550</v>
      </c>
      <c r="C41" s="597" t="s">
        <v>3041</v>
      </c>
      <c r="D41" s="538">
        <v>100</v>
      </c>
      <c r="E41" s="597" t="s">
        <v>3041</v>
      </c>
      <c r="F41" s="538">
        <f>SUMIF(121:121,E41,122:122)-SUMIF(121:121,C41,122:122)+100</f>
        <v>100</v>
      </c>
      <c r="G41" s="597" t="s">
        <v>3041</v>
      </c>
      <c r="H41" s="538">
        <f>SUMIF(121:121,G41,122:122)-SUMIF(121:121,C41,122:122)+100</f>
        <v>100</v>
      </c>
      <c r="I41" s="597" t="s">
        <v>3042</v>
      </c>
      <c r="J41" s="538">
        <f>SUMIF(121:121,I41,122:122)-SUMIF(121:121,C41,122:122)+100</f>
        <v>102</v>
      </c>
      <c r="K41" s="582">
        <v>2</v>
      </c>
      <c r="L41" s="2123"/>
      <c r="M41" s="2113"/>
      <c r="N41" s="2113"/>
      <c r="O41" s="2122"/>
      <c r="P41" s="3861"/>
      <c r="Q41" s="1555" t="str">
        <f t="shared" ref="Q41:Q47" si="14">B41</f>
        <v>宗地形状</v>
      </c>
      <c r="R41" s="1556" t="s">
        <v>8</v>
      </c>
      <c r="S41" s="1557">
        <f t="shared" si="10"/>
        <v>100</v>
      </c>
      <c r="T41" s="1556" t="s">
        <v>8</v>
      </c>
      <c r="U41" s="1557">
        <f t="shared" si="11"/>
        <v>100</v>
      </c>
      <c r="V41" s="1556" t="s">
        <v>8</v>
      </c>
      <c r="W41" s="1557">
        <f t="shared" si="12"/>
        <v>102</v>
      </c>
      <c r="X41" s="1550"/>
      <c r="Y41" s="3861"/>
      <c r="Z41" s="1558" t="str">
        <f t="shared" si="13"/>
        <v>宗地形状</v>
      </c>
      <c r="AA41" s="1559">
        <f t="shared" si="3"/>
        <v>1</v>
      </c>
      <c r="AB41" s="1559">
        <f t="shared" si="4"/>
        <v>1</v>
      </c>
      <c r="AC41" s="1559">
        <f t="shared" si="5"/>
        <v>0.98039215686274506</v>
      </c>
    </row>
    <row r="42" spans="1:29" ht="20.25">
      <c r="A42" s="592"/>
      <c r="B42" s="525" t="s">
        <v>551</v>
      </c>
      <c r="C42" s="597" t="s">
        <v>3043</v>
      </c>
      <c r="D42" s="538">
        <v>100</v>
      </c>
      <c r="E42" s="597" t="s">
        <v>3043</v>
      </c>
      <c r="F42" s="538">
        <f>SUMIF(123:123,E42,124:124)-SUMIF(123:123,C42,124:124)+100</f>
        <v>100</v>
      </c>
      <c r="G42" s="597" t="s">
        <v>3043</v>
      </c>
      <c r="H42" s="538">
        <f>SUMIF(123:123,G42,124:124)-SUMIF(123:123,C42,124:124)+100</f>
        <v>100</v>
      </c>
      <c r="I42" s="597" t="s">
        <v>3044</v>
      </c>
      <c r="J42" s="538">
        <f>SUMIF(123:123,I42,124:124)-SUMIF(123:123,C42,124:124)+100</f>
        <v>102</v>
      </c>
      <c r="K42" s="582">
        <v>2</v>
      </c>
      <c r="L42" s="2123"/>
      <c r="M42" s="2113"/>
      <c r="N42" s="2113"/>
      <c r="O42" s="2122"/>
      <c r="P42" s="3861"/>
      <c r="Q42" s="1555" t="str">
        <f t="shared" si="14"/>
        <v>临街宽度及深度</v>
      </c>
      <c r="R42" s="1556" t="s">
        <v>8</v>
      </c>
      <c r="S42" s="1557">
        <f t="shared" si="10"/>
        <v>100</v>
      </c>
      <c r="T42" s="1556" t="s">
        <v>8</v>
      </c>
      <c r="U42" s="1557">
        <f t="shared" si="11"/>
        <v>100</v>
      </c>
      <c r="V42" s="1556" t="s">
        <v>8</v>
      </c>
      <c r="W42" s="1557">
        <f t="shared" si="12"/>
        <v>102</v>
      </c>
      <c r="X42" s="1550"/>
      <c r="Y42" s="3861"/>
      <c r="Z42" s="1558" t="str">
        <f t="shared" si="13"/>
        <v>临街宽度及深度</v>
      </c>
      <c r="AA42" s="1559">
        <f t="shared" si="3"/>
        <v>1</v>
      </c>
      <c r="AB42" s="1559">
        <f t="shared" si="4"/>
        <v>1</v>
      </c>
      <c r="AC42" s="1559">
        <f t="shared" si="5"/>
        <v>0.98039215686274506</v>
      </c>
    </row>
    <row r="43" spans="1:29" s="1214" customFormat="1" ht="20.25">
      <c r="A43" s="598"/>
      <c r="B43" s="3574" t="s">
        <v>2419</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v>2</v>
      </c>
      <c r="L43" s="2116"/>
      <c r="M43" s="2113"/>
      <c r="N43" s="2113"/>
      <c r="O43" s="2118"/>
      <c r="P43" s="3861"/>
      <c r="Q43" s="1555" t="str">
        <f t="shared" si="14"/>
        <v>宗地开发程度</v>
      </c>
      <c r="R43" s="1551" t="s">
        <v>8</v>
      </c>
      <c r="S43" s="1552">
        <f t="shared" si="10"/>
        <v>100</v>
      </c>
      <c r="T43" s="1551" t="s">
        <v>8</v>
      </c>
      <c r="U43" s="1552">
        <f t="shared" si="11"/>
        <v>100</v>
      </c>
      <c r="V43" s="1551" t="s">
        <v>8</v>
      </c>
      <c r="W43" s="1552">
        <f t="shared" si="12"/>
        <v>100</v>
      </c>
      <c r="X43" s="1553"/>
      <c r="Y43" s="3861"/>
      <c r="Z43" s="1144" t="str">
        <f t="shared" si="13"/>
        <v>宗地开发程度</v>
      </c>
      <c r="AA43" s="1554">
        <f t="shared" si="3"/>
        <v>1</v>
      </c>
      <c r="AB43" s="1554">
        <f t="shared" si="4"/>
        <v>1</v>
      </c>
      <c r="AC43" s="1554">
        <f t="shared" si="5"/>
        <v>1</v>
      </c>
    </row>
    <row r="44" spans="1:29" ht="20.25">
      <c r="A44" s="592"/>
      <c r="B44" s="525"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v>2</v>
      </c>
      <c r="L44" s="2123"/>
      <c r="M44" s="2113"/>
      <c r="N44" s="2113"/>
      <c r="O44" s="2122"/>
      <c r="P44" s="3861" t="s">
        <v>547</v>
      </c>
      <c r="Q44" s="1555" t="str">
        <f t="shared" si="14"/>
        <v>工程地质条件</v>
      </c>
      <c r="R44" s="1556" t="s">
        <v>8</v>
      </c>
      <c r="S44" s="1557">
        <f t="shared" si="10"/>
        <v>100</v>
      </c>
      <c r="T44" s="1556" t="s">
        <v>8</v>
      </c>
      <c r="U44" s="1557">
        <f t="shared" si="11"/>
        <v>100</v>
      </c>
      <c r="V44" s="1556" t="s">
        <v>8</v>
      </c>
      <c r="W44" s="1557">
        <f t="shared" si="12"/>
        <v>100</v>
      </c>
      <c r="X44" s="1550"/>
      <c r="Y44" s="3861" t="s">
        <v>547</v>
      </c>
      <c r="Z44" s="1558" t="str">
        <f t="shared" si="13"/>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861"/>
      <c r="Q45" s="1555">
        <f t="shared" si="14"/>
        <v>111</v>
      </c>
      <c r="R45" s="1556" t="s">
        <v>8</v>
      </c>
      <c r="S45" s="1557">
        <f t="shared" si="10"/>
        <v>100</v>
      </c>
      <c r="T45" s="1556" t="s">
        <v>8</v>
      </c>
      <c r="U45" s="1557">
        <f t="shared" si="11"/>
        <v>100</v>
      </c>
      <c r="V45" s="1556" t="s">
        <v>8</v>
      </c>
      <c r="W45" s="1557">
        <f t="shared" si="12"/>
        <v>100</v>
      </c>
      <c r="X45" s="1550"/>
      <c r="Y45" s="3861"/>
      <c r="Z45" s="1558">
        <f t="shared" si="13"/>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861"/>
      <c r="Q46" s="1555">
        <f t="shared" si="14"/>
        <v>111</v>
      </c>
      <c r="R46" s="1556" t="s">
        <v>8</v>
      </c>
      <c r="S46" s="1557">
        <f t="shared" si="10"/>
        <v>100</v>
      </c>
      <c r="T46" s="1556" t="s">
        <v>8</v>
      </c>
      <c r="U46" s="1557">
        <f t="shared" si="11"/>
        <v>100</v>
      </c>
      <c r="V46" s="1556" t="s">
        <v>8</v>
      </c>
      <c r="W46" s="1557">
        <f t="shared" si="12"/>
        <v>100</v>
      </c>
      <c r="X46" s="1550"/>
      <c r="Y46" s="3861"/>
      <c r="Z46" s="1558">
        <f t="shared" si="13"/>
        <v>111</v>
      </c>
      <c r="AA46" s="1559">
        <f t="shared" si="3"/>
        <v>1</v>
      </c>
      <c r="AB46" s="1559">
        <f t="shared" si="4"/>
        <v>1</v>
      </c>
      <c r="AC46" s="1559">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861"/>
      <c r="Q47" s="1555">
        <f t="shared" si="14"/>
        <v>111</v>
      </c>
      <c r="R47" s="1560" t="s">
        <v>8</v>
      </c>
      <c r="S47" s="1561">
        <f t="shared" si="10"/>
        <v>100</v>
      </c>
      <c r="T47" s="1560" t="s">
        <v>8</v>
      </c>
      <c r="U47" s="1561">
        <f t="shared" si="11"/>
        <v>100</v>
      </c>
      <c r="V47" s="1560" t="s">
        <v>8</v>
      </c>
      <c r="W47" s="1561">
        <f t="shared" si="12"/>
        <v>100</v>
      </c>
      <c r="X47" s="1562"/>
      <c r="Y47" s="3861"/>
      <c r="Z47" s="1563">
        <f t="shared" si="13"/>
        <v>111</v>
      </c>
      <c r="AA47" s="1559">
        <f t="shared" si="3"/>
        <v>1</v>
      </c>
      <c r="AB47" s="1559">
        <f t="shared" si="4"/>
        <v>1</v>
      </c>
      <c r="AC47" s="1559">
        <f t="shared" si="5"/>
        <v>1</v>
      </c>
    </row>
    <row r="48" spans="1:29" ht="20.25">
      <c r="A48" s="605" t="s">
        <v>553</v>
      </c>
      <c r="B48" s="606" t="s">
        <v>3270</v>
      </c>
      <c r="C48" s="607" t="s">
        <v>1</v>
      </c>
      <c r="D48" s="608"/>
      <c r="E48" s="3579">
        <f>土地案例!K2</f>
        <v>4764.8599999999997</v>
      </c>
      <c r="F48" s="610"/>
      <c r="G48" s="611">
        <f>土地案例!K3</f>
        <v>4643.0200000000004</v>
      </c>
      <c r="H48" s="612"/>
      <c r="I48" s="609">
        <f>土地案例!K6</f>
        <v>6150.28</v>
      </c>
      <c r="J48" s="612"/>
      <c r="K48" s="1334"/>
      <c r="L48" s="2125"/>
      <c r="M48" s="2113"/>
      <c r="N48" s="2113"/>
      <c r="O48" s="2126"/>
      <c r="P48" s="3824" t="str">
        <f>A48</f>
        <v>成交单价</v>
      </c>
      <c r="Q48" s="3824"/>
      <c r="R48" s="3825">
        <f>E48</f>
        <v>4764.8599999999997</v>
      </c>
      <c r="S48" s="3825"/>
      <c r="T48" s="3825">
        <f>G48</f>
        <v>4643.0200000000004</v>
      </c>
      <c r="U48" s="3825"/>
      <c r="V48" s="3825">
        <f>I48</f>
        <v>6150.28</v>
      </c>
      <c r="W48" s="3825"/>
      <c r="X48" s="1542"/>
      <c r="Y48" s="1564"/>
      <c r="Z48" s="1542"/>
      <c r="AA48" s="1542"/>
      <c r="AB48" s="1542"/>
      <c r="AC48" s="1542"/>
    </row>
    <row r="49" spans="1:29" ht="21" thickBot="1">
      <c r="A49" s="613" t="s">
        <v>2687</v>
      </c>
      <c r="B49" s="614"/>
      <c r="C49" s="615">
        <f>R50</f>
        <v>5057</v>
      </c>
      <c r="D49" s="616"/>
      <c r="E49" s="615">
        <f>R49</f>
        <v>5079</v>
      </c>
      <c r="F49" s="617"/>
      <c r="G49" s="618">
        <f>T49</f>
        <v>4454</v>
      </c>
      <c r="H49" s="616"/>
      <c r="I49" s="615">
        <f>V49</f>
        <v>5637</v>
      </c>
      <c r="J49" s="616"/>
      <c r="K49" s="1335"/>
      <c r="L49" s="2125"/>
      <c r="M49" s="2113"/>
      <c r="N49" s="2113"/>
      <c r="O49" s="2126"/>
      <c r="P49" s="3824" t="str">
        <f>A49</f>
        <v>比较价格（元/平方米）</v>
      </c>
      <c r="Q49" s="3824"/>
      <c r="R49" s="3826">
        <f>ROUND(PRODUCT(R48,AA9:AA47),0)</f>
        <v>5079</v>
      </c>
      <c r="S49" s="3826"/>
      <c r="T49" s="3826">
        <f>ROUND(PRODUCT(T48,AB9:AB47),0)</f>
        <v>4454</v>
      </c>
      <c r="U49" s="3826"/>
      <c r="V49" s="3826">
        <f>ROUND(PRODUCT(V48,AC9:AC47),0)</f>
        <v>5637</v>
      </c>
      <c r="W49" s="3826"/>
      <c r="X49" s="1542"/>
      <c r="Y49" s="1542"/>
      <c r="Z49" s="1542"/>
      <c r="AA49" s="1542"/>
      <c r="AB49" s="1542"/>
      <c r="AC49" s="1542"/>
    </row>
    <row r="50" spans="1:29" ht="21" thickBot="1">
      <c r="A50" s="619" t="s">
        <v>2930</v>
      </c>
      <c r="B50" s="620"/>
      <c r="C50" s="621">
        <f>R50</f>
        <v>5057</v>
      </c>
      <c r="D50" s="621"/>
      <c r="E50" s="621"/>
      <c r="F50" s="621"/>
      <c r="G50" s="621"/>
      <c r="H50" s="621"/>
      <c r="I50" s="621"/>
      <c r="J50" s="621"/>
      <c r="K50" s="1336"/>
      <c r="L50" s="2125"/>
      <c r="M50" s="2113"/>
      <c r="N50" s="2113"/>
      <c r="O50" s="2126"/>
      <c r="P50" s="3821" t="str">
        <f>A50</f>
        <v>估价对象XX用房的比较价格（楼面单价，元/平方米）</v>
      </c>
      <c r="Q50" s="3822"/>
      <c r="R50" s="3823">
        <f>ROUND(AVERAGE(R49:V49),0)</f>
        <v>5057</v>
      </c>
      <c r="S50" s="3823"/>
      <c r="T50" s="3823"/>
      <c r="U50" s="3823"/>
      <c r="V50" s="3823"/>
      <c r="W50" s="3823"/>
      <c r="X50" s="1542"/>
      <c r="Y50" s="1542"/>
      <c r="Z50" s="1542"/>
      <c r="AA50" s="1542"/>
      <c r="AB50" s="1542"/>
      <c r="AC50" s="1542"/>
    </row>
    <row r="51" spans="1:29" ht="20.25">
      <c r="A51" s="2126"/>
      <c r="B51" s="2126"/>
      <c r="C51" s="2126"/>
      <c r="D51" s="2126"/>
      <c r="E51" s="2126"/>
      <c r="F51" s="2126"/>
      <c r="G51" s="2129"/>
      <c r="H51" s="2126"/>
      <c r="I51" s="2126"/>
      <c r="J51" s="2126"/>
      <c r="K51" s="2130"/>
      <c r="L51" s="2131"/>
      <c r="M51" s="2113"/>
      <c r="N51" s="2113"/>
      <c r="O51" s="2126"/>
      <c r="P51" s="1542"/>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2"/>
      <c r="Q52" s="2126"/>
      <c r="R52" s="2126"/>
      <c r="S52" s="2126"/>
      <c r="T52" s="2126"/>
      <c r="U52" s="2126"/>
      <c r="V52" s="2126"/>
      <c r="W52" s="2126"/>
      <c r="X52" s="2126"/>
      <c r="Y52" s="2126"/>
      <c r="Z52" s="2126"/>
      <c r="AA52" s="2126"/>
      <c r="AB52" s="2126"/>
      <c r="AC52" s="2126"/>
    </row>
    <row r="53" spans="1:29" ht="13.5" customHeight="1">
      <c r="A53" s="2126"/>
      <c r="B53" s="2126"/>
      <c r="C53" s="622" t="s">
        <v>554</v>
      </c>
      <c r="D53" s="623"/>
      <c r="E53" s="624">
        <f>IF(E48&lt;E49,E49/E48-1,E48/E49-1)</f>
        <v>6.5928484782344254E-2</v>
      </c>
      <c r="F53" s="625" t="str">
        <f>IF(OR(E53&gt;=0.3,E53&lt;=-0.3),"超过30%","")</f>
        <v/>
      </c>
      <c r="G53" s="624">
        <f>IF(G48&lt;G49,G49/G48-1,G48/G49-1)</f>
        <v>4.2438257745846419E-2</v>
      </c>
      <c r="H53" s="625" t="str">
        <f>IF(OR(G53&gt;=0.3,G53&lt;=-0.3),"超过30%","")</f>
        <v/>
      </c>
      <c r="I53" s="624">
        <f>IF(I48&lt;I49,I49/I48-1,I48/I49-1)</f>
        <v>9.1055525989001129E-2</v>
      </c>
      <c r="J53" s="625" t="str">
        <f>IF(OR(I53&gt;=0.3,I53&lt;=-0.3),"超过30%","")</f>
        <v/>
      </c>
      <c r="K53" s="2130"/>
      <c r="L53" s="2131"/>
      <c r="M53" s="2113"/>
      <c r="N53" s="2113"/>
      <c r="O53" s="2126"/>
      <c r="P53" s="1542"/>
      <c r="Q53" s="2126"/>
      <c r="R53" s="2126"/>
      <c r="S53" s="2126"/>
      <c r="T53" s="2126"/>
      <c r="U53" s="2126"/>
      <c r="V53" s="2126"/>
      <c r="W53" s="2126"/>
      <c r="X53" s="2126"/>
      <c r="Y53" s="2126"/>
      <c r="Z53" s="2126"/>
      <c r="AA53" s="2126"/>
      <c r="AB53" s="2126"/>
      <c r="AC53" s="2126"/>
    </row>
    <row r="54" spans="1:29" ht="13.5" customHeight="1">
      <c r="A54" s="2126"/>
      <c r="B54" s="2126"/>
      <c r="C54" s="622" t="s">
        <v>555</v>
      </c>
      <c r="D54" s="626"/>
      <c r="E54" s="624">
        <f>IF(E49&lt;G49,G49/E49-1,E49/G49-1)</f>
        <v>0.14032330489447697</v>
      </c>
      <c r="F54" s="625" t="str">
        <f>IF(OR(E54&gt;=0.2,E54&lt;=-0.2),"超过20%","")</f>
        <v/>
      </c>
      <c r="G54" s="624">
        <f>IF(G49&lt;I49,I49/G49-1,G49/I49-1)</f>
        <v>0.26560395150426586</v>
      </c>
      <c r="H54" s="625" t="str">
        <f>IF(OR(G54&gt;=0.2,G54&lt;=-0.2),"超过20%","")</f>
        <v>超过20%</v>
      </c>
      <c r="I54" s="624">
        <f>IF(I49&lt;E49,E49/I49-1,I49/E49-1)</f>
        <v>0.10986414648552856</v>
      </c>
      <c r="J54" s="625" t="str">
        <f>IF(OR(I54&gt;=0.2,I54&lt;=-0.2),"超过20%","")</f>
        <v/>
      </c>
      <c r="K54" s="2130"/>
      <c r="L54" s="2131"/>
      <c r="M54" s="2113"/>
      <c r="N54" s="2113"/>
      <c r="O54" s="2126"/>
      <c r="P54" s="1542"/>
      <c r="Q54" s="2126"/>
      <c r="R54" s="2126"/>
      <c r="S54" s="2126"/>
      <c r="T54" s="2126"/>
      <c r="U54" s="2126"/>
      <c r="V54" s="2126"/>
      <c r="W54" s="2126"/>
      <c r="X54" s="2126"/>
      <c r="Y54" s="2126"/>
      <c r="Z54" s="2126"/>
      <c r="AA54" s="2126"/>
      <c r="AB54" s="2126"/>
      <c r="AC54" s="2126"/>
    </row>
    <row r="55" spans="1:29" s="1339" customFormat="1" ht="13.5" customHeight="1">
      <c r="A55" s="2127"/>
      <c r="B55" s="2127"/>
      <c r="C55" s="622" t="s">
        <v>556</v>
      </c>
      <c r="D55" s="626"/>
      <c r="E55" s="624">
        <f>IF(E48&lt;G48,G48/E48-1,E48/G48-1)</f>
        <v>2.6241541065944007E-2</v>
      </c>
      <c r="F55" s="625" t="str">
        <f>IF(OR(E55&gt;=0.3,E55&lt;=-0.3),"超过30%","")</f>
        <v/>
      </c>
      <c r="G55" s="624">
        <f>IF(G48&lt;I48,I48/G48-1,G48/I48-1)</f>
        <v>0.32462922839014241</v>
      </c>
      <c r="H55" s="625" t="str">
        <f>IF(OR(G55&gt;=0.3,G55&lt;=-0.3),"超过30%","")</f>
        <v>超过30%</v>
      </c>
      <c r="I55" s="624">
        <f>IF(I48&lt;E48,E48/I48-1,I48/E48-1)</f>
        <v>0.29075775573678975</v>
      </c>
      <c r="J55" s="625" t="str">
        <f>IF(OR(I55&gt;=0.3,I55&lt;=-0.3),"超过30%","")</f>
        <v/>
      </c>
      <c r="K55" s="2133"/>
      <c r="L55" s="2134"/>
      <c r="M55" s="2113"/>
      <c r="N55" s="2113"/>
      <c r="O55" s="2127"/>
      <c r="P55" s="1540"/>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40"/>
      <c r="Q56" s="2127"/>
      <c r="R56" s="2127"/>
      <c r="S56" s="2127"/>
      <c r="T56" s="2127"/>
      <c r="U56" s="2127"/>
      <c r="V56" s="2127"/>
      <c r="W56" s="2127"/>
      <c r="X56" s="2127"/>
      <c r="Y56" s="2127"/>
      <c r="Z56" s="2127"/>
      <c r="AA56" s="2127"/>
      <c r="AB56" s="2127"/>
      <c r="AC56" s="2127"/>
    </row>
    <row r="57" spans="1:29" ht="26.25" customHeight="1">
      <c r="A57" s="627" t="s">
        <v>557</v>
      </c>
      <c r="B57" s="628" t="s">
        <v>558</v>
      </c>
      <c r="C57" s="1543" t="s">
        <v>1721</v>
      </c>
      <c r="D57" s="2208" t="s">
        <v>2289</v>
      </c>
      <c r="E57" s="629" t="s">
        <v>559</v>
      </c>
      <c r="F57" s="630" t="s">
        <v>560</v>
      </c>
      <c r="G57" s="3850" t="s">
        <v>2277</v>
      </c>
      <c r="H57" s="3851"/>
      <c r="I57" s="1538" t="s">
        <v>1719</v>
      </c>
      <c r="J57" s="1538">
        <f>项目基本情况!F41</f>
        <v>0</v>
      </c>
      <c r="K57" s="2135" t="s">
        <v>1720</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1" t="s">
        <v>561</v>
      </c>
      <c r="B58" s="632">
        <f>C50</f>
        <v>5057</v>
      </c>
      <c r="C58" s="633">
        <v>1</v>
      </c>
      <c r="D58" s="2209">
        <v>1</v>
      </c>
      <c r="E58" s="633">
        <f>'数据-汇总表'!E8+'数据-汇总表'!E9</f>
        <v>34949.64</v>
      </c>
      <c r="F58" s="634">
        <f t="shared" ref="F58:F67" si="15">ROUND(B58*E58/10000,0)</f>
        <v>17674</v>
      </c>
      <c r="G58" s="3852"/>
      <c r="H58" s="3853"/>
      <c r="I58" s="1539">
        <v>1</v>
      </c>
      <c r="J58" s="1539">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562</v>
      </c>
      <c r="B59" s="636">
        <f>ROUND($C$50*C59*D59,0)</f>
        <v>0</v>
      </c>
      <c r="C59" s="376">
        <f t="shared" ref="C59:C67" si="16">IF($C$57="北京市系数",I59,J59)</f>
        <v>0</v>
      </c>
      <c r="D59" s="2210">
        <v>0.25</v>
      </c>
      <c r="E59" s="637">
        <v>0</v>
      </c>
      <c r="F59" s="634">
        <f t="shared" si="15"/>
        <v>0</v>
      </c>
      <c r="G59" s="3854" t="s">
        <v>2278</v>
      </c>
      <c r="H59" s="1929">
        <f>项目基本情况!B43</f>
        <v>0</v>
      </c>
      <c r="I59" s="1539">
        <f>SUMIF(修正!$A$45:$A$56,H59,修正!B45:B56)</f>
        <v>0</v>
      </c>
      <c r="J59" s="1541"/>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563</v>
      </c>
      <c r="B60" s="636">
        <f t="shared" ref="B60:B67" si="17">ROUND($C$50*C60*D60,0)</f>
        <v>0</v>
      </c>
      <c r="C60" s="376">
        <f t="shared" si="16"/>
        <v>0</v>
      </c>
      <c r="D60" s="2210">
        <v>0.25</v>
      </c>
      <c r="E60" s="637">
        <v>0</v>
      </c>
      <c r="F60" s="634">
        <f t="shared" si="15"/>
        <v>0</v>
      </c>
      <c r="G60" s="3854"/>
      <c r="H60" s="1929">
        <f>项目基本情况!B43</f>
        <v>0</v>
      </c>
      <c r="I60" s="1539">
        <f>SUMIF(修正!$A$45:$A$56,H60,修正!C45:C56)</f>
        <v>0</v>
      </c>
      <c r="J60" s="1541"/>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564</v>
      </c>
      <c r="B61" s="636">
        <f t="shared" si="17"/>
        <v>0</v>
      </c>
      <c r="C61" s="376">
        <f t="shared" si="16"/>
        <v>0</v>
      </c>
      <c r="D61" s="2210">
        <v>0.25</v>
      </c>
      <c r="E61" s="637">
        <v>0</v>
      </c>
      <c r="F61" s="634">
        <f t="shared" si="15"/>
        <v>0</v>
      </c>
      <c r="G61" s="3854"/>
      <c r="H61" s="1929">
        <f>项目基本情况!B43</f>
        <v>0</v>
      </c>
      <c r="I61" s="1539">
        <f>SUMIF(修正!$A$45:$A$56,H61,修正!D45:D56)</f>
        <v>0</v>
      </c>
      <c r="J61" s="1541"/>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5" t="s">
        <v>565</v>
      </c>
      <c r="B62" s="636">
        <f t="shared" si="17"/>
        <v>0</v>
      </c>
      <c r="C62" s="376">
        <f t="shared" si="16"/>
        <v>0</v>
      </c>
      <c r="D62" s="2210">
        <v>0.25</v>
      </c>
      <c r="E62" s="637">
        <v>0</v>
      </c>
      <c r="F62" s="634">
        <f t="shared" si="15"/>
        <v>0</v>
      </c>
      <c r="G62" s="3854"/>
      <c r="H62" s="1929">
        <f>项目基本情况!B43</f>
        <v>0</v>
      </c>
      <c r="I62" s="1539">
        <f>SUMIF(修正!$A$45:$A$56,H62,修正!E45:E56)</f>
        <v>0</v>
      </c>
      <c r="J62" s="1541"/>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2323</v>
      </c>
      <c r="B63" s="636">
        <f t="shared" si="17"/>
        <v>0</v>
      </c>
      <c r="C63" s="376">
        <f t="shared" si="16"/>
        <v>0</v>
      </c>
      <c r="D63" s="2210">
        <v>0.25</v>
      </c>
      <c r="E63" s="639">
        <f>'数据-汇总表'!E11</f>
        <v>0</v>
      </c>
      <c r="F63" s="634">
        <f t="shared" si="15"/>
        <v>0</v>
      </c>
      <c r="G63" s="1926" t="s">
        <v>2279</v>
      </c>
      <c r="H63" s="1929">
        <f>项目基本情况!C43</f>
        <v>0</v>
      </c>
      <c r="I63" s="1539">
        <f>SUMIF(修正!$A$45:$A$56,H63,修正!F45:F56)</f>
        <v>0</v>
      </c>
      <c r="J63" s="1541"/>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5" t="s">
        <v>566</v>
      </c>
      <c r="B64" s="636">
        <f t="shared" si="17"/>
        <v>0</v>
      </c>
      <c r="C64" s="376">
        <f t="shared" si="16"/>
        <v>0</v>
      </c>
      <c r="D64" s="2210">
        <v>0.25</v>
      </c>
      <c r="E64" s="639">
        <f>'数据-汇总表'!E12</f>
        <v>0</v>
      </c>
      <c r="F64" s="634">
        <f t="shared" si="15"/>
        <v>0</v>
      </c>
      <c r="G64" s="1927" t="s">
        <v>1674</v>
      </c>
      <c r="H64" s="1925">
        <f>IF(G64="商业",项目基本情况!B43,IF(G64="办公",项目基本情况!C43,IF(G64="住宅",项目基本情况!D43,项目基本情况!E43)))</f>
        <v>0</v>
      </c>
      <c r="I64" s="1539">
        <f>SUMIF(修正!$A$45:$A$56,H64,修正!G45:G56)</f>
        <v>0</v>
      </c>
      <c r="J64" s="1541"/>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5" t="s">
        <v>567</v>
      </c>
      <c r="B65" s="636">
        <f t="shared" si="17"/>
        <v>0</v>
      </c>
      <c r="C65" s="376">
        <f t="shared" si="16"/>
        <v>0</v>
      </c>
      <c r="D65" s="2210">
        <v>0.25</v>
      </c>
      <c r="E65" s="639">
        <f>'数据-汇总表'!E13</f>
        <v>11357.88</v>
      </c>
      <c r="F65" s="634">
        <f t="shared" si="15"/>
        <v>0</v>
      </c>
      <c r="G65" s="1927" t="s">
        <v>920</v>
      </c>
      <c r="H65" s="1925">
        <f>IF(G65="商业",项目基本情况!B43,IF(G65="办公",项目基本情况!C43,IF(G65="住宅",项目基本情况!D43,项目基本情况!E43)))</f>
        <v>0</v>
      </c>
      <c r="I65" s="1539">
        <f>SUMIF(修正!$A$45:$A$56,H65,修正!H45:H56)</f>
        <v>0</v>
      </c>
      <c r="J65" s="1541"/>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5" t="s">
        <v>568</v>
      </c>
      <c r="B66" s="636">
        <f t="shared" si="17"/>
        <v>0</v>
      </c>
      <c r="C66" s="376">
        <f t="shared" si="16"/>
        <v>0</v>
      </c>
      <c r="D66" s="2210">
        <v>0.25</v>
      </c>
      <c r="E66" s="639">
        <f>'数据-汇总表'!E14</f>
        <v>0</v>
      </c>
      <c r="F66" s="634">
        <f t="shared" si="15"/>
        <v>0</v>
      </c>
      <c r="G66" s="1926" t="s">
        <v>2278</v>
      </c>
      <c r="H66" s="1929">
        <f>项目基本情况!B43</f>
        <v>0</v>
      </c>
      <c r="I66" s="1539">
        <f>SUMIF(修正!$A$45:$A$56,H66,修正!H45:H56)</f>
        <v>0</v>
      </c>
      <c r="J66" s="1541"/>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5" t="s">
        <v>569</v>
      </c>
      <c r="B67" s="636">
        <f t="shared" si="17"/>
        <v>0</v>
      </c>
      <c r="C67" s="376">
        <f t="shared" si="16"/>
        <v>0</v>
      </c>
      <c r="D67" s="2210">
        <v>0.25</v>
      </c>
      <c r="E67" s="639">
        <f>'数据-汇总表'!E15</f>
        <v>0</v>
      </c>
      <c r="F67" s="634">
        <f t="shared" si="15"/>
        <v>0</v>
      </c>
      <c r="G67" s="1928" t="s">
        <v>2279</v>
      </c>
      <c r="H67" s="1930">
        <f>项目基本情况!C43</f>
        <v>0</v>
      </c>
      <c r="I67" s="1539">
        <f>SUMIF(修正!$A$45:$A$56,H67,修正!H45:H56)</f>
        <v>0</v>
      </c>
      <c r="J67" s="1541"/>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0" t="s">
        <v>570</v>
      </c>
      <c r="B68" s="641" t="s">
        <v>17</v>
      </c>
      <c r="C68" s="641" t="s">
        <v>18</v>
      </c>
      <c r="D68" s="641" t="s">
        <v>2290</v>
      </c>
      <c r="E68" s="641">
        <f>IF(B48="楼面地价",SUM(E58:E67),'数据-汇总表'!D3)</f>
        <v>46307.519999999997</v>
      </c>
      <c r="F68" s="642">
        <f>IF(B48="楼面地价",SUM(F58:F67),ROUND(C50*E68/10000,0))</f>
        <v>17674</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2019-10-1</v>
      </c>
      <c r="D70" s="2750">
        <f>EDATE(C70,-3)</f>
        <v>43647</v>
      </c>
      <c r="E70" s="2750">
        <f t="shared" ref="E70:N70" si="18">EDATE(D70,-3)</f>
        <v>43556</v>
      </c>
      <c r="F70" s="2750">
        <f t="shared" si="18"/>
        <v>43466</v>
      </c>
      <c r="G70" s="2750">
        <f t="shared" si="18"/>
        <v>43374</v>
      </c>
      <c r="H70" s="2750">
        <f t="shared" si="18"/>
        <v>43282</v>
      </c>
      <c r="I70" s="2750">
        <f t="shared" si="18"/>
        <v>43191</v>
      </c>
      <c r="J70" s="2750">
        <f t="shared" si="18"/>
        <v>43101</v>
      </c>
      <c r="K70" s="2750">
        <f t="shared" si="18"/>
        <v>43009</v>
      </c>
      <c r="L70" s="2750">
        <f t="shared" si="18"/>
        <v>42917</v>
      </c>
      <c r="M70" s="2750">
        <f t="shared" si="18"/>
        <v>42826</v>
      </c>
      <c r="N70" s="2750">
        <f t="shared" si="18"/>
        <v>42736</v>
      </c>
      <c r="O70" s="2126"/>
      <c r="P70" s="2126"/>
      <c r="Q70" s="2126"/>
      <c r="R70" s="2126"/>
      <c r="S70" s="2126"/>
      <c r="T70" s="2126"/>
      <c r="U70" s="2126"/>
      <c r="V70" s="2126"/>
      <c r="W70" s="2126"/>
      <c r="X70" s="2126"/>
      <c r="Y70" s="2126"/>
      <c r="Z70" s="2126"/>
      <c r="AA70" s="2126"/>
      <c r="AB70" s="2126"/>
      <c r="AC70" s="2126"/>
    </row>
    <row r="71" spans="1:29" ht="21.75" thickBot="1">
      <c r="A71" s="1567" t="s">
        <v>571</v>
      </c>
      <c r="B71" s="1542"/>
      <c r="C71" s="1566"/>
      <c r="D71" s="1566"/>
      <c r="E71" s="1566"/>
      <c r="F71" s="1568"/>
      <c r="G71" s="1568"/>
      <c r="H71" s="1566"/>
      <c r="I71" s="1566"/>
      <c r="J71" s="1566"/>
      <c r="K71" s="1569"/>
      <c r="L71" s="1565"/>
      <c r="M71" s="1566"/>
      <c r="N71" s="1566"/>
      <c r="O71" s="2138"/>
      <c r="P71" s="2138"/>
      <c r="Q71" s="2139"/>
      <c r="R71" s="2126"/>
      <c r="S71" s="2126"/>
      <c r="T71" s="2126"/>
      <c r="U71" s="2126"/>
      <c r="V71" s="2126"/>
      <c r="W71" s="2126"/>
      <c r="X71" s="2126"/>
      <c r="Y71" s="2126"/>
      <c r="Z71" s="2126"/>
      <c r="AA71" s="2126"/>
      <c r="AB71" s="2126"/>
      <c r="AC71" s="2126"/>
    </row>
    <row r="72" spans="1:29" s="1341" customFormat="1" ht="15">
      <c r="A72" s="2528" t="s">
        <v>2526</v>
      </c>
      <c r="B72" s="2529"/>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0"/>
      <c r="P72" s="2141"/>
      <c r="Q72" s="2142"/>
      <c r="R72" s="2142"/>
      <c r="S72" s="2142"/>
      <c r="T72" s="2142"/>
      <c r="U72" s="2142"/>
      <c r="V72" s="2142"/>
      <c r="W72" s="2142"/>
      <c r="X72" s="2142"/>
      <c r="Y72" s="2142"/>
      <c r="Z72" s="2142"/>
      <c r="AA72" s="2142"/>
      <c r="AB72" s="2142"/>
      <c r="AC72" s="2142"/>
    </row>
    <row r="73" spans="1:29" s="1214" customFormat="1" ht="27" customHeight="1">
      <c r="A73" s="2757" t="s">
        <v>2641</v>
      </c>
      <c r="B73" s="477" t="str">
        <f>"北京市平均增长率"&amp;TEXT(SUMIF(基准地价!N21:N25,A73,基准地价!P21:P25),"0.00%")</f>
        <v>北京市平均增长率1.98%</v>
      </c>
      <c r="C73" s="892">
        <v>100</v>
      </c>
      <c r="D73" s="3317">
        <v>99.5</v>
      </c>
      <c r="E73" s="3317">
        <v>99</v>
      </c>
      <c r="F73" s="3317">
        <v>98.5</v>
      </c>
      <c r="G73" s="3317">
        <v>98</v>
      </c>
      <c r="H73" s="3317">
        <v>97.5</v>
      </c>
      <c r="I73" s="3317">
        <v>97</v>
      </c>
      <c r="J73" s="3317">
        <v>96.5</v>
      </c>
      <c r="K73" s="3317">
        <v>96</v>
      </c>
      <c r="L73" s="3317">
        <v>95.5</v>
      </c>
      <c r="M73" s="3318">
        <v>95</v>
      </c>
      <c r="N73" s="2745"/>
      <c r="O73" s="2143"/>
      <c r="P73" s="2139"/>
      <c r="Q73" s="1974"/>
      <c r="R73" s="1974"/>
      <c r="S73" s="1974"/>
      <c r="T73" s="1974"/>
      <c r="U73" s="1974"/>
      <c r="V73" s="1974"/>
      <c r="W73" s="1974"/>
      <c r="X73" s="1974"/>
      <c r="Y73" s="1974"/>
      <c r="Z73" s="1974"/>
      <c r="AA73" s="1974"/>
      <c r="AB73" s="1974"/>
      <c r="AC73" s="1974"/>
    </row>
    <row r="74" spans="1:29" s="1214" customFormat="1" ht="15" customHeight="1" thickBot="1">
      <c r="A74" s="2748" t="s">
        <v>2640</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4" customFormat="1" ht="15">
      <c r="A75" s="657" t="s">
        <v>528</v>
      </c>
      <c r="B75" s="646"/>
      <c r="C75" s="658" t="s">
        <v>573</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574</v>
      </c>
      <c r="B77" s="663" t="s">
        <v>531</v>
      </c>
      <c r="C77" s="3335" t="s">
        <v>3048</v>
      </c>
      <c r="D77" s="3335" t="s">
        <v>3049</v>
      </c>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3342">
        <v>100</v>
      </c>
      <c r="D78" s="3342">
        <v>105</v>
      </c>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534</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535</v>
      </c>
      <c r="C81" s="680" t="str">
        <f>C82&amp;"（含）"&amp;"-"&amp;D82</f>
        <v>0（含）-1</v>
      </c>
      <c r="D81" s="680" t="str">
        <f t="shared" ref="D81:L81" si="20">D82&amp;"（含）"&amp;"-"&amp;E82</f>
        <v>1（含）-2</v>
      </c>
      <c r="E81" s="680" t="str">
        <f t="shared" si="20"/>
        <v>2（含）-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3237">
        <v>0</v>
      </c>
      <c r="D82" s="3237">
        <v>1</v>
      </c>
      <c r="E82" s="3237">
        <v>2</v>
      </c>
      <c r="F82" s="539"/>
      <c r="G82" s="539"/>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5"/>
      <c r="B84" s="671" t="str">
        <f>B14</f>
        <v>配建</v>
      </c>
      <c r="C84" s="3360" t="s">
        <v>3050</v>
      </c>
      <c r="D84" s="3360" t="s">
        <v>3051</v>
      </c>
      <c r="E84" s="1369"/>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3367">
        <v>100</v>
      </c>
      <c r="D85" s="3342">
        <v>90</v>
      </c>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536</v>
      </c>
      <c r="B90" s="663" t="s">
        <v>575</v>
      </c>
      <c r="C90" s="701" t="s">
        <v>576</v>
      </c>
      <c r="D90" s="701" t="s">
        <v>577</v>
      </c>
      <c r="E90" s="701" t="s">
        <v>578</v>
      </c>
      <c r="F90" s="701" t="s">
        <v>579</v>
      </c>
      <c r="G90" s="701" t="s">
        <v>580</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95</v>
      </c>
      <c r="E91" s="677">
        <f>D91-$K17</f>
        <v>90</v>
      </c>
      <c r="F91" s="677">
        <f>E91-$K17</f>
        <v>85</v>
      </c>
      <c r="G91" s="677">
        <f>F91-$K17</f>
        <v>80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581</v>
      </c>
      <c r="C92" s="706" t="s">
        <v>576</v>
      </c>
      <c r="D92" s="706" t="s">
        <v>577</v>
      </c>
      <c r="E92" s="706" t="s">
        <v>578</v>
      </c>
      <c r="F92" s="706" t="s">
        <v>579</v>
      </c>
      <c r="G92" s="706" t="s">
        <v>580</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582</v>
      </c>
      <c r="C94" s="706" t="s">
        <v>576</v>
      </c>
      <c r="D94" s="706" t="s">
        <v>577</v>
      </c>
      <c r="E94" s="706" t="s">
        <v>578</v>
      </c>
      <c r="F94" s="706" t="s">
        <v>579</v>
      </c>
      <c r="G94" s="706" t="s">
        <v>580</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583</v>
      </c>
      <c r="C96" s="706" t="s">
        <v>576</v>
      </c>
      <c r="D96" s="706" t="s">
        <v>577</v>
      </c>
      <c r="E96" s="706" t="s">
        <v>578</v>
      </c>
      <c r="F96" s="706" t="s">
        <v>579</v>
      </c>
      <c r="G96" s="706" t="s">
        <v>580</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97</v>
      </c>
      <c r="E97" s="677">
        <f>D97-$K23</f>
        <v>94</v>
      </c>
      <c r="F97" s="677">
        <f>E97-$K23</f>
        <v>91</v>
      </c>
      <c r="G97" s="677">
        <f>F97-$K23</f>
        <v>88</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5"/>
      <c r="B102" s="1878" t="s">
        <v>2542</v>
      </c>
      <c r="C102" s="701" t="s">
        <v>576</v>
      </c>
      <c r="D102" s="701" t="s">
        <v>577</v>
      </c>
      <c r="E102" s="701" t="s">
        <v>578</v>
      </c>
      <c r="F102" s="701" t="s">
        <v>579</v>
      </c>
      <c r="G102" s="701" t="s">
        <v>580</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5"/>
      <c r="B104" s="2557" t="s">
        <v>2544</v>
      </c>
      <c r="C104" s="2558" t="s">
        <v>2545</v>
      </c>
      <c r="D104" s="2558" t="s">
        <v>2546</v>
      </c>
      <c r="E104" s="2558" t="s">
        <v>2547</v>
      </c>
      <c r="F104" s="2558" t="s">
        <v>2548</v>
      </c>
      <c r="G104" s="2558" t="s">
        <v>2549</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545</v>
      </c>
      <c r="C108" s="686"/>
      <c r="D108" s="686"/>
      <c r="E108" s="686"/>
      <c r="F108" s="686"/>
      <c r="G108" s="686"/>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546</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28.5">
      <c r="A118" s="662" t="s">
        <v>548</v>
      </c>
      <c r="B118" s="663" t="s">
        <v>590</v>
      </c>
      <c r="C118" s="702" t="str">
        <f t="shared" ref="C118:L118" si="25">C119&amp;"(含)"&amp;"-"&amp;D119</f>
        <v>0(含)-10000</v>
      </c>
      <c r="D118" s="702" t="str">
        <f t="shared" si="25"/>
        <v>10000(含)-20000</v>
      </c>
      <c r="E118" s="702" t="str">
        <f t="shared" si="25"/>
        <v>20000(含)-50000</v>
      </c>
      <c r="F118" s="702" t="str">
        <f t="shared" si="25"/>
        <v>50000(含)-80000</v>
      </c>
      <c r="G118" s="702" t="str">
        <f t="shared" si="25"/>
        <v>80000(含)-120000</v>
      </c>
      <c r="H118" s="702" t="str">
        <f t="shared" si="25"/>
        <v>120000(含)-160000</v>
      </c>
      <c r="I118" s="702" t="str">
        <f t="shared" si="25"/>
        <v>160000(含)-</v>
      </c>
      <c r="J118" s="3039" t="str">
        <f t="shared" si="25"/>
        <v>(含)-</v>
      </c>
      <c r="K118" s="3039" t="str">
        <f t="shared" si="25"/>
        <v>(含)-</v>
      </c>
      <c r="L118" s="3040" t="str">
        <f t="shared" si="25"/>
        <v>(含)-</v>
      </c>
      <c r="M118" s="3041"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3317">
        <v>0</v>
      </c>
      <c r="D119" s="3317">
        <v>10000</v>
      </c>
      <c r="E119" s="3317">
        <v>20000</v>
      </c>
      <c r="F119" s="3317">
        <v>50000</v>
      </c>
      <c r="G119" s="3317">
        <v>80000</v>
      </c>
      <c r="H119" s="3317">
        <v>120000</v>
      </c>
      <c r="I119" s="3317">
        <v>160000</v>
      </c>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3376">
        <v>100</v>
      </c>
      <c r="D120" s="3401">
        <v>101</v>
      </c>
      <c r="E120" s="3401">
        <v>102</v>
      </c>
      <c r="F120" s="3401">
        <v>103</v>
      </c>
      <c r="G120" s="3401">
        <v>104</v>
      </c>
      <c r="H120" s="3401">
        <v>105</v>
      </c>
      <c r="I120" s="3401">
        <v>106</v>
      </c>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591</v>
      </c>
      <c r="C121" s="3409" t="s">
        <v>3053</v>
      </c>
      <c r="D121" s="3409" t="s">
        <v>3054</v>
      </c>
      <c r="E121" s="3409" t="s">
        <v>3055</v>
      </c>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592</v>
      </c>
      <c r="C123" s="3360" t="s">
        <v>3056</v>
      </c>
      <c r="D123" s="3360" t="s">
        <v>3057</v>
      </c>
      <c r="E123" s="3360" t="s">
        <v>3058</v>
      </c>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6"/>
      <c r="B125" s="1878" t="s">
        <v>2420</v>
      </c>
      <c r="C125" s="3360" t="s">
        <v>3059</v>
      </c>
      <c r="D125" s="1368"/>
      <c r="E125" s="1368"/>
      <c r="F125" s="1368"/>
      <c r="G125" s="1368"/>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593</v>
      </c>
      <c r="C127" s="3360" t="s">
        <v>3060</v>
      </c>
      <c r="D127" s="3360" t="s">
        <v>3061</v>
      </c>
      <c r="E127" s="3409" t="s">
        <v>3058</v>
      </c>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70"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0"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0"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0"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0"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0"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0"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0"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0"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0"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0"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0"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0"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0"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0"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0"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0"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0"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0"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0"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0"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0"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0"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0"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0"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0"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0"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0"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0"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0"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0"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0"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0"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0"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0"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0"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0"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0"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0"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0"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0"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0"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0"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0"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0"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0"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0"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0"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0"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0"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0"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0"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0"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0"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0"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0"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0"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0"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0"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0"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0"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0"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0"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0"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0"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0"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0"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0"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0"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0"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0"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0"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0"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0"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0"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0"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0"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0"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0"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0"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0"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0"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0"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0"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0"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0"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0"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0"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0"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0"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0"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0"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0"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0"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0"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0"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0"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0"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0"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0"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0"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0"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0"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0"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0"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0"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0"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0"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0"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0"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0"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0"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0"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0"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0"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0"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0"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0"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0"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0"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0"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6" sqref="A6:XFD6"/>
    </sheetView>
  </sheetViews>
  <sheetFormatPr defaultColWidth="8" defaultRowHeight="13.5"/>
  <cols>
    <col min="1" max="1" width="38.5" style="3417" customWidth="1"/>
    <col min="2" max="2" width="1.5" style="3417" hidden="1" customWidth="1"/>
    <col min="3" max="3" width="8.125" style="3417" customWidth="1"/>
    <col min="4" max="4" width="11.625" style="3417" customWidth="1"/>
    <col min="5" max="5" width="9.625" style="3417" customWidth="1"/>
    <col min="6" max="6" width="26.875" style="3417" customWidth="1"/>
    <col min="7" max="7" width="9.375" style="3417" hidden="1" customWidth="1"/>
    <col min="8" max="8" width="12.5" style="3417" customWidth="1"/>
    <col min="9" max="10" width="8" style="3417"/>
    <col min="11" max="12" width="9.25" style="3417" customWidth="1"/>
    <col min="13" max="13" width="8" style="3417"/>
    <col min="14" max="14" width="48.375" style="3417" bestFit="1" customWidth="1"/>
    <col min="15" max="16384" width="8" style="3417"/>
  </cols>
  <sheetData>
    <row r="1" spans="1:15" s="3412" customFormat="1" ht="27">
      <c r="A1" s="3412" t="s">
        <v>3066</v>
      </c>
      <c r="B1" s="3412" t="s">
        <v>3067</v>
      </c>
      <c r="C1" s="3412" t="s">
        <v>3068</v>
      </c>
      <c r="D1" s="3412" t="s">
        <v>3069</v>
      </c>
      <c r="E1" s="3412" t="s">
        <v>3070</v>
      </c>
      <c r="F1" s="3412" t="s">
        <v>2029</v>
      </c>
      <c r="G1" s="3412" t="s">
        <v>3071</v>
      </c>
      <c r="H1" s="3412" t="s">
        <v>3072</v>
      </c>
      <c r="I1" s="3412" t="s">
        <v>3073</v>
      </c>
      <c r="J1" s="3412" t="s">
        <v>3074</v>
      </c>
      <c r="K1" s="3412" t="s">
        <v>3075</v>
      </c>
      <c r="M1" s="3412" t="s">
        <v>3076</v>
      </c>
      <c r="N1" s="3412" t="s">
        <v>3077</v>
      </c>
      <c r="O1" s="3412" t="s">
        <v>3078</v>
      </c>
    </row>
    <row r="2" spans="1:15" s="3414" customFormat="1">
      <c r="A2" s="3413" t="s">
        <v>3536</v>
      </c>
      <c r="B2" s="3414" t="s">
        <v>3079</v>
      </c>
      <c r="C2" s="3414" t="s">
        <v>3080</v>
      </c>
      <c r="D2" s="3414">
        <v>66444.58</v>
      </c>
      <c r="E2" s="3414">
        <v>166111.45000000001</v>
      </c>
      <c r="F2" s="3414" t="s">
        <v>3081</v>
      </c>
      <c r="G2" s="3414" t="s">
        <v>3082</v>
      </c>
      <c r="H2" s="3414" t="s">
        <v>3083</v>
      </c>
      <c r="I2" s="3414" t="s">
        <v>2812</v>
      </c>
      <c r="J2" s="3414">
        <v>79150</v>
      </c>
      <c r="K2" s="3414">
        <v>4764.8599999999997</v>
      </c>
      <c r="L2" s="3416">
        <f>ROUND(J2/D2*10000,0)</f>
        <v>11912</v>
      </c>
      <c r="M2" s="3414" t="s">
        <v>2812</v>
      </c>
      <c r="N2" s="3414" t="s">
        <v>3084</v>
      </c>
      <c r="O2" s="3414" t="s">
        <v>3085</v>
      </c>
    </row>
    <row r="3" spans="1:15" s="3414" customFormat="1">
      <c r="A3" s="3414" t="s">
        <v>3064</v>
      </c>
      <c r="B3" s="3414" t="s">
        <v>3079</v>
      </c>
      <c r="C3" s="3414" t="s">
        <v>3080</v>
      </c>
      <c r="D3" s="3414">
        <v>75431.77</v>
      </c>
      <c r="E3" s="3414">
        <v>188579.43</v>
      </c>
      <c r="F3" s="3414" t="s">
        <v>3081</v>
      </c>
      <c r="G3" s="3414" t="s">
        <v>3082</v>
      </c>
      <c r="H3" s="3414" t="s">
        <v>3083</v>
      </c>
      <c r="I3" s="3414" t="s">
        <v>2812</v>
      </c>
      <c r="J3" s="3414">
        <v>87558</v>
      </c>
      <c r="K3" s="3414">
        <v>4643.0200000000004</v>
      </c>
      <c r="L3" s="3416">
        <f t="shared" ref="L3:L10" si="0">ROUND(J3/D3*10000,0)</f>
        <v>11608</v>
      </c>
      <c r="M3" s="3414" t="s">
        <v>2812</v>
      </c>
      <c r="N3" s="3414" t="s">
        <v>3086</v>
      </c>
      <c r="O3" s="3414" t="s">
        <v>3087</v>
      </c>
    </row>
    <row r="4" spans="1:15" s="3416" customFormat="1">
      <c r="A4" s="3415" t="s">
        <v>3088</v>
      </c>
      <c r="B4" s="3416" t="s">
        <v>3079</v>
      </c>
      <c r="C4" s="3416" t="s">
        <v>3080</v>
      </c>
      <c r="D4" s="3416">
        <v>507.66</v>
      </c>
      <c r="E4" s="3416">
        <v>1015.32</v>
      </c>
      <c r="F4" s="3416" t="s">
        <v>3089</v>
      </c>
      <c r="G4" s="3416" t="s">
        <v>3082</v>
      </c>
      <c r="H4" s="3416" t="s">
        <v>3090</v>
      </c>
      <c r="I4" s="3416" t="s">
        <v>2812</v>
      </c>
      <c r="J4" s="3416">
        <v>326</v>
      </c>
      <c r="K4" s="3416">
        <v>3210.8</v>
      </c>
      <c r="L4" s="3416">
        <f t="shared" si="0"/>
        <v>6422</v>
      </c>
      <c r="M4" s="3416" t="s">
        <v>2812</v>
      </c>
      <c r="N4" s="3416" t="s">
        <v>3091</v>
      </c>
      <c r="O4" s="3416" t="s">
        <v>3092</v>
      </c>
    </row>
    <row r="5" spans="1:15" s="3416" customFormat="1">
      <c r="A5" s="3416" t="s">
        <v>3093</v>
      </c>
      <c r="B5" s="3416" t="s">
        <v>3079</v>
      </c>
      <c r="C5" s="3416" t="s">
        <v>3080</v>
      </c>
      <c r="D5" s="3416">
        <v>965.69</v>
      </c>
      <c r="E5" s="3416">
        <v>3379.92</v>
      </c>
      <c r="F5" s="3416" t="s">
        <v>3094</v>
      </c>
      <c r="G5" s="3416" t="s">
        <v>3082</v>
      </c>
      <c r="H5" s="3416" t="s">
        <v>3095</v>
      </c>
      <c r="I5" s="3416" t="s">
        <v>2812</v>
      </c>
      <c r="J5" s="3416">
        <v>1266</v>
      </c>
      <c r="K5" s="3416">
        <v>3745.65</v>
      </c>
      <c r="L5" s="3416">
        <f t="shared" si="0"/>
        <v>13110</v>
      </c>
      <c r="M5" s="3416" t="s">
        <v>2812</v>
      </c>
      <c r="N5" s="3416" t="s">
        <v>3096</v>
      </c>
      <c r="O5" s="3416" t="s">
        <v>3087</v>
      </c>
    </row>
    <row r="6" spans="1:15" s="3414" customFormat="1">
      <c r="A6" s="3414" t="s">
        <v>3065</v>
      </c>
      <c r="B6" s="3414" t="s">
        <v>3079</v>
      </c>
      <c r="C6" s="3414" t="s">
        <v>3080</v>
      </c>
      <c r="D6" s="3414">
        <v>132646.79999999999</v>
      </c>
      <c r="E6" s="3414">
        <v>159176.20000000001</v>
      </c>
      <c r="F6" s="3414" t="s">
        <v>3097</v>
      </c>
      <c r="G6" s="3414" t="s">
        <v>3082</v>
      </c>
      <c r="H6" s="3414" t="s">
        <v>3098</v>
      </c>
      <c r="I6" s="3414" t="s">
        <v>2812</v>
      </c>
      <c r="J6" s="3414">
        <v>97898</v>
      </c>
      <c r="K6" s="3414">
        <v>6150.28</v>
      </c>
      <c r="L6" s="3416">
        <f t="shared" si="0"/>
        <v>7380</v>
      </c>
      <c r="M6" s="3414" t="s">
        <v>2812</v>
      </c>
      <c r="N6" s="3414" t="s">
        <v>3099</v>
      </c>
      <c r="O6" s="3414" t="s">
        <v>3085</v>
      </c>
    </row>
    <row r="7" spans="1:15" s="3416" customFormat="1">
      <c r="A7" s="3415" t="s">
        <v>3100</v>
      </c>
      <c r="B7" s="3416" t="s">
        <v>3079</v>
      </c>
      <c r="C7" s="3416" t="s">
        <v>3080</v>
      </c>
      <c r="D7" s="3416">
        <v>126.06</v>
      </c>
      <c r="E7" s="3416">
        <v>252.12</v>
      </c>
      <c r="F7" s="3416" t="s">
        <v>3101</v>
      </c>
      <c r="G7" s="3416" t="s">
        <v>3082</v>
      </c>
      <c r="H7" s="3416" t="s">
        <v>3102</v>
      </c>
      <c r="I7" s="3416" t="s">
        <v>2812</v>
      </c>
      <c r="J7" s="3416">
        <v>108</v>
      </c>
      <c r="K7" s="3416">
        <v>4283.67</v>
      </c>
      <c r="L7" s="3416">
        <f t="shared" si="0"/>
        <v>8567</v>
      </c>
      <c r="M7" s="3416" t="s">
        <v>2812</v>
      </c>
      <c r="N7" s="3416" t="s">
        <v>3103</v>
      </c>
      <c r="O7" s="3416" t="s">
        <v>3087</v>
      </c>
    </row>
    <row r="8" spans="1:15">
      <c r="A8" s="3417" t="s">
        <v>3104</v>
      </c>
      <c r="B8" s="3417" t="s">
        <v>3079</v>
      </c>
      <c r="C8" s="3417" t="s">
        <v>3105</v>
      </c>
      <c r="D8" s="3417">
        <v>484.26</v>
      </c>
      <c r="E8" s="3417">
        <v>1325.9</v>
      </c>
      <c r="F8" s="3417" t="s">
        <v>3106</v>
      </c>
      <c r="G8" s="3417" t="s">
        <v>3082</v>
      </c>
      <c r="H8" s="3417" t="s">
        <v>3107</v>
      </c>
      <c r="I8" s="3417" t="s">
        <v>2812</v>
      </c>
      <c r="J8" s="3417">
        <v>770</v>
      </c>
      <c r="K8" s="3417">
        <v>5807.38</v>
      </c>
      <c r="L8" s="3416">
        <f t="shared" si="0"/>
        <v>15901</v>
      </c>
      <c r="M8" s="3417" t="s">
        <v>2812</v>
      </c>
      <c r="N8" s="3417" t="s">
        <v>3108</v>
      </c>
      <c r="O8" s="3417" t="s">
        <v>3085</v>
      </c>
    </row>
    <row r="9" spans="1:15" s="3416" customFormat="1">
      <c r="A9" s="3416" t="s">
        <v>3109</v>
      </c>
      <c r="B9" s="3416" t="s">
        <v>3079</v>
      </c>
      <c r="C9" s="3416" t="s">
        <v>3080</v>
      </c>
      <c r="D9" s="3416">
        <v>19550.96</v>
      </c>
      <c r="E9" s="3416">
        <v>39101.919999999998</v>
      </c>
      <c r="F9" s="3416" t="s">
        <v>3110</v>
      </c>
      <c r="G9" s="3416" t="s">
        <v>3082</v>
      </c>
      <c r="H9" s="3416" t="s">
        <v>3107</v>
      </c>
      <c r="I9" s="3416" t="s">
        <v>2812</v>
      </c>
      <c r="J9" s="3416">
        <v>14975</v>
      </c>
      <c r="K9" s="3416">
        <v>3829.73</v>
      </c>
      <c r="L9" s="3416">
        <f t="shared" si="0"/>
        <v>7659</v>
      </c>
      <c r="M9" s="3416" t="s">
        <v>2812</v>
      </c>
      <c r="N9" s="3416" t="s">
        <v>3111</v>
      </c>
      <c r="O9" s="3416" t="s">
        <v>3112</v>
      </c>
    </row>
    <row r="10" spans="1:15">
      <c r="A10" s="3417" t="s">
        <v>3113</v>
      </c>
      <c r="B10" s="3417" t="s">
        <v>3079</v>
      </c>
      <c r="C10" s="3417" t="s">
        <v>3105</v>
      </c>
      <c r="D10" s="3417">
        <v>40840.629999999997</v>
      </c>
      <c r="E10" s="3417">
        <v>73513.13</v>
      </c>
      <c r="F10" s="3417" t="s">
        <v>3114</v>
      </c>
      <c r="G10" s="3417" t="s">
        <v>3082</v>
      </c>
      <c r="H10" s="3417" t="s">
        <v>3115</v>
      </c>
      <c r="I10" s="3417" t="s">
        <v>2812</v>
      </c>
      <c r="J10" s="3417">
        <v>21537</v>
      </c>
      <c r="K10" s="3417">
        <v>2929.67</v>
      </c>
      <c r="L10" s="3416">
        <f t="shared" si="0"/>
        <v>5273</v>
      </c>
      <c r="M10" s="3417" t="s">
        <v>2812</v>
      </c>
      <c r="N10" s="3417" t="s">
        <v>3116</v>
      </c>
      <c r="O10" s="3417" t="s">
        <v>3085</v>
      </c>
    </row>
    <row r="11" spans="1:15">
      <c r="A11" s="3417" t="s">
        <v>3117</v>
      </c>
      <c r="B11" s="3417" t="s">
        <v>3079</v>
      </c>
      <c r="C11" s="3417" t="s">
        <v>3105</v>
      </c>
      <c r="D11" s="3417">
        <v>123872.5</v>
      </c>
      <c r="E11" s="3417">
        <v>168986.2</v>
      </c>
      <c r="F11" s="3417" t="s">
        <v>3118</v>
      </c>
      <c r="G11" s="3417" t="s">
        <v>3082</v>
      </c>
      <c r="H11" s="3417" t="s">
        <v>3119</v>
      </c>
      <c r="I11" s="3417" t="s">
        <v>2812</v>
      </c>
      <c r="J11" s="3417">
        <v>49870</v>
      </c>
      <c r="K11" s="3417">
        <v>2951.13</v>
      </c>
      <c r="M11" s="3417" t="s">
        <v>2812</v>
      </c>
      <c r="N11" s="3417" t="s">
        <v>3120</v>
      </c>
      <c r="O11" s="3417" t="s">
        <v>3121</v>
      </c>
    </row>
    <row r="12" spans="1:15" s="3416" customFormat="1">
      <c r="A12" s="3416" t="s">
        <v>3122</v>
      </c>
      <c r="B12" s="3416" t="s">
        <v>3079</v>
      </c>
      <c r="C12" s="3416" t="s">
        <v>3080</v>
      </c>
      <c r="D12" s="3416">
        <v>20636.8</v>
      </c>
      <c r="E12" s="3416">
        <v>20843.169999999998</v>
      </c>
      <c r="F12" s="3416" t="s">
        <v>3123</v>
      </c>
      <c r="G12" s="3416" t="s">
        <v>3082</v>
      </c>
      <c r="H12" s="3416" t="s">
        <v>3124</v>
      </c>
      <c r="I12" s="3416" t="s">
        <v>2812</v>
      </c>
      <c r="J12" s="3416">
        <v>9317</v>
      </c>
      <c r="K12" s="3416">
        <v>4470.05</v>
      </c>
      <c r="M12" s="3416" t="s">
        <v>2812</v>
      </c>
      <c r="N12" s="3416" t="s">
        <v>3125</v>
      </c>
      <c r="O12" s="3416" t="s">
        <v>3085</v>
      </c>
    </row>
    <row r="13" spans="1:15" s="3419" customFormat="1">
      <c r="A13" s="3418" t="s">
        <v>3126</v>
      </c>
      <c r="B13" s="3419" t="s">
        <v>3079</v>
      </c>
      <c r="C13" s="3419" t="s">
        <v>3080</v>
      </c>
      <c r="D13" s="3419">
        <v>26745.59</v>
      </c>
      <c r="E13" s="3419">
        <v>40118.39</v>
      </c>
      <c r="F13" s="3419" t="s">
        <v>3127</v>
      </c>
      <c r="G13" s="3419" t="s">
        <v>3082</v>
      </c>
      <c r="H13" s="3419" t="s">
        <v>3128</v>
      </c>
      <c r="I13" s="3419" t="s">
        <v>2812</v>
      </c>
      <c r="J13" s="3419">
        <v>16241</v>
      </c>
      <c r="K13" s="3419">
        <v>4048.26</v>
      </c>
      <c r="M13" s="3419" t="s">
        <v>2812</v>
      </c>
      <c r="N13" s="3419" t="s">
        <v>3129</v>
      </c>
      <c r="O13" s="3419" t="s">
        <v>3121</v>
      </c>
    </row>
    <row r="14" spans="1:15">
      <c r="A14" s="3417" t="s">
        <v>3130</v>
      </c>
      <c r="B14" s="3417" t="s">
        <v>3079</v>
      </c>
      <c r="C14" s="3417" t="s">
        <v>3080</v>
      </c>
      <c r="D14" s="3417">
        <v>2.17</v>
      </c>
      <c r="E14" s="3417">
        <v>4.34</v>
      </c>
      <c r="F14" s="3417" t="s">
        <v>3101</v>
      </c>
      <c r="G14" s="3417" t="s">
        <v>3082</v>
      </c>
      <c r="H14" s="3417" t="s">
        <v>3131</v>
      </c>
      <c r="I14" s="3417" t="s">
        <v>2812</v>
      </c>
      <c r="J14" s="3417">
        <v>3.29</v>
      </c>
      <c r="K14" s="3417">
        <v>7603.68</v>
      </c>
      <c r="M14" s="3417" t="s">
        <v>2812</v>
      </c>
      <c r="N14" s="3417" t="s">
        <v>3132</v>
      </c>
      <c r="O14" s="3417" t="s">
        <v>3085</v>
      </c>
    </row>
    <row r="15" spans="1:15">
      <c r="A15" s="3417" t="s">
        <v>3133</v>
      </c>
      <c r="B15" s="3417" t="s">
        <v>3079</v>
      </c>
      <c r="C15" s="3417" t="s">
        <v>3105</v>
      </c>
      <c r="D15" s="3417">
        <v>66435.06</v>
      </c>
      <c r="E15" s="3417">
        <v>132870.1</v>
      </c>
      <c r="F15" s="3417" t="s">
        <v>3134</v>
      </c>
      <c r="G15" s="3417" t="s">
        <v>3082</v>
      </c>
      <c r="H15" s="3417" t="s">
        <v>3135</v>
      </c>
      <c r="I15" s="3417" t="s">
        <v>2812</v>
      </c>
      <c r="J15" s="3417">
        <v>17608</v>
      </c>
      <c r="K15" s="3417">
        <v>1325.2</v>
      </c>
      <c r="M15" s="3417" t="s">
        <v>2812</v>
      </c>
      <c r="N15" s="3417" t="s">
        <v>3136</v>
      </c>
      <c r="O15" s="3417" t="s">
        <v>3121</v>
      </c>
    </row>
    <row r="16" spans="1:15" s="3419" customFormat="1">
      <c r="A16" s="3419" t="s">
        <v>3137</v>
      </c>
      <c r="B16" s="3419" t="s">
        <v>3079</v>
      </c>
      <c r="C16" s="3419" t="s">
        <v>3080</v>
      </c>
      <c r="D16" s="3419">
        <v>45865.919999999998</v>
      </c>
      <c r="E16" s="3419">
        <v>55039.1</v>
      </c>
      <c r="F16" s="3419" t="s">
        <v>3138</v>
      </c>
      <c r="G16" s="3419" t="s">
        <v>3082</v>
      </c>
      <c r="H16" s="3419" t="s">
        <v>3139</v>
      </c>
      <c r="I16" s="3419" t="s">
        <v>2812</v>
      </c>
      <c r="J16" s="3419">
        <v>45000</v>
      </c>
      <c r="K16" s="3419">
        <v>8176.01</v>
      </c>
      <c r="M16" s="3419" t="s">
        <v>2812</v>
      </c>
      <c r="N16" s="3419" t="s">
        <v>3140</v>
      </c>
      <c r="O16" s="3419" t="s">
        <v>3121</v>
      </c>
    </row>
    <row r="17" spans="1:15">
      <c r="A17" s="3417" t="s">
        <v>3141</v>
      </c>
      <c r="B17" s="3417" t="s">
        <v>3079</v>
      </c>
      <c r="C17" s="3417" t="s">
        <v>3080</v>
      </c>
      <c r="D17" s="3417">
        <v>6586.77</v>
      </c>
      <c r="E17" s="3417">
        <v>16466.93</v>
      </c>
      <c r="F17" s="3417" t="s">
        <v>3142</v>
      </c>
      <c r="G17" s="3417" t="s">
        <v>3082</v>
      </c>
      <c r="H17" s="3417" t="s">
        <v>3143</v>
      </c>
      <c r="I17" s="3417">
        <v>360</v>
      </c>
      <c r="J17" s="3417">
        <v>386</v>
      </c>
      <c r="K17" s="3417">
        <v>234.4</v>
      </c>
      <c r="M17" s="3417">
        <v>7.22</v>
      </c>
      <c r="N17" s="3417" t="s">
        <v>3144</v>
      </c>
      <c r="O17" s="3417" t="s">
        <v>3085</v>
      </c>
    </row>
    <row r="18" spans="1:15">
      <c r="A18" s="3417" t="s">
        <v>3145</v>
      </c>
      <c r="B18" s="3417" t="s">
        <v>3079</v>
      </c>
      <c r="C18" s="3417" t="s">
        <v>3080</v>
      </c>
      <c r="D18" s="3417">
        <v>90294.7</v>
      </c>
      <c r="E18" s="3417">
        <v>180589.4</v>
      </c>
      <c r="F18" s="3417" t="s">
        <v>3146</v>
      </c>
      <c r="G18" s="3417" t="s">
        <v>3082</v>
      </c>
      <c r="H18" s="3417" t="s">
        <v>3147</v>
      </c>
      <c r="I18" s="3417" t="s">
        <v>2812</v>
      </c>
      <c r="J18" s="3417">
        <v>62317</v>
      </c>
      <c r="K18" s="3417">
        <v>3450.76</v>
      </c>
      <c r="M18" s="3417" t="s">
        <v>2812</v>
      </c>
      <c r="N18" s="3417" t="s">
        <v>3148</v>
      </c>
      <c r="O18" s="3417" t="s">
        <v>3085</v>
      </c>
    </row>
    <row r="19" spans="1:15">
      <c r="A19" s="3417" t="s">
        <v>3149</v>
      </c>
      <c r="B19" s="3417" t="s">
        <v>3079</v>
      </c>
      <c r="C19" s="3417" t="s">
        <v>3080</v>
      </c>
      <c r="D19" s="3417">
        <v>92702.1</v>
      </c>
      <c r="E19" s="3417">
        <v>97337.21</v>
      </c>
      <c r="F19" s="3417" t="s">
        <v>3150</v>
      </c>
      <c r="G19" s="3417" t="s">
        <v>3082</v>
      </c>
      <c r="H19" s="3417" t="s">
        <v>3151</v>
      </c>
      <c r="I19" s="3417" t="s">
        <v>2812</v>
      </c>
      <c r="J19" s="3417">
        <v>54323.43</v>
      </c>
      <c r="K19" s="3417">
        <v>5580.94</v>
      </c>
      <c r="M19" s="3417" t="s">
        <v>2812</v>
      </c>
      <c r="N19" s="3417" t="s">
        <v>3152</v>
      </c>
      <c r="O19" s="3417" t="s">
        <v>3112</v>
      </c>
    </row>
    <row r="20" spans="1:15">
      <c r="A20" s="3417" t="s">
        <v>3153</v>
      </c>
      <c r="B20" s="3417" t="s">
        <v>3079</v>
      </c>
      <c r="C20" s="3417" t="s">
        <v>3105</v>
      </c>
      <c r="D20" s="3417">
        <v>149785.60000000001</v>
      </c>
      <c r="E20" s="3417">
        <v>157274.9</v>
      </c>
      <c r="F20" s="3417" t="s">
        <v>3150</v>
      </c>
      <c r="G20" s="3417" t="s">
        <v>3082</v>
      </c>
      <c r="H20" s="3417" t="s">
        <v>3154</v>
      </c>
      <c r="I20" s="3417" t="s">
        <v>2812</v>
      </c>
      <c r="J20" s="3417">
        <v>84479.07</v>
      </c>
      <c r="K20" s="3417">
        <v>5371.43</v>
      </c>
      <c r="M20" s="3417" t="s">
        <v>2812</v>
      </c>
      <c r="N20" s="3417" t="s">
        <v>3155</v>
      </c>
      <c r="O20" s="3417" t="s">
        <v>3112</v>
      </c>
    </row>
    <row r="21" spans="1:15">
      <c r="A21" s="3417" t="s">
        <v>3156</v>
      </c>
      <c r="B21" s="3417" t="s">
        <v>3079</v>
      </c>
      <c r="C21" s="3417" t="s">
        <v>3080</v>
      </c>
      <c r="D21" s="3417">
        <v>78424.88</v>
      </c>
      <c r="E21" s="3417">
        <v>196062.2</v>
      </c>
      <c r="F21" s="3417" t="s">
        <v>3081</v>
      </c>
      <c r="G21" s="3417" t="s">
        <v>3082</v>
      </c>
      <c r="H21" s="3417" t="s">
        <v>3157</v>
      </c>
      <c r="I21" s="3417" t="s">
        <v>2812</v>
      </c>
      <c r="J21" s="3417">
        <v>36868</v>
      </c>
      <c r="K21" s="3417">
        <v>1880.42</v>
      </c>
      <c r="M21" s="3417" t="s">
        <v>2812</v>
      </c>
      <c r="N21" s="3417" t="s">
        <v>3158</v>
      </c>
      <c r="O21" s="3417" t="s">
        <v>3085</v>
      </c>
    </row>
    <row r="22" spans="1:15">
      <c r="A22" s="3417" t="s">
        <v>3159</v>
      </c>
      <c r="B22" s="3417" t="s">
        <v>3079</v>
      </c>
      <c r="C22" s="3417" t="s">
        <v>3080</v>
      </c>
      <c r="D22" s="3417">
        <v>13221.04</v>
      </c>
      <c r="E22" s="3417">
        <v>19831.560000000001</v>
      </c>
      <c r="F22" s="3417" t="s">
        <v>3160</v>
      </c>
      <c r="G22" s="3417" t="s">
        <v>3082</v>
      </c>
      <c r="H22" s="3417" t="s">
        <v>3161</v>
      </c>
      <c r="I22" s="3417" t="s">
        <v>2812</v>
      </c>
      <c r="J22" s="3417">
        <v>3781</v>
      </c>
      <c r="K22" s="3417">
        <v>1906.55</v>
      </c>
      <c r="M22" s="3417" t="s">
        <v>2812</v>
      </c>
      <c r="N22" s="3417" t="s">
        <v>3162</v>
      </c>
      <c r="O22" s="3417" t="s">
        <v>3112</v>
      </c>
    </row>
    <row r="23" spans="1:15">
      <c r="A23" s="3417" t="s">
        <v>3163</v>
      </c>
      <c r="B23" s="3417" t="s">
        <v>3079</v>
      </c>
      <c r="C23" s="3417" t="s">
        <v>3080</v>
      </c>
      <c r="D23" s="3417">
        <v>142187.70000000001</v>
      </c>
      <c r="E23" s="3417">
        <v>284375.5</v>
      </c>
      <c r="F23" s="3417" t="s">
        <v>3146</v>
      </c>
      <c r="G23" s="3417" t="s">
        <v>3082</v>
      </c>
      <c r="H23" s="3417" t="s">
        <v>3164</v>
      </c>
      <c r="I23" s="3417" t="s">
        <v>2812</v>
      </c>
      <c r="J23" s="3417">
        <v>231055.1</v>
      </c>
      <c r="K23" s="3417">
        <v>8125</v>
      </c>
      <c r="M23" s="3417" t="s">
        <v>2812</v>
      </c>
      <c r="N23" s="3417" t="s">
        <v>3165</v>
      </c>
      <c r="O23" s="3417" t="s">
        <v>3085</v>
      </c>
    </row>
    <row r="24" spans="1:15">
      <c r="A24" s="3417" t="s">
        <v>3166</v>
      </c>
      <c r="B24" s="3417" t="s">
        <v>3079</v>
      </c>
      <c r="C24" s="3417" t="s">
        <v>3080</v>
      </c>
      <c r="D24" s="3417">
        <v>15267.69</v>
      </c>
      <c r="E24" s="3417">
        <v>30535.38</v>
      </c>
      <c r="F24" s="3417" t="s">
        <v>3146</v>
      </c>
      <c r="G24" s="3417" t="s">
        <v>3082</v>
      </c>
      <c r="H24" s="3417" t="s">
        <v>3167</v>
      </c>
      <c r="I24" s="3417" t="s">
        <v>2812</v>
      </c>
      <c r="J24" s="3417">
        <v>5860</v>
      </c>
      <c r="K24" s="3417">
        <v>1919.08</v>
      </c>
      <c r="M24" s="3417" t="s">
        <v>2812</v>
      </c>
      <c r="N24" s="3417" t="s">
        <v>3168</v>
      </c>
      <c r="O24" s="3417" t="s">
        <v>3092</v>
      </c>
    </row>
    <row r="25" spans="1:15">
      <c r="A25" s="3417" t="s">
        <v>3169</v>
      </c>
      <c r="B25" s="3417" t="s">
        <v>3079</v>
      </c>
      <c r="C25" s="3417" t="s">
        <v>3080</v>
      </c>
      <c r="D25" s="3417">
        <v>14667.15</v>
      </c>
      <c r="E25" s="3417">
        <v>41948.05</v>
      </c>
      <c r="F25" s="3417" t="s">
        <v>3170</v>
      </c>
      <c r="G25" s="3417" t="s">
        <v>3082</v>
      </c>
      <c r="H25" s="3417" t="s">
        <v>3171</v>
      </c>
      <c r="I25" s="3417" t="s">
        <v>2812</v>
      </c>
      <c r="J25" s="3417">
        <v>5130</v>
      </c>
      <c r="K25" s="3417">
        <v>1222.94</v>
      </c>
      <c r="M25" s="3417" t="s">
        <v>2812</v>
      </c>
      <c r="N25" s="3417" t="s">
        <v>3172</v>
      </c>
      <c r="O25" s="3417" t="s">
        <v>3087</v>
      </c>
    </row>
    <row r="26" spans="1:15">
      <c r="A26" s="3417" t="s">
        <v>3173</v>
      </c>
      <c r="B26" s="3417" t="s">
        <v>3079</v>
      </c>
      <c r="C26" s="3417" t="s">
        <v>3080</v>
      </c>
      <c r="D26" s="3417">
        <v>22340.78</v>
      </c>
      <c r="E26" s="3417">
        <v>78192.73</v>
      </c>
      <c r="F26" s="3417" t="s">
        <v>3174</v>
      </c>
      <c r="G26" s="3417" t="s">
        <v>3175</v>
      </c>
      <c r="H26" s="3417" t="s">
        <v>3176</v>
      </c>
      <c r="I26" s="3417" t="s">
        <v>2812</v>
      </c>
      <c r="J26" s="3417">
        <v>21976</v>
      </c>
      <c r="K26" s="3417">
        <v>2810.48</v>
      </c>
      <c r="M26" s="3417" t="s">
        <v>2812</v>
      </c>
      <c r="N26" s="3417" t="s">
        <v>3177</v>
      </c>
      <c r="O26" s="3417" t="s">
        <v>3087</v>
      </c>
    </row>
    <row r="27" spans="1:15">
      <c r="A27" s="3417" t="s">
        <v>3178</v>
      </c>
      <c r="B27" s="3417" t="s">
        <v>3079</v>
      </c>
      <c r="C27" s="3417" t="s">
        <v>3080</v>
      </c>
      <c r="D27" s="3417">
        <v>4022.73</v>
      </c>
      <c r="E27" s="3417">
        <v>14481.83</v>
      </c>
      <c r="F27" s="3417" t="s">
        <v>3179</v>
      </c>
      <c r="G27" s="3417" t="s">
        <v>3082</v>
      </c>
      <c r="H27" s="3417" t="s">
        <v>3180</v>
      </c>
      <c r="I27" s="3417" t="s">
        <v>2812</v>
      </c>
      <c r="J27" s="3417">
        <v>3830</v>
      </c>
      <c r="K27" s="3417">
        <v>2644.69</v>
      </c>
      <c r="M27" s="3417" t="s">
        <v>2812</v>
      </c>
      <c r="N27" s="3417" t="s">
        <v>3181</v>
      </c>
      <c r="O27" s="3417" t="s">
        <v>3087</v>
      </c>
    </row>
    <row r="28" spans="1:15">
      <c r="A28" s="3417" t="s">
        <v>3182</v>
      </c>
      <c r="B28" s="3417" t="s">
        <v>3079</v>
      </c>
      <c r="C28" s="3417" t="s">
        <v>3080</v>
      </c>
      <c r="D28" s="3417">
        <v>31922.79</v>
      </c>
      <c r="E28" s="3417">
        <v>79806.98</v>
      </c>
      <c r="F28" s="3417" t="s">
        <v>3081</v>
      </c>
      <c r="G28" s="3417" t="s">
        <v>3082</v>
      </c>
      <c r="H28" s="3417" t="s">
        <v>3183</v>
      </c>
      <c r="I28" s="3417" t="s">
        <v>2812</v>
      </c>
      <c r="J28" s="3417">
        <v>22156</v>
      </c>
      <c r="K28" s="3417">
        <v>2776.19</v>
      </c>
      <c r="M28" s="3417" t="s">
        <v>2812</v>
      </c>
      <c r="N28" s="3417" t="s">
        <v>3184</v>
      </c>
      <c r="O28" s="3417" t="s">
        <v>3085</v>
      </c>
    </row>
    <row r="29" spans="1:15">
      <c r="A29" s="3417" t="s">
        <v>3185</v>
      </c>
      <c r="B29" s="3417" t="s">
        <v>3079</v>
      </c>
      <c r="C29" s="3417" t="s">
        <v>3080</v>
      </c>
      <c r="D29" s="3417">
        <v>44011.31</v>
      </c>
      <c r="E29" s="3417">
        <v>88022.62</v>
      </c>
      <c r="F29" s="3417" t="s">
        <v>3146</v>
      </c>
      <c r="G29" s="3417" t="s">
        <v>3082</v>
      </c>
      <c r="H29" s="3417" t="s">
        <v>3186</v>
      </c>
      <c r="I29" s="3417" t="s">
        <v>2812</v>
      </c>
      <c r="J29" s="3417">
        <v>15180</v>
      </c>
      <c r="K29" s="3417">
        <v>1724.55</v>
      </c>
      <c r="M29" s="3417" t="s">
        <v>2812</v>
      </c>
      <c r="N29" s="3417" t="s">
        <v>3091</v>
      </c>
      <c r="O29" s="3417" t="s">
        <v>3121</v>
      </c>
    </row>
    <row r="30" spans="1:15">
      <c r="A30" s="3417" t="s">
        <v>3187</v>
      </c>
      <c r="B30" s="3417" t="s">
        <v>3079</v>
      </c>
      <c r="C30" s="3417" t="s">
        <v>3105</v>
      </c>
      <c r="D30" s="3417">
        <v>76872.25</v>
      </c>
      <c r="E30" s="3417">
        <v>76515.91</v>
      </c>
      <c r="F30" s="3417" t="s">
        <v>3188</v>
      </c>
      <c r="G30" s="3417" t="s">
        <v>3082</v>
      </c>
      <c r="H30" s="3417" t="s">
        <v>3189</v>
      </c>
      <c r="I30" s="3417" t="s">
        <v>2812</v>
      </c>
      <c r="J30" s="3417">
        <v>85443.520000000004</v>
      </c>
      <c r="K30" s="3417">
        <v>11166.77</v>
      </c>
      <c r="M30" s="3417" t="s">
        <v>2812</v>
      </c>
      <c r="N30" s="3417" t="s">
        <v>3190</v>
      </c>
      <c r="O30" s="3417" t="s">
        <v>3121</v>
      </c>
    </row>
    <row r="31" spans="1:15">
      <c r="A31" s="3417" t="s">
        <v>3191</v>
      </c>
      <c r="B31" s="3417" t="s">
        <v>3079</v>
      </c>
      <c r="C31" s="3417" t="s">
        <v>3105</v>
      </c>
      <c r="D31" s="3417">
        <v>226608.8</v>
      </c>
      <c r="E31" s="3417">
        <v>271930.5</v>
      </c>
      <c r="F31" s="3417" t="s">
        <v>3192</v>
      </c>
      <c r="G31" s="3417" t="s">
        <v>3175</v>
      </c>
      <c r="H31" s="3417" t="s">
        <v>3193</v>
      </c>
      <c r="I31" s="3417" t="s">
        <v>2812</v>
      </c>
      <c r="J31" s="3417">
        <v>93700</v>
      </c>
      <c r="K31" s="3417">
        <v>3445.73</v>
      </c>
      <c r="M31" s="3417" t="s">
        <v>2812</v>
      </c>
      <c r="N31" s="3417" t="s">
        <v>3190</v>
      </c>
      <c r="O31" s="3417" t="s">
        <v>3092</v>
      </c>
    </row>
    <row r="32" spans="1:15">
      <c r="A32" s="3417" t="s">
        <v>3194</v>
      </c>
      <c r="B32" s="3417" t="s">
        <v>3079</v>
      </c>
      <c r="C32" s="3417" t="s">
        <v>3105</v>
      </c>
      <c r="D32" s="3417">
        <v>240458.8</v>
      </c>
      <c r="E32" s="3417">
        <v>288550.59999999998</v>
      </c>
      <c r="F32" s="3417" t="s">
        <v>3195</v>
      </c>
      <c r="G32" s="3417" t="s">
        <v>3175</v>
      </c>
      <c r="H32" s="3417" t="s">
        <v>3196</v>
      </c>
      <c r="I32" s="3417" t="s">
        <v>2812</v>
      </c>
      <c r="J32" s="3417">
        <v>115420</v>
      </c>
      <c r="K32" s="3417">
        <v>3999.98</v>
      </c>
      <c r="M32" s="3417" t="s">
        <v>2812</v>
      </c>
      <c r="N32" s="3417" t="s">
        <v>3197</v>
      </c>
      <c r="O32" s="3417" t="s">
        <v>3092</v>
      </c>
    </row>
    <row r="33" spans="1:15">
      <c r="A33" s="3417" t="s">
        <v>3198</v>
      </c>
      <c r="B33" s="3417" t="s">
        <v>3079</v>
      </c>
      <c r="C33" s="3417" t="s">
        <v>3080</v>
      </c>
      <c r="D33" s="3417">
        <v>8317.82</v>
      </c>
      <c r="E33" s="3417">
        <v>8401</v>
      </c>
      <c r="F33" s="3417" t="s">
        <v>3199</v>
      </c>
      <c r="G33" s="3417" t="s">
        <v>3082</v>
      </c>
      <c r="H33" s="3417" t="s">
        <v>3200</v>
      </c>
      <c r="I33" s="3417" t="s">
        <v>2812</v>
      </c>
      <c r="J33" s="3417">
        <v>3604.94</v>
      </c>
      <c r="K33" s="3417">
        <v>4291.07</v>
      </c>
      <c r="M33" s="3417" t="s">
        <v>2812</v>
      </c>
      <c r="N33" s="3417" t="s">
        <v>3201</v>
      </c>
      <c r="O33" s="3417" t="s">
        <v>3087</v>
      </c>
    </row>
    <row r="34" spans="1:15">
      <c r="A34" s="3417" t="s">
        <v>3202</v>
      </c>
      <c r="B34" s="3417" t="s">
        <v>3079</v>
      </c>
      <c r="C34" s="3417" t="s">
        <v>3080</v>
      </c>
      <c r="D34" s="3417">
        <v>2034.7</v>
      </c>
      <c r="E34" s="3417">
        <v>3662.46</v>
      </c>
      <c r="F34" s="3417" t="s">
        <v>3203</v>
      </c>
      <c r="G34" s="3417" t="s">
        <v>3082</v>
      </c>
      <c r="H34" s="3417" t="s">
        <v>3200</v>
      </c>
      <c r="I34" s="3417" t="s">
        <v>2812</v>
      </c>
      <c r="J34" s="3417">
        <v>1468.03</v>
      </c>
      <c r="K34" s="3417">
        <v>4008.34</v>
      </c>
      <c r="M34" s="3417" t="s">
        <v>2812</v>
      </c>
      <c r="N34" s="3417" t="s">
        <v>3201</v>
      </c>
      <c r="O34" s="3417" t="s">
        <v>3087</v>
      </c>
    </row>
    <row r="35" spans="1:15">
      <c r="A35" s="3417" t="s">
        <v>3204</v>
      </c>
      <c r="B35" s="3417" t="s">
        <v>3079</v>
      </c>
      <c r="C35" s="3417" t="s">
        <v>3080</v>
      </c>
      <c r="D35" s="3417">
        <v>14381</v>
      </c>
      <c r="E35" s="3417">
        <v>50333.5</v>
      </c>
      <c r="F35" s="3417" t="s">
        <v>3205</v>
      </c>
      <c r="G35" s="3417" t="s">
        <v>3082</v>
      </c>
      <c r="H35" s="3417" t="s">
        <v>3206</v>
      </c>
      <c r="I35" s="3417" t="s">
        <v>2812</v>
      </c>
      <c r="J35" s="3417">
        <v>13002</v>
      </c>
      <c r="K35" s="3417">
        <v>2583.17</v>
      </c>
      <c r="M35" s="3417" t="s">
        <v>2812</v>
      </c>
      <c r="N35" s="3417" t="s">
        <v>3207</v>
      </c>
      <c r="O35" s="3417" t="s">
        <v>3085</v>
      </c>
    </row>
    <row r="36" spans="1:15">
      <c r="A36" s="3417" t="s">
        <v>3208</v>
      </c>
      <c r="B36" s="3417" t="s">
        <v>3079</v>
      </c>
      <c r="C36" s="3417" t="s">
        <v>3080</v>
      </c>
      <c r="D36" s="3417">
        <v>3093</v>
      </c>
      <c r="E36" s="3417">
        <v>8969.7000000000007</v>
      </c>
      <c r="F36" s="3417" t="s">
        <v>3209</v>
      </c>
      <c r="G36" s="3417" t="s">
        <v>3082</v>
      </c>
      <c r="H36" s="3417" t="s">
        <v>3210</v>
      </c>
      <c r="I36" s="3417" t="s">
        <v>2812</v>
      </c>
      <c r="J36" s="3417">
        <v>371.16</v>
      </c>
      <c r="K36" s="3417">
        <v>413.79</v>
      </c>
      <c r="M36" s="3417" t="s">
        <v>2812</v>
      </c>
      <c r="N36" s="3417" t="s">
        <v>3211</v>
      </c>
      <c r="O36" s="3417" t="s">
        <v>3087</v>
      </c>
    </row>
    <row r="37" spans="1:15">
      <c r="A37" s="3417" t="s">
        <v>3212</v>
      </c>
      <c r="B37" s="3417" t="s">
        <v>3079</v>
      </c>
      <c r="C37" s="3417" t="s">
        <v>3080</v>
      </c>
      <c r="D37" s="3417">
        <v>14422.5</v>
      </c>
      <c r="E37" s="3417">
        <v>57690</v>
      </c>
      <c r="F37" s="3417" t="s">
        <v>3213</v>
      </c>
      <c r="G37" s="3417" t="s">
        <v>3175</v>
      </c>
      <c r="H37" s="3417" t="s">
        <v>3214</v>
      </c>
      <c r="I37" s="3417" t="s">
        <v>2812</v>
      </c>
      <c r="J37" s="3417">
        <v>16025</v>
      </c>
      <c r="K37" s="3417">
        <v>2777.78</v>
      </c>
      <c r="M37" s="3417" t="s">
        <v>2812</v>
      </c>
      <c r="N37" s="3417" t="s">
        <v>3215</v>
      </c>
      <c r="O37" s="3417" t="s">
        <v>3085</v>
      </c>
    </row>
    <row r="38" spans="1:15">
      <c r="A38" s="3417" t="s">
        <v>3216</v>
      </c>
      <c r="B38" s="3417" t="s">
        <v>3079</v>
      </c>
      <c r="C38" s="3417" t="s">
        <v>3080</v>
      </c>
      <c r="D38" s="3417">
        <v>131185.29999999999</v>
      </c>
      <c r="E38" s="3417">
        <v>262370.7</v>
      </c>
      <c r="F38" s="3417" t="s">
        <v>3217</v>
      </c>
      <c r="G38" s="3417" t="s">
        <v>3175</v>
      </c>
      <c r="H38" s="3417" t="s">
        <v>3218</v>
      </c>
      <c r="I38" s="3417" t="s">
        <v>2812</v>
      </c>
      <c r="J38" s="3417">
        <v>71500</v>
      </c>
      <c r="K38" s="3417">
        <v>2725.15</v>
      </c>
      <c r="M38" s="3417" t="s">
        <v>2812</v>
      </c>
      <c r="N38" s="3417" t="s">
        <v>3219</v>
      </c>
      <c r="O38" s="3417" t="s">
        <v>3085</v>
      </c>
    </row>
    <row r="39" spans="1:15">
      <c r="A39" s="3417" t="s">
        <v>3220</v>
      </c>
      <c r="B39" s="3417" t="s">
        <v>3079</v>
      </c>
      <c r="C39" s="3417" t="s">
        <v>3080</v>
      </c>
      <c r="D39" s="3417">
        <v>77282</v>
      </c>
      <c r="E39" s="3417">
        <v>231846</v>
      </c>
      <c r="F39" s="3417" t="s">
        <v>3221</v>
      </c>
      <c r="G39" s="3417" t="s">
        <v>3082</v>
      </c>
      <c r="H39" s="3417" t="s">
        <v>3222</v>
      </c>
      <c r="I39" s="3417" t="s">
        <v>2812</v>
      </c>
      <c r="J39" s="3417">
        <v>31588</v>
      </c>
      <c r="K39" s="3417">
        <v>1362.46</v>
      </c>
      <c r="M39" s="3417" t="s">
        <v>2812</v>
      </c>
      <c r="N39" s="3417" t="s">
        <v>3223</v>
      </c>
      <c r="O39" s="3417" t="s">
        <v>3087</v>
      </c>
    </row>
    <row r="40" spans="1:15">
      <c r="A40" s="3417" t="s">
        <v>3224</v>
      </c>
      <c r="B40" s="3417" t="s">
        <v>3079</v>
      </c>
      <c r="C40" s="3417" t="s">
        <v>3080</v>
      </c>
      <c r="D40" s="3417">
        <v>53436</v>
      </c>
      <c r="E40" s="3417">
        <v>133590</v>
      </c>
      <c r="F40" s="3417" t="s">
        <v>3225</v>
      </c>
      <c r="G40" s="3417" t="s">
        <v>3082</v>
      </c>
      <c r="H40" s="3417" t="s">
        <v>3226</v>
      </c>
      <c r="I40" s="3417" t="s">
        <v>2812</v>
      </c>
      <c r="J40" s="3417">
        <v>20840.86</v>
      </c>
      <c r="K40" s="3417">
        <v>1560.05</v>
      </c>
      <c r="M40" s="3417" t="s">
        <v>2812</v>
      </c>
      <c r="N40" s="3417" t="s">
        <v>3211</v>
      </c>
      <c r="O40" s="3417" t="s">
        <v>3085</v>
      </c>
    </row>
    <row r="41" spans="1:15">
      <c r="A41" s="3417" t="s">
        <v>3227</v>
      </c>
      <c r="B41" s="3417" t="s">
        <v>3079</v>
      </c>
      <c r="C41" s="3417" t="s">
        <v>3080</v>
      </c>
      <c r="D41" s="3417">
        <v>70091.570000000007</v>
      </c>
      <c r="E41" s="3417">
        <v>175228.9</v>
      </c>
      <c r="F41" s="3417" t="s">
        <v>3225</v>
      </c>
      <c r="G41" s="3417" t="s">
        <v>3175</v>
      </c>
      <c r="H41" s="3417" t="s">
        <v>3228</v>
      </c>
      <c r="I41" s="3417" t="s">
        <v>2812</v>
      </c>
      <c r="J41" s="3417">
        <v>34018</v>
      </c>
      <c r="K41" s="3417">
        <v>1941.34</v>
      </c>
      <c r="M41" s="3417" t="s">
        <v>2812</v>
      </c>
      <c r="N41" s="3417" t="s">
        <v>3229</v>
      </c>
      <c r="O41" s="3417" t="s">
        <v>3085</v>
      </c>
    </row>
    <row r="42" spans="1:15">
      <c r="A42" s="3417" t="s">
        <v>3230</v>
      </c>
      <c r="B42" s="3417" t="s">
        <v>3079</v>
      </c>
      <c r="C42" s="3417" t="s">
        <v>3080</v>
      </c>
      <c r="D42" s="3417">
        <v>150054</v>
      </c>
      <c r="E42" s="3417">
        <v>525189</v>
      </c>
      <c r="F42" s="3417" t="s">
        <v>3231</v>
      </c>
      <c r="G42" s="3417" t="s">
        <v>3082</v>
      </c>
      <c r="H42" s="3417" t="s">
        <v>3232</v>
      </c>
      <c r="I42" s="3417">
        <v>59661</v>
      </c>
      <c r="J42" s="3417">
        <v>60000</v>
      </c>
      <c r="K42" s="3417">
        <v>1142.45</v>
      </c>
      <c r="M42" s="3417">
        <v>0.56999999999999995</v>
      </c>
      <c r="N42" s="3417" t="s">
        <v>3233</v>
      </c>
      <c r="O42" s="3417" t="s">
        <v>3087</v>
      </c>
    </row>
    <row r="43" spans="1:15">
      <c r="A43" s="3417" t="s">
        <v>3234</v>
      </c>
      <c r="B43" s="3417" t="s">
        <v>3079</v>
      </c>
      <c r="C43" s="3417" t="s">
        <v>3080</v>
      </c>
      <c r="D43" s="3417">
        <v>1073.74</v>
      </c>
      <c r="E43" s="3417">
        <v>1288.49</v>
      </c>
      <c r="F43" s="3417" t="s">
        <v>3235</v>
      </c>
      <c r="G43" s="3417" t="s">
        <v>3082</v>
      </c>
      <c r="H43" s="3417" t="s">
        <v>3236</v>
      </c>
      <c r="I43" s="3417">
        <v>112</v>
      </c>
      <c r="J43" s="3417">
        <v>112</v>
      </c>
      <c r="K43" s="3417">
        <v>869.23</v>
      </c>
      <c r="M43" s="3417">
        <v>0</v>
      </c>
      <c r="N43" s="3417" t="s">
        <v>3237</v>
      </c>
      <c r="O43" s="3417" t="s">
        <v>3085</v>
      </c>
    </row>
    <row r="44" spans="1:15">
      <c r="A44" s="3417" t="s">
        <v>3238</v>
      </c>
      <c r="B44" s="3417" t="s">
        <v>3079</v>
      </c>
      <c r="C44" s="3417" t="s">
        <v>3080</v>
      </c>
      <c r="D44" s="3417">
        <v>17733.330000000002</v>
      </c>
      <c r="E44" s="3417">
        <v>62066.66</v>
      </c>
      <c r="F44" s="3417" t="s">
        <v>3231</v>
      </c>
      <c r="G44" s="3417" t="s">
        <v>3082</v>
      </c>
      <c r="H44" s="3417" t="s">
        <v>3239</v>
      </c>
      <c r="I44" s="3417">
        <v>5413.31</v>
      </c>
      <c r="J44" s="3417">
        <v>5413.31</v>
      </c>
      <c r="K44" s="3417">
        <v>872.17</v>
      </c>
      <c r="M44" s="3417">
        <v>0</v>
      </c>
      <c r="N44" s="3417" t="s">
        <v>3240</v>
      </c>
      <c r="O44" s="3417" t="s">
        <v>3085</v>
      </c>
    </row>
    <row r="45" spans="1:15">
      <c r="A45" s="3417" t="s">
        <v>3241</v>
      </c>
      <c r="B45" s="3417" t="s">
        <v>3079</v>
      </c>
      <c r="C45" s="3417" t="s">
        <v>3080</v>
      </c>
      <c r="D45" s="3417">
        <v>157507</v>
      </c>
      <c r="E45" s="3417">
        <v>157507</v>
      </c>
      <c r="F45" s="3417" t="s">
        <v>3242</v>
      </c>
      <c r="G45" s="3417" t="s">
        <v>3082</v>
      </c>
      <c r="H45" s="3417" t="s">
        <v>3243</v>
      </c>
      <c r="I45" s="3417" t="s">
        <v>2812</v>
      </c>
      <c r="J45" s="3417">
        <v>166799.6</v>
      </c>
      <c r="K45" s="3417">
        <v>10589.97</v>
      </c>
      <c r="M45" s="3417" t="s">
        <v>2812</v>
      </c>
      <c r="N45" s="3417" t="s">
        <v>3190</v>
      </c>
      <c r="O45" s="3417" t="s">
        <v>3085</v>
      </c>
    </row>
    <row r="46" spans="1:15">
      <c r="A46" s="3417" t="s">
        <v>3244</v>
      </c>
      <c r="B46" s="3417" t="s">
        <v>3079</v>
      </c>
      <c r="C46" s="3417" t="s">
        <v>3105</v>
      </c>
      <c r="D46" s="3417">
        <v>14839</v>
      </c>
      <c r="E46" s="3417">
        <v>15135.78</v>
      </c>
      <c r="F46" s="3417" t="s">
        <v>3245</v>
      </c>
      <c r="G46" s="3417" t="s">
        <v>3082</v>
      </c>
      <c r="H46" s="3417" t="s">
        <v>3246</v>
      </c>
      <c r="I46" s="3417" t="s">
        <v>2812</v>
      </c>
      <c r="J46" s="3417">
        <v>772.41</v>
      </c>
      <c r="K46" s="3417">
        <v>510.32</v>
      </c>
      <c r="M46" s="3417" t="s">
        <v>2812</v>
      </c>
      <c r="N46" s="3417" t="s">
        <v>3247</v>
      </c>
      <c r="O46" s="3417" t="s">
        <v>3121</v>
      </c>
    </row>
    <row r="47" spans="1:15">
      <c r="A47" s="3417" t="s">
        <v>3248</v>
      </c>
      <c r="B47" s="3417" t="s">
        <v>3079</v>
      </c>
      <c r="C47" s="3417" t="s">
        <v>3105</v>
      </c>
      <c r="D47" s="3417">
        <v>74837</v>
      </c>
      <c r="E47" s="3417">
        <v>209543.6</v>
      </c>
      <c r="F47" s="3417" t="s">
        <v>3249</v>
      </c>
      <c r="G47" s="3417" t="s">
        <v>3250</v>
      </c>
      <c r="H47" s="3417" t="s">
        <v>3251</v>
      </c>
      <c r="I47" s="3417" t="s">
        <v>2812</v>
      </c>
      <c r="J47" s="3417">
        <v>168000</v>
      </c>
      <c r="K47" s="3417">
        <v>8017.42</v>
      </c>
      <c r="M47" s="3417" t="s">
        <v>2812</v>
      </c>
      <c r="N47" s="3417" t="s">
        <v>3252</v>
      </c>
      <c r="O47" s="3417" t="s">
        <v>3087</v>
      </c>
    </row>
    <row r="48" spans="1:15">
      <c r="A48" s="3417" t="s">
        <v>3253</v>
      </c>
      <c r="B48" s="3417" t="s">
        <v>3079</v>
      </c>
      <c r="C48" s="3417" t="s">
        <v>3105</v>
      </c>
      <c r="D48" s="3417">
        <v>150586</v>
      </c>
      <c r="E48" s="3417">
        <v>180703.2</v>
      </c>
      <c r="F48" s="3417" t="s">
        <v>3254</v>
      </c>
      <c r="G48" s="3417" t="s">
        <v>3082</v>
      </c>
      <c r="H48" s="3417" t="s">
        <v>3255</v>
      </c>
      <c r="I48" s="3417">
        <v>27805</v>
      </c>
      <c r="J48" s="3417">
        <v>27805</v>
      </c>
      <c r="K48" s="3417">
        <v>1538.71</v>
      </c>
      <c r="M48" s="3417">
        <v>0</v>
      </c>
      <c r="N48" s="3417" t="s">
        <v>3190</v>
      </c>
      <c r="O48" s="3417" t="s">
        <v>3085</v>
      </c>
    </row>
    <row r="49" spans="1:15">
      <c r="A49" s="3417" t="s">
        <v>3256</v>
      </c>
      <c r="B49" s="3417" t="s">
        <v>3079</v>
      </c>
      <c r="C49" s="3417" t="s">
        <v>3080</v>
      </c>
      <c r="D49" s="3417">
        <v>56390</v>
      </c>
      <c r="E49" s="3417">
        <v>241913.1</v>
      </c>
      <c r="F49" s="3417" t="s">
        <v>3257</v>
      </c>
      <c r="G49" s="3417" t="s">
        <v>3082</v>
      </c>
      <c r="H49" s="3417" t="s">
        <v>3258</v>
      </c>
      <c r="I49" s="3417" t="s">
        <v>2812</v>
      </c>
      <c r="J49" s="3417">
        <v>12441</v>
      </c>
      <c r="K49" s="3417">
        <v>514.27</v>
      </c>
      <c r="M49" s="3417" t="s">
        <v>2812</v>
      </c>
      <c r="N49" s="3417" t="s">
        <v>3259</v>
      </c>
      <c r="O49" s="3417" t="s">
        <v>3087</v>
      </c>
    </row>
    <row r="50" spans="1:15">
      <c r="A50" s="3417" t="s">
        <v>3260</v>
      </c>
      <c r="B50" s="3417" t="s">
        <v>3079</v>
      </c>
      <c r="C50" s="3417" t="s">
        <v>3080</v>
      </c>
      <c r="D50" s="3417">
        <v>156707</v>
      </c>
      <c r="E50" s="3417">
        <v>313414</v>
      </c>
      <c r="F50" s="3417">
        <v>2</v>
      </c>
      <c r="G50" s="3417" t="s">
        <v>3082</v>
      </c>
      <c r="H50" s="3417" t="s">
        <v>3261</v>
      </c>
      <c r="I50" s="3417" t="s">
        <v>2812</v>
      </c>
      <c r="J50" s="3417">
        <v>22330.75</v>
      </c>
      <c r="K50" s="3417">
        <v>712.5</v>
      </c>
      <c r="M50" s="3417" t="s">
        <v>2812</v>
      </c>
      <c r="N50" s="3417" t="s">
        <v>3262</v>
      </c>
      <c r="O50" s="3417" t="s">
        <v>3092</v>
      </c>
    </row>
    <row r="51" spans="1:15">
      <c r="A51" s="3417" t="s">
        <v>3263</v>
      </c>
      <c r="B51" s="3417" t="s">
        <v>3079</v>
      </c>
      <c r="C51" s="3417" t="s">
        <v>3080</v>
      </c>
      <c r="D51" s="3417">
        <v>23133</v>
      </c>
      <c r="E51" s="3417">
        <v>39557.43</v>
      </c>
      <c r="F51" s="3417" t="s">
        <v>3264</v>
      </c>
      <c r="G51" s="3417" t="s">
        <v>3082</v>
      </c>
      <c r="H51" s="3417" t="s">
        <v>3265</v>
      </c>
      <c r="I51" s="3417">
        <v>6454.19</v>
      </c>
      <c r="J51" s="3417">
        <v>6454.19</v>
      </c>
      <c r="K51" s="3417">
        <v>1631.59</v>
      </c>
      <c r="M51" s="3417">
        <v>0</v>
      </c>
      <c r="N51" s="3417" t="s">
        <v>3266</v>
      </c>
      <c r="O51" s="3417" t="s">
        <v>3112</v>
      </c>
    </row>
    <row r="177" spans="4:4">
      <c r="D177" s="3184"/>
    </row>
  </sheetData>
  <phoneticPr fontId="228"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506" t="e">
        <f>F63</f>
        <v>#DIV/0!</v>
      </c>
      <c r="C2" s="2109"/>
      <c r="D2" s="2109"/>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c r="A3" s="1373" t="s">
        <v>1682</v>
      </c>
      <c r="B3" s="508" t="e">
        <f>ROUND(B2*10000/'数据-汇总表'!E3,0)</f>
        <v>#DIV/0!</v>
      </c>
      <c r="C3" s="2042"/>
      <c r="D3" s="2042"/>
      <c r="E3" s="2042"/>
      <c r="F3" s="2042"/>
      <c r="G3" s="2109"/>
      <c r="H3" s="2109"/>
      <c r="I3" s="2109"/>
      <c r="J3" s="2109"/>
      <c r="K3" s="2111"/>
      <c r="L3" s="2112"/>
      <c r="M3" s="2113"/>
      <c r="N3" s="2113"/>
      <c r="O3" s="2113"/>
      <c r="P3" s="1547"/>
      <c r="Q3" s="1547"/>
      <c r="R3" s="1547"/>
      <c r="S3" s="1547"/>
      <c r="T3" s="1547"/>
      <c r="U3" s="1547"/>
      <c r="V3" s="1547"/>
      <c r="W3" s="1547"/>
      <c r="X3" s="1547"/>
      <c r="Y3" s="1547"/>
      <c r="Z3" s="1547"/>
      <c r="AA3" s="1547"/>
      <c r="AB3" s="426"/>
      <c r="AC3" s="426"/>
    </row>
    <row r="4" spans="1:29" s="1330" customFormat="1" ht="28.5" customHeight="1">
      <c r="A4" s="509" t="s">
        <v>517</v>
      </c>
      <c r="B4" s="425" t="e">
        <f>IF(B43="单位面积地价",C45,ROUND(B2*10000/'数据-汇总表'!D3,0))</f>
        <v>#DIV/0!</v>
      </c>
      <c r="C4" s="2042"/>
      <c r="D4" s="2042"/>
      <c r="E4" s="2042"/>
      <c r="F4" s="2042"/>
      <c r="G4" s="2109"/>
      <c r="H4" s="2109"/>
      <c r="I4" s="2109"/>
      <c r="J4" s="2109"/>
      <c r="K4" s="2111"/>
      <c r="L4" s="2112"/>
      <c r="M4" s="2113"/>
      <c r="N4" s="2113"/>
      <c r="O4" s="2113"/>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466</v>
      </c>
      <c r="D5" s="2042"/>
      <c r="E5" s="2042"/>
      <c r="F5" s="2042"/>
      <c r="G5" s="2109"/>
      <c r="H5" s="2109"/>
      <c r="I5" s="2109"/>
      <c r="J5" s="2109"/>
      <c r="K5" s="2111"/>
      <c r="L5" s="2112"/>
      <c r="M5" s="2113"/>
      <c r="N5" s="2113"/>
      <c r="O5" s="2113"/>
      <c r="P5" s="1547"/>
      <c r="Q5" s="1547"/>
      <c r="R5" s="1547"/>
      <c r="S5" s="1547"/>
      <c r="T5" s="1547"/>
      <c r="U5" s="1547"/>
      <c r="V5" s="1547"/>
      <c r="W5" s="1547"/>
      <c r="X5" s="1547"/>
      <c r="Y5" s="1547"/>
      <c r="Z5" s="1547"/>
      <c r="AA5" s="1547"/>
      <c r="AB5" s="1549"/>
      <c r="AC5" s="426"/>
    </row>
    <row r="6" spans="1:29" ht="15">
      <c r="A6" s="510" t="s">
        <v>518</v>
      </c>
      <c r="B6" s="511"/>
      <c r="C6" s="3830" t="s">
        <v>519</v>
      </c>
      <c r="D6" s="3831"/>
      <c r="E6" s="3864" t="s">
        <v>520</v>
      </c>
      <c r="F6" s="3865"/>
      <c r="G6" s="3830" t="s">
        <v>521</v>
      </c>
      <c r="H6" s="3831"/>
      <c r="I6" s="3830" t="s">
        <v>522</v>
      </c>
      <c r="J6" s="3831"/>
      <c r="K6" s="512" t="s">
        <v>523</v>
      </c>
      <c r="L6" s="2114"/>
      <c r="M6" s="2115"/>
      <c r="N6" s="2115"/>
      <c r="O6" s="2115"/>
      <c r="P6" s="3832" t="s">
        <v>524</v>
      </c>
      <c r="Q6" s="3833"/>
      <c r="R6" s="3838" t="s">
        <v>520</v>
      </c>
      <c r="S6" s="3839"/>
      <c r="T6" s="3838" t="s">
        <v>521</v>
      </c>
      <c r="U6" s="3839"/>
      <c r="V6" s="3825" t="s">
        <v>522</v>
      </c>
      <c r="W6" s="3825"/>
      <c r="X6" s="1550"/>
      <c r="Y6" s="3838" t="s">
        <v>524</v>
      </c>
      <c r="Z6" s="3839"/>
      <c r="AA6" s="3827" t="s">
        <v>520</v>
      </c>
      <c r="AB6" s="3828" t="s">
        <v>521</v>
      </c>
      <c r="AC6" s="3827" t="s">
        <v>522</v>
      </c>
    </row>
    <row r="7" spans="1:29" ht="15">
      <c r="A7" s="513"/>
      <c r="B7" s="514"/>
      <c r="C7" s="3846" t="s">
        <v>2924</v>
      </c>
      <c r="D7" s="3847"/>
      <c r="E7" s="3866" t="s">
        <v>2925</v>
      </c>
      <c r="F7" s="3867"/>
      <c r="G7" s="3846" t="s">
        <v>2926</v>
      </c>
      <c r="H7" s="3847"/>
      <c r="I7" s="3846" t="s">
        <v>2927</v>
      </c>
      <c r="J7" s="3847"/>
      <c r="K7" s="512"/>
      <c r="L7" s="2114"/>
      <c r="M7" s="2115"/>
      <c r="N7" s="2115"/>
      <c r="O7" s="2115"/>
      <c r="P7" s="3834"/>
      <c r="Q7" s="3835"/>
      <c r="R7" s="3840"/>
      <c r="S7" s="3841"/>
      <c r="T7" s="3840"/>
      <c r="U7" s="3841"/>
      <c r="V7" s="3825"/>
      <c r="W7" s="3825"/>
      <c r="X7" s="1550"/>
      <c r="Y7" s="3840"/>
      <c r="Z7" s="3841"/>
      <c r="AA7" s="3828"/>
      <c r="AB7" s="3828"/>
      <c r="AC7" s="3828"/>
    </row>
    <row r="8" spans="1:29" ht="15.75" thickBot="1">
      <c r="A8" s="515"/>
      <c r="B8" s="516"/>
      <c r="C8" s="3844" t="s">
        <v>2928</v>
      </c>
      <c r="D8" s="3845"/>
      <c r="E8" s="3862" t="s">
        <v>2928</v>
      </c>
      <c r="F8" s="3863"/>
      <c r="G8" s="3844" t="s">
        <v>2928</v>
      </c>
      <c r="H8" s="3845"/>
      <c r="I8" s="3844" t="s">
        <v>2928</v>
      </c>
      <c r="J8" s="3845"/>
      <c r="K8" s="512" t="s">
        <v>525</v>
      </c>
      <c r="L8" s="2114"/>
      <c r="M8" s="2115"/>
      <c r="N8" s="2115"/>
      <c r="O8" s="2115"/>
      <c r="P8" s="3836"/>
      <c r="Q8" s="3837"/>
      <c r="R8" s="3840"/>
      <c r="S8" s="3841"/>
      <c r="T8" s="3842"/>
      <c r="U8" s="3843"/>
      <c r="V8" s="3825"/>
      <c r="W8" s="3825"/>
      <c r="X8" s="1550"/>
      <c r="Y8" s="3842"/>
      <c r="Z8" s="3843"/>
      <c r="AA8" s="3829"/>
      <c r="AB8" s="3829"/>
      <c r="AC8" s="3829"/>
    </row>
    <row r="9" spans="1:29" s="1214" customFormat="1" ht="15.75" thickBot="1">
      <c r="A9" s="2863"/>
      <c r="B9" s="2870" t="s">
        <v>526</v>
      </c>
      <c r="C9" s="517">
        <f>'数据-取费表'!B2</f>
        <v>43764</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855" t="s">
        <v>527</v>
      </c>
      <c r="Q9" s="3857"/>
      <c r="R9" s="1551" t="s">
        <v>8</v>
      </c>
      <c r="S9" s="1552">
        <f t="shared" ref="S9:S17" si="0">F9</f>
        <v>0</v>
      </c>
      <c r="T9" s="1551" t="s">
        <v>8</v>
      </c>
      <c r="U9" s="1552">
        <f t="shared" ref="U9:U17" si="1">H9</f>
        <v>0</v>
      </c>
      <c r="V9" s="1551" t="s">
        <v>8</v>
      </c>
      <c r="W9" s="1552">
        <f t="shared" ref="W9:W17" si="2">J9</f>
        <v>0</v>
      </c>
      <c r="X9" s="1553"/>
      <c r="Y9" s="3855" t="s">
        <v>527</v>
      </c>
      <c r="Z9" s="3856"/>
      <c r="AA9" s="1554" t="e">
        <f>D9/F9</f>
        <v>#DIV/0!</v>
      </c>
      <c r="AB9" s="1554" t="e">
        <f>D9/H9</f>
        <v>#DIV/0!</v>
      </c>
      <c r="AC9" s="1554" t="e">
        <f>D9/J9</f>
        <v>#DIV/0!</v>
      </c>
    </row>
    <row r="10" spans="1:29" s="1214" customFormat="1" ht="15.75" thickBot="1">
      <c r="A10" s="2864"/>
      <c r="B10" s="2871"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855" t="s">
        <v>530</v>
      </c>
      <c r="Q10" s="3856"/>
      <c r="R10" s="1551" t="s">
        <v>8</v>
      </c>
      <c r="S10" s="1552">
        <f t="shared" si="0"/>
        <v>0</v>
      </c>
      <c r="T10" s="1551" t="s">
        <v>8</v>
      </c>
      <c r="U10" s="1552">
        <f t="shared" si="1"/>
        <v>0</v>
      </c>
      <c r="V10" s="1551" t="s">
        <v>8</v>
      </c>
      <c r="W10" s="1552">
        <f t="shared" si="2"/>
        <v>0</v>
      </c>
      <c r="X10" s="1553"/>
      <c r="Y10" s="3855" t="s">
        <v>530</v>
      </c>
      <c r="Z10" s="3856"/>
      <c r="AA10" s="1554" t="e">
        <f t="shared" ref="AA10:AA42" si="3">D10/F10</f>
        <v>#DIV/0!</v>
      </c>
      <c r="AB10" s="1554" t="e">
        <f t="shared" ref="AB10:AB42" si="4">D10/H10</f>
        <v>#DIV/0!</v>
      </c>
      <c r="AC10" s="1554" t="e">
        <f t="shared" ref="AC10:AC42" si="5">D10/J10</f>
        <v>#DIV/0!</v>
      </c>
    </row>
    <row r="11" spans="1:29" s="1214" customFormat="1" ht="15">
      <c r="A11" s="2865"/>
      <c r="B11" s="2872" t="s">
        <v>2750</v>
      </c>
      <c r="C11" s="524"/>
      <c r="D11" s="252">
        <v>100</v>
      </c>
      <c r="E11" s="524"/>
      <c r="F11" s="252">
        <f>SUMIF(72:72,E11,73:73)-SUMIF(72:72,C11,73:73)+100</f>
        <v>100</v>
      </c>
      <c r="G11" s="524"/>
      <c r="H11" s="252">
        <f>SUMIF(72:72,G11,73:73)-SUMIF(72:72,C11,73:73)+100</f>
        <v>100</v>
      </c>
      <c r="I11" s="524"/>
      <c r="J11" s="252">
        <f>SUMIF(72:72,I11,73:73)-SUMIF(72:72,C11,73:73)+100</f>
        <v>100</v>
      </c>
      <c r="K11" s="522"/>
      <c r="L11" s="2116"/>
      <c r="M11" s="2117"/>
      <c r="N11" s="2117"/>
      <c r="O11" s="2118"/>
      <c r="P11" s="3824" t="s">
        <v>532</v>
      </c>
      <c r="Q11" s="1145" t="str">
        <f t="shared" ref="Q11:Q17" si="6">B11</f>
        <v>用途</v>
      </c>
      <c r="R11" s="1551" t="s">
        <v>8</v>
      </c>
      <c r="S11" s="1552">
        <f t="shared" si="0"/>
        <v>100</v>
      </c>
      <c r="T11" s="1551" t="s">
        <v>8</v>
      </c>
      <c r="U11" s="1552">
        <f t="shared" si="1"/>
        <v>100</v>
      </c>
      <c r="V11" s="1551" t="s">
        <v>8</v>
      </c>
      <c r="W11" s="1552">
        <f t="shared" si="2"/>
        <v>100</v>
      </c>
      <c r="X11" s="1553"/>
      <c r="Y11" s="3712" t="s">
        <v>533</v>
      </c>
      <c r="Z11" s="1144" t="str">
        <f t="shared" ref="Z11:Z17" si="7">Q11</f>
        <v>用途</v>
      </c>
      <c r="AA11" s="1554">
        <f t="shared" si="3"/>
        <v>1</v>
      </c>
      <c r="AB11" s="1554">
        <f t="shared" si="4"/>
        <v>1</v>
      </c>
      <c r="AC11" s="1554">
        <f t="shared" si="5"/>
        <v>1</v>
      </c>
    </row>
    <row r="12" spans="1:29" s="1332" customFormat="1" ht="27">
      <c r="A12" s="2866"/>
      <c r="B12" s="2871" t="s">
        <v>2751</v>
      </c>
      <c r="C12" s="526"/>
      <c r="D12" s="253">
        <v>100</v>
      </c>
      <c r="E12" s="526"/>
      <c r="F12" s="253">
        <f>ROUND(100/'数据-取费表'!G16,0)</f>
        <v>101</v>
      </c>
      <c r="G12" s="526"/>
      <c r="H12" s="253">
        <f>ROUND(100/'数据-取费表'!G16,0)</f>
        <v>101</v>
      </c>
      <c r="I12" s="526"/>
      <c r="J12" s="253">
        <f>ROUND(100/'数据-取费表'!G16,0)</f>
        <v>101</v>
      </c>
      <c r="K12" s="529"/>
      <c r="L12" s="2119"/>
      <c r="M12" s="2159"/>
      <c r="N12" s="2159"/>
      <c r="O12" s="2120"/>
      <c r="P12" s="3824"/>
      <c r="Q12" s="1145" t="str">
        <f t="shared" si="6"/>
        <v>土地使用年限（年）</v>
      </c>
      <c r="R12" s="1551" t="s">
        <v>8</v>
      </c>
      <c r="S12" s="1552">
        <f t="shared" si="0"/>
        <v>101</v>
      </c>
      <c r="T12" s="1551" t="s">
        <v>8</v>
      </c>
      <c r="U12" s="1552">
        <f t="shared" si="1"/>
        <v>101</v>
      </c>
      <c r="V12" s="1551" t="s">
        <v>8</v>
      </c>
      <c r="W12" s="1552">
        <f t="shared" si="2"/>
        <v>101</v>
      </c>
      <c r="X12" s="1553"/>
      <c r="Y12" s="3712"/>
      <c r="Z12" s="1144" t="str">
        <f t="shared" si="7"/>
        <v>土地使用年限（年）</v>
      </c>
      <c r="AA12" s="1554">
        <f t="shared" si="3"/>
        <v>0.99009900990099009</v>
      </c>
      <c r="AB12" s="1554">
        <f t="shared" si="4"/>
        <v>0.99009900990099009</v>
      </c>
      <c r="AC12" s="1554">
        <f t="shared" si="5"/>
        <v>0.99009900990099009</v>
      </c>
    </row>
    <row r="13" spans="1:29" ht="15">
      <c r="A13" s="2867"/>
      <c r="B13" s="2871" t="s">
        <v>2752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1"/>
      <c r="M13" s="2115"/>
      <c r="N13" s="2115"/>
      <c r="O13" s="2122"/>
      <c r="P13" s="3824"/>
      <c r="Q13" s="1145" t="str">
        <f t="shared" si="6"/>
        <v>容积率</v>
      </c>
      <c r="R13" s="1551" t="s">
        <v>8</v>
      </c>
      <c r="S13" s="1552" t="e">
        <f t="shared" si="0"/>
        <v>#N/A</v>
      </c>
      <c r="T13" s="1551" t="s">
        <v>8</v>
      </c>
      <c r="U13" s="1552" t="e">
        <f t="shared" si="1"/>
        <v>#N/A</v>
      </c>
      <c r="V13" s="1551" t="s">
        <v>8</v>
      </c>
      <c r="W13" s="1552" t="e">
        <f t="shared" si="2"/>
        <v>#N/A</v>
      </c>
      <c r="X13" s="1553"/>
      <c r="Y13" s="3712"/>
      <c r="Z13" s="1144" t="str">
        <f t="shared" si="7"/>
        <v>容积率</v>
      </c>
      <c r="AA13" s="1554" t="e">
        <f t="shared" si="3"/>
        <v>#N/A</v>
      </c>
      <c r="AB13" s="1554" t="e">
        <f t="shared" si="4"/>
        <v>#N/A</v>
      </c>
      <c r="AC13" s="1554" t="e">
        <f t="shared" si="5"/>
        <v>#N/A</v>
      </c>
    </row>
    <row r="14" spans="1:29" s="1214"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6"/>
      <c r="M14" s="2117"/>
      <c r="N14" s="2117"/>
      <c r="O14" s="2118"/>
      <c r="P14" s="3824"/>
      <c r="Q14" s="1145">
        <f t="shared" si="6"/>
        <v>111</v>
      </c>
      <c r="R14" s="1551" t="s">
        <v>8</v>
      </c>
      <c r="S14" s="1552">
        <f t="shared" si="0"/>
        <v>100</v>
      </c>
      <c r="T14" s="1551" t="s">
        <v>8</v>
      </c>
      <c r="U14" s="1552">
        <f t="shared" si="1"/>
        <v>100</v>
      </c>
      <c r="V14" s="1551" t="s">
        <v>8</v>
      </c>
      <c r="W14" s="1552">
        <f t="shared" si="2"/>
        <v>100</v>
      </c>
      <c r="X14" s="1553"/>
      <c r="Y14" s="3712"/>
      <c r="Z14" s="1144">
        <f t="shared" si="7"/>
        <v>111</v>
      </c>
      <c r="AA14" s="1554">
        <f>D14/F14</f>
        <v>1</v>
      </c>
      <c r="AB14" s="1554">
        <f>D14/H14</f>
        <v>1</v>
      </c>
      <c r="AC14" s="1554">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3"/>
      <c r="M15" s="2115"/>
      <c r="N15" s="2115"/>
      <c r="O15" s="2122"/>
      <c r="P15" s="3824"/>
      <c r="Q15" s="1145">
        <f t="shared" si="6"/>
        <v>111</v>
      </c>
      <c r="R15" s="1551" t="s">
        <v>8</v>
      </c>
      <c r="S15" s="1552">
        <f t="shared" si="0"/>
        <v>100</v>
      </c>
      <c r="T15" s="1551" t="s">
        <v>8</v>
      </c>
      <c r="U15" s="1552">
        <f t="shared" si="1"/>
        <v>100</v>
      </c>
      <c r="V15" s="1551" t="s">
        <v>8</v>
      </c>
      <c r="W15" s="1552">
        <f t="shared" si="2"/>
        <v>100</v>
      </c>
      <c r="X15" s="1553"/>
      <c r="Y15" s="3712"/>
      <c r="Z15" s="1144">
        <f t="shared" si="7"/>
        <v>111</v>
      </c>
      <c r="AA15" s="1554">
        <f t="shared" si="3"/>
        <v>1</v>
      </c>
      <c r="AB15" s="1554">
        <f t="shared" si="4"/>
        <v>1</v>
      </c>
      <c r="AC15" s="1554">
        <f t="shared" si="5"/>
        <v>1</v>
      </c>
    </row>
    <row r="16" spans="1:29" ht="15.75"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824"/>
      <c r="Q16" s="1145">
        <f t="shared" si="6"/>
        <v>111</v>
      </c>
      <c r="R16" s="1551" t="s">
        <v>8</v>
      </c>
      <c r="S16" s="1552">
        <f t="shared" si="0"/>
        <v>100</v>
      </c>
      <c r="T16" s="1551" t="s">
        <v>8</v>
      </c>
      <c r="U16" s="1552">
        <f t="shared" si="1"/>
        <v>100</v>
      </c>
      <c r="V16" s="1551" t="s">
        <v>8</v>
      </c>
      <c r="W16" s="1552">
        <f t="shared" si="2"/>
        <v>100</v>
      </c>
      <c r="X16" s="1553"/>
      <c r="Y16" s="3712"/>
      <c r="Z16" s="1144">
        <f t="shared" si="7"/>
        <v>111</v>
      </c>
      <c r="AA16" s="1554">
        <f t="shared" si="3"/>
        <v>1</v>
      </c>
      <c r="AB16" s="1554">
        <f t="shared" si="4"/>
        <v>1</v>
      </c>
      <c r="AC16" s="1554">
        <f t="shared" si="5"/>
        <v>1</v>
      </c>
    </row>
    <row r="17" spans="1:29" ht="57">
      <c r="A17" s="2861" t="s">
        <v>2748</v>
      </c>
      <c r="B17" s="164"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858" t="s">
        <v>537</v>
      </c>
      <c r="Q17" s="1555" t="str">
        <f t="shared" si="6"/>
        <v>产业集聚程度</v>
      </c>
      <c r="R17" s="1556" t="s">
        <v>8</v>
      </c>
      <c r="S17" s="1557">
        <f t="shared" si="0"/>
        <v>100</v>
      </c>
      <c r="T17" s="1556" t="s">
        <v>8</v>
      </c>
      <c r="U17" s="1557">
        <f t="shared" si="1"/>
        <v>100</v>
      </c>
      <c r="V17" s="1556" t="s">
        <v>8</v>
      </c>
      <c r="W17" s="1557">
        <f t="shared" si="2"/>
        <v>100</v>
      </c>
      <c r="X17" s="1550"/>
      <c r="Y17" s="3858" t="s">
        <v>537</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3"/>
      <c r="M18" s="2115"/>
      <c r="N18" s="2115"/>
      <c r="O18" s="2122"/>
      <c r="P18" s="3859"/>
      <c r="Q18" s="1555"/>
      <c r="R18" s="1556"/>
      <c r="S18" s="1557"/>
      <c r="T18" s="1556"/>
      <c r="U18" s="1557"/>
      <c r="V18" s="1556"/>
      <c r="W18" s="1557"/>
      <c r="X18" s="1550"/>
      <c r="Y18" s="3859"/>
      <c r="Z18" s="1558"/>
      <c r="AA18" s="1559">
        <v>1</v>
      </c>
      <c r="AB18" s="1559">
        <v>1</v>
      </c>
      <c r="AC18" s="1559">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859"/>
      <c r="Q19" s="1555" t="str">
        <f>B19</f>
        <v>交通便捷度</v>
      </c>
      <c r="R19" s="1556" t="s">
        <v>8</v>
      </c>
      <c r="S19" s="1557">
        <f>F19</f>
        <v>100</v>
      </c>
      <c r="T19" s="1556" t="s">
        <v>8</v>
      </c>
      <c r="U19" s="1557">
        <f>H19</f>
        <v>100</v>
      </c>
      <c r="V19" s="1556" t="s">
        <v>8</v>
      </c>
      <c r="W19" s="1557">
        <f>J19</f>
        <v>100</v>
      </c>
      <c r="X19" s="1550"/>
      <c r="Y19" s="3859"/>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3"/>
      <c r="M20" s="2115"/>
      <c r="N20" s="2115"/>
      <c r="O20" s="2122"/>
      <c r="P20" s="3859"/>
      <c r="Q20" s="1555"/>
      <c r="R20" s="1556"/>
      <c r="S20" s="1557"/>
      <c r="T20" s="1556"/>
      <c r="U20" s="1557"/>
      <c r="V20" s="1556"/>
      <c r="W20" s="1557"/>
      <c r="X20" s="1550"/>
      <c r="Y20" s="3859"/>
      <c r="Z20" s="1558"/>
      <c r="AA20" s="1559">
        <v>1</v>
      </c>
      <c r="AB20" s="1559">
        <v>1</v>
      </c>
      <c r="AC20" s="1559">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3"/>
      <c r="M21" s="2115"/>
      <c r="N21" s="2115"/>
      <c r="O21" s="2122"/>
      <c r="P21" s="3859"/>
      <c r="Q21" s="1555" t="str">
        <f t="shared" ref="Q21:Q35" si="8">B21</f>
        <v>区域土地利用方向</v>
      </c>
      <c r="R21" s="1556" t="s">
        <v>8</v>
      </c>
      <c r="S21" s="1557">
        <f>F21</f>
        <v>100</v>
      </c>
      <c r="T21" s="1556" t="s">
        <v>8</v>
      </c>
      <c r="U21" s="1557">
        <f>H21</f>
        <v>100</v>
      </c>
      <c r="V21" s="1556" t="s">
        <v>8</v>
      </c>
      <c r="W21" s="1557">
        <f>J21</f>
        <v>100</v>
      </c>
      <c r="X21" s="1550"/>
      <c r="Y21" s="3859"/>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3"/>
      <c r="M22" s="2115"/>
      <c r="N22" s="2115"/>
      <c r="O22" s="2122"/>
      <c r="P22" s="3859"/>
      <c r="Q22" s="1555"/>
      <c r="R22" s="1556"/>
      <c r="S22" s="1557"/>
      <c r="T22" s="1556"/>
      <c r="U22" s="1557"/>
      <c r="V22" s="1556"/>
      <c r="W22" s="1557"/>
      <c r="X22" s="1550"/>
      <c r="Y22" s="3859"/>
      <c r="Z22" s="1558"/>
      <c r="AA22" s="1559"/>
      <c r="AB22" s="1559"/>
      <c r="AC22" s="1559"/>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859"/>
      <c r="Q23" s="1555" t="str">
        <f t="shared" si="8"/>
        <v>环境状况</v>
      </c>
      <c r="R23" s="1556" t="s">
        <v>8</v>
      </c>
      <c r="S23" s="1557">
        <f>F23</f>
        <v>100</v>
      </c>
      <c r="T23" s="1556" t="s">
        <v>8</v>
      </c>
      <c r="U23" s="1557">
        <f>H23</f>
        <v>100</v>
      </c>
      <c r="V23" s="1556" t="s">
        <v>8</v>
      </c>
      <c r="W23" s="1557">
        <f>J23</f>
        <v>100</v>
      </c>
      <c r="X23" s="1550"/>
      <c r="Y23" s="3859"/>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3"/>
      <c r="M24" s="2115"/>
      <c r="N24" s="2115"/>
      <c r="O24" s="2122"/>
      <c r="P24" s="3859"/>
      <c r="Q24" s="1555"/>
      <c r="R24" s="1556"/>
      <c r="S24" s="1557"/>
      <c r="T24" s="1556"/>
      <c r="U24" s="1557"/>
      <c r="V24" s="1556"/>
      <c r="W24" s="1557"/>
      <c r="X24" s="1550"/>
      <c r="Y24" s="3859"/>
      <c r="Z24" s="1558"/>
      <c r="AA24" s="1559">
        <v>1</v>
      </c>
      <c r="AB24" s="1559">
        <v>1</v>
      </c>
      <c r="AC24" s="1559">
        <v>1</v>
      </c>
    </row>
    <row r="25" spans="1:29" s="1214" customFormat="1" ht="42.75">
      <c r="A25" s="575"/>
      <c r="B25" s="2553"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859"/>
      <c r="Q25" s="1145" t="str">
        <f t="shared" si="8"/>
        <v>公共配套设施</v>
      </c>
      <c r="R25" s="1551" t="s">
        <v>8</v>
      </c>
      <c r="S25" s="1552">
        <f>F25</f>
        <v>100</v>
      </c>
      <c r="T25" s="1551" t="s">
        <v>8</v>
      </c>
      <c r="U25" s="1552">
        <f>H25</f>
        <v>100</v>
      </c>
      <c r="V25" s="1551" t="s">
        <v>8</v>
      </c>
      <c r="W25" s="1552">
        <f>J25</f>
        <v>100</v>
      </c>
      <c r="X25" s="1553"/>
      <c r="Y25" s="3859"/>
      <c r="Z25" s="1144" t="str">
        <f>Q25</f>
        <v>公共配套设施</v>
      </c>
      <c r="AA25" s="1559">
        <f>D25/F25</f>
        <v>1</v>
      </c>
      <c r="AB25" s="1559">
        <f>D25/H25</f>
        <v>1</v>
      </c>
      <c r="AC25" s="1559">
        <f>D25/J25</f>
        <v>1</v>
      </c>
    </row>
    <row r="26" spans="1:29" s="1214" customFormat="1" ht="15">
      <c r="A26" s="575"/>
      <c r="B26" s="593"/>
      <c r="C26" s="2552"/>
      <c r="D26" s="553"/>
      <c r="E26" s="552"/>
      <c r="F26" s="553"/>
      <c r="G26" s="552"/>
      <c r="H26" s="553"/>
      <c r="I26" s="574"/>
      <c r="J26" s="553"/>
      <c r="K26" s="529"/>
      <c r="L26" s="2116"/>
      <c r="M26" s="2117"/>
      <c r="N26" s="2117"/>
      <c r="O26" s="2118"/>
      <c r="P26" s="3859"/>
      <c r="Q26" s="1145"/>
      <c r="R26" s="1551"/>
      <c r="S26" s="1552"/>
      <c r="T26" s="1551"/>
      <c r="U26" s="1552"/>
      <c r="V26" s="1551"/>
      <c r="W26" s="1552"/>
      <c r="X26" s="1553"/>
      <c r="Y26" s="3859"/>
      <c r="Z26" s="1144"/>
      <c r="AA26" s="1554">
        <v>1</v>
      </c>
      <c r="AB26" s="1554">
        <v>1</v>
      </c>
      <c r="AC26" s="1554">
        <v>1</v>
      </c>
    </row>
    <row r="27" spans="1:29" s="1214" customFormat="1" ht="28.5">
      <c r="A27" s="575"/>
      <c r="B27" s="2553"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859"/>
      <c r="Q27" s="2538" t="str">
        <f t="shared" ref="Q27" si="9">B27</f>
        <v>基础设施水平</v>
      </c>
      <c r="R27" s="1551" t="s">
        <v>8</v>
      </c>
      <c r="S27" s="1552">
        <f>F27</f>
        <v>100</v>
      </c>
      <c r="T27" s="1551" t="s">
        <v>8</v>
      </c>
      <c r="U27" s="1552">
        <f>H27</f>
        <v>100</v>
      </c>
      <c r="V27" s="1551" t="s">
        <v>8</v>
      </c>
      <c r="W27" s="1552">
        <f>J27</f>
        <v>100</v>
      </c>
      <c r="X27" s="1553"/>
      <c r="Y27" s="3859"/>
      <c r="Z27" s="2535" t="str">
        <f>Q27</f>
        <v>基础设施水平</v>
      </c>
      <c r="AA27" s="1559">
        <f>D27/F27</f>
        <v>1</v>
      </c>
      <c r="AB27" s="1559">
        <f>D27/H27</f>
        <v>1</v>
      </c>
      <c r="AC27" s="1559">
        <f>D27/J27</f>
        <v>1</v>
      </c>
    </row>
    <row r="28" spans="1:29" s="1214" customFormat="1" ht="15">
      <c r="A28" s="575"/>
      <c r="B28" s="593"/>
      <c r="C28" s="2552"/>
      <c r="D28" s="553"/>
      <c r="E28" s="577"/>
      <c r="F28" s="553"/>
      <c r="G28" s="577"/>
      <c r="H28" s="553"/>
      <c r="I28" s="577"/>
      <c r="J28" s="553"/>
      <c r="K28" s="529"/>
      <c r="L28" s="2116"/>
      <c r="M28" s="2117"/>
      <c r="N28" s="2117"/>
      <c r="O28" s="2118"/>
      <c r="P28" s="3859"/>
      <c r="Q28" s="2538"/>
      <c r="R28" s="1551"/>
      <c r="S28" s="1552"/>
      <c r="T28" s="1551"/>
      <c r="U28" s="1552"/>
      <c r="V28" s="1551"/>
      <c r="W28" s="1552"/>
      <c r="X28" s="1553"/>
      <c r="Y28" s="3859"/>
      <c r="Z28" s="2535"/>
      <c r="AA28" s="1554">
        <v>1</v>
      </c>
      <c r="AB28" s="1554">
        <v>1</v>
      </c>
      <c r="AC28" s="1554">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859"/>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859"/>
      <c r="Z29" s="1558" t="str">
        <f t="shared" ref="Z29:Z42" si="13">Q29</f>
        <v>临街状况</v>
      </c>
      <c r="AA29" s="1559">
        <f t="shared" si="3"/>
        <v>1</v>
      </c>
      <c r="AB29" s="1559">
        <f t="shared" si="4"/>
        <v>1</v>
      </c>
      <c r="AC29" s="1559">
        <f t="shared" si="5"/>
        <v>1</v>
      </c>
    </row>
    <row r="30" spans="1:29" ht="27">
      <c r="A30" s="530"/>
      <c r="B30" s="920" t="s">
        <v>545</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859"/>
      <c r="Q30" s="1555" t="str">
        <f t="shared" si="8"/>
        <v>毗邻道路的类型与等级</v>
      </c>
      <c r="R30" s="1556" t="s">
        <v>8</v>
      </c>
      <c r="S30" s="1557">
        <f t="shared" si="10"/>
        <v>100</v>
      </c>
      <c r="T30" s="1556" t="s">
        <v>8</v>
      </c>
      <c r="U30" s="1557">
        <f t="shared" si="11"/>
        <v>100</v>
      </c>
      <c r="V30" s="1556" t="s">
        <v>8</v>
      </c>
      <c r="W30" s="1557">
        <f t="shared" si="12"/>
        <v>100</v>
      </c>
      <c r="X30" s="1550"/>
      <c r="Y30" s="3859"/>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3"/>
      <c r="M31" s="2115"/>
      <c r="N31" s="2115"/>
      <c r="O31" s="2122"/>
      <c r="P31" s="3859"/>
      <c r="Q31" s="1555"/>
      <c r="R31" s="1556"/>
      <c r="S31" s="1557"/>
      <c r="T31" s="1556"/>
      <c r="U31" s="1557"/>
      <c r="V31" s="1556"/>
      <c r="W31" s="1557"/>
      <c r="X31" s="1550"/>
      <c r="Y31" s="3859"/>
      <c r="Z31" s="1558"/>
      <c r="AA31" s="1559">
        <v>1</v>
      </c>
      <c r="AB31" s="1559">
        <v>1</v>
      </c>
      <c r="AC31" s="1559">
        <v>1</v>
      </c>
    </row>
    <row r="32" spans="1:29" ht="15">
      <c r="A32" s="530"/>
      <c r="B32" s="525" t="s">
        <v>546</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859"/>
      <c r="Q32" s="1555" t="str">
        <f t="shared" si="8"/>
        <v>土地级别</v>
      </c>
      <c r="R32" s="1556" t="s">
        <v>8</v>
      </c>
      <c r="S32" s="1557">
        <f t="shared" si="10"/>
        <v>100</v>
      </c>
      <c r="T32" s="1556" t="s">
        <v>8</v>
      </c>
      <c r="U32" s="1557">
        <f t="shared" si="11"/>
        <v>100</v>
      </c>
      <c r="V32" s="1556" t="s">
        <v>8</v>
      </c>
      <c r="W32" s="1557">
        <f t="shared" si="12"/>
        <v>100</v>
      </c>
      <c r="X32" s="1550"/>
      <c r="Y32" s="3859"/>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859"/>
      <c r="Q33" s="1555">
        <f t="shared" si="8"/>
        <v>111</v>
      </c>
      <c r="R33" s="1556" t="s">
        <v>8</v>
      </c>
      <c r="S33" s="1557">
        <f t="shared" si="10"/>
        <v>100</v>
      </c>
      <c r="T33" s="1556" t="s">
        <v>8</v>
      </c>
      <c r="U33" s="1557">
        <f t="shared" si="11"/>
        <v>100</v>
      </c>
      <c r="V33" s="1556" t="s">
        <v>8</v>
      </c>
      <c r="W33" s="1557">
        <f t="shared" si="12"/>
        <v>100</v>
      </c>
      <c r="X33" s="1550"/>
      <c r="Y33" s="3859"/>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860" t="s">
        <v>547</v>
      </c>
      <c r="Q34" s="1555">
        <f t="shared" si="8"/>
        <v>111</v>
      </c>
      <c r="R34" s="1556" t="s">
        <v>8</v>
      </c>
      <c r="S34" s="1557">
        <f t="shared" si="10"/>
        <v>100</v>
      </c>
      <c r="T34" s="1556" t="s">
        <v>8</v>
      </c>
      <c r="U34" s="1557">
        <f t="shared" si="11"/>
        <v>100</v>
      </c>
      <c r="V34" s="1556" t="s">
        <v>8</v>
      </c>
      <c r="W34" s="1557">
        <f t="shared" si="12"/>
        <v>100</v>
      </c>
      <c r="X34" s="1550"/>
      <c r="Y34" s="3861" t="s">
        <v>547</v>
      </c>
      <c r="Z34" s="1558">
        <f t="shared" si="13"/>
        <v>111</v>
      </c>
      <c r="AA34" s="1559">
        <f t="shared" si="3"/>
        <v>1</v>
      </c>
      <c r="AB34" s="1559">
        <f t="shared" si="4"/>
        <v>1</v>
      </c>
      <c r="AC34" s="1559">
        <f t="shared" si="5"/>
        <v>1</v>
      </c>
    </row>
    <row r="35" spans="1:29" s="1333" customFormat="1" ht="15.75"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861"/>
      <c r="Q35" s="1555">
        <f t="shared" si="8"/>
        <v>111</v>
      </c>
      <c r="R35" s="1560" t="s">
        <v>8</v>
      </c>
      <c r="S35" s="1561">
        <f t="shared" si="10"/>
        <v>100</v>
      </c>
      <c r="T35" s="1560" t="s">
        <v>8</v>
      </c>
      <c r="U35" s="1561">
        <f t="shared" si="11"/>
        <v>100</v>
      </c>
      <c r="V35" s="1560" t="s">
        <v>8</v>
      </c>
      <c r="W35" s="1561">
        <f t="shared" si="12"/>
        <v>100</v>
      </c>
      <c r="X35" s="1562"/>
      <c r="Y35" s="3861"/>
      <c r="Z35" s="1563">
        <f t="shared" si="13"/>
        <v>111</v>
      </c>
      <c r="AA35" s="1559">
        <f t="shared" si="3"/>
        <v>1</v>
      </c>
      <c r="AB35" s="1559">
        <f t="shared" si="4"/>
        <v>1</v>
      </c>
      <c r="AC35" s="1559">
        <f t="shared" si="5"/>
        <v>1</v>
      </c>
    </row>
    <row r="36" spans="1:29" ht="15">
      <c r="A36" s="2858" t="s">
        <v>2749</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861"/>
      <c r="Q36" s="1555" t="str">
        <f>B36</f>
        <v>宗地面积</v>
      </c>
      <c r="R36" s="1556" t="s">
        <v>8</v>
      </c>
      <c r="S36" s="1557" t="e">
        <f t="shared" si="10"/>
        <v>#N/A</v>
      </c>
      <c r="T36" s="1556" t="s">
        <v>8</v>
      </c>
      <c r="U36" s="1557" t="e">
        <f t="shared" si="11"/>
        <v>#N/A</v>
      </c>
      <c r="V36" s="1556" t="s">
        <v>8</v>
      </c>
      <c r="W36" s="1557" t="e">
        <f t="shared" si="12"/>
        <v>#N/A</v>
      </c>
      <c r="X36" s="1550"/>
      <c r="Y36" s="3861"/>
      <c r="Z36" s="1558" t="str">
        <f t="shared" si="13"/>
        <v>宗地面积</v>
      </c>
      <c r="AA36" s="1559" t="e">
        <f t="shared" si="3"/>
        <v>#N/A</v>
      </c>
      <c r="AB36" s="1559" t="e">
        <f t="shared" si="4"/>
        <v>#N/A</v>
      </c>
      <c r="AC36" s="1559"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861"/>
      <c r="Q37" s="1555" t="str">
        <f t="shared" ref="Q37:Q42" si="14">B37</f>
        <v>宗地形状</v>
      </c>
      <c r="R37" s="1556" t="s">
        <v>8</v>
      </c>
      <c r="S37" s="1557">
        <f t="shared" si="10"/>
        <v>100</v>
      </c>
      <c r="T37" s="1556" t="s">
        <v>8</v>
      </c>
      <c r="U37" s="1557">
        <f t="shared" si="11"/>
        <v>100</v>
      </c>
      <c r="V37" s="1556" t="s">
        <v>8</v>
      </c>
      <c r="W37" s="1557">
        <f t="shared" si="12"/>
        <v>100</v>
      </c>
      <c r="X37" s="1550"/>
      <c r="Y37" s="3861"/>
      <c r="Z37" s="1558" t="str">
        <f t="shared" si="13"/>
        <v>宗地形状</v>
      </c>
      <c r="AA37" s="1559">
        <f t="shared" si="3"/>
        <v>1</v>
      </c>
      <c r="AB37" s="1559">
        <f t="shared" si="4"/>
        <v>1</v>
      </c>
      <c r="AC37" s="1559">
        <f t="shared" si="5"/>
        <v>1</v>
      </c>
    </row>
    <row r="38" spans="1:29" s="1214" customFormat="1" ht="15">
      <c r="A38" s="598"/>
      <c r="B38" s="1877" t="s">
        <v>2419</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861"/>
      <c r="Q38" s="1555" t="str">
        <f t="shared" si="14"/>
        <v>宗地开发程度</v>
      </c>
      <c r="R38" s="1551" t="s">
        <v>8</v>
      </c>
      <c r="S38" s="1552">
        <f t="shared" si="10"/>
        <v>100</v>
      </c>
      <c r="T38" s="1551" t="s">
        <v>8</v>
      </c>
      <c r="U38" s="1552">
        <f t="shared" si="11"/>
        <v>100</v>
      </c>
      <c r="V38" s="1551" t="s">
        <v>8</v>
      </c>
      <c r="W38" s="1552">
        <f t="shared" si="12"/>
        <v>100</v>
      </c>
      <c r="X38" s="1553"/>
      <c r="Y38" s="3861"/>
      <c r="Z38" s="1144" t="str">
        <f t="shared" si="13"/>
        <v>宗地开发程度</v>
      </c>
      <c r="AA38" s="1554">
        <f t="shared" si="3"/>
        <v>1</v>
      </c>
      <c r="AB38" s="1554">
        <f t="shared" si="4"/>
        <v>1</v>
      </c>
      <c r="AC38" s="1554">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61" t="s">
        <v>598</v>
      </c>
      <c r="Q39" s="1555" t="str">
        <f t="shared" si="14"/>
        <v>工程地质条件</v>
      </c>
      <c r="R39" s="1556" t="s">
        <v>8</v>
      </c>
      <c r="S39" s="1557">
        <f t="shared" si="10"/>
        <v>100</v>
      </c>
      <c r="T39" s="1556" t="s">
        <v>8</v>
      </c>
      <c r="U39" s="1557">
        <f t="shared" si="11"/>
        <v>100</v>
      </c>
      <c r="V39" s="1556" t="s">
        <v>8</v>
      </c>
      <c r="W39" s="1557">
        <f t="shared" si="12"/>
        <v>100</v>
      </c>
      <c r="X39" s="1550"/>
      <c r="Y39" s="3861" t="s">
        <v>598</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861"/>
      <c r="Q40" s="1555">
        <f t="shared" si="14"/>
        <v>111</v>
      </c>
      <c r="R40" s="1556" t="s">
        <v>8</v>
      </c>
      <c r="S40" s="1557">
        <f t="shared" si="10"/>
        <v>100</v>
      </c>
      <c r="T40" s="1556" t="s">
        <v>8</v>
      </c>
      <c r="U40" s="1557">
        <f t="shared" si="11"/>
        <v>100</v>
      </c>
      <c r="V40" s="1556" t="s">
        <v>8</v>
      </c>
      <c r="W40" s="1557">
        <f t="shared" si="12"/>
        <v>100</v>
      </c>
      <c r="X40" s="1550"/>
      <c r="Y40" s="3861"/>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861"/>
      <c r="Q41" s="1555">
        <f t="shared" si="14"/>
        <v>111</v>
      </c>
      <c r="R41" s="1556" t="s">
        <v>8</v>
      </c>
      <c r="S41" s="1557">
        <f t="shared" si="10"/>
        <v>100</v>
      </c>
      <c r="T41" s="1556" t="s">
        <v>8</v>
      </c>
      <c r="U41" s="1557">
        <f t="shared" si="11"/>
        <v>100</v>
      </c>
      <c r="V41" s="1556" t="s">
        <v>8</v>
      </c>
      <c r="W41" s="1557">
        <f t="shared" si="12"/>
        <v>100</v>
      </c>
      <c r="X41" s="1550"/>
      <c r="Y41" s="3861"/>
      <c r="Z41" s="1558">
        <f t="shared" si="13"/>
        <v>111</v>
      </c>
      <c r="AA41" s="1559">
        <f t="shared" si="3"/>
        <v>1</v>
      </c>
      <c r="AB41" s="1559">
        <f t="shared" si="4"/>
        <v>1</v>
      </c>
      <c r="AC41" s="155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861"/>
      <c r="Q42" s="1555">
        <f t="shared" si="14"/>
        <v>111</v>
      </c>
      <c r="R42" s="1560" t="s">
        <v>8</v>
      </c>
      <c r="S42" s="1561">
        <f t="shared" si="10"/>
        <v>100</v>
      </c>
      <c r="T42" s="1560" t="s">
        <v>8</v>
      </c>
      <c r="U42" s="1561">
        <f t="shared" si="11"/>
        <v>100</v>
      </c>
      <c r="V42" s="1560" t="s">
        <v>8</v>
      </c>
      <c r="W42" s="1561">
        <f t="shared" si="12"/>
        <v>100</v>
      </c>
      <c r="X42" s="1562"/>
      <c r="Y42" s="3861"/>
      <c r="Z42" s="1563">
        <f t="shared" si="13"/>
        <v>111</v>
      </c>
      <c r="AA42" s="1559">
        <f t="shared" si="3"/>
        <v>1</v>
      </c>
      <c r="AB42" s="1559">
        <f t="shared" si="4"/>
        <v>1</v>
      </c>
      <c r="AC42" s="1559">
        <f t="shared" si="5"/>
        <v>1</v>
      </c>
    </row>
    <row r="43" spans="1:29" ht="15">
      <c r="A43" s="605" t="s">
        <v>553</v>
      </c>
      <c r="B43" s="606" t="s">
        <v>2929</v>
      </c>
      <c r="C43" s="607" t="s">
        <v>1</v>
      </c>
      <c r="D43" s="608"/>
      <c r="E43" s="609"/>
      <c r="F43" s="610"/>
      <c r="G43" s="611"/>
      <c r="H43" s="612"/>
      <c r="I43" s="609"/>
      <c r="J43" s="612"/>
      <c r="K43" s="1334"/>
      <c r="L43" s="2125"/>
      <c r="M43" s="2115"/>
      <c r="N43" s="2115"/>
      <c r="O43" s="2126"/>
      <c r="P43" s="3824" t="str">
        <f>A43</f>
        <v>成交单价</v>
      </c>
      <c r="Q43" s="3824"/>
      <c r="R43" s="3825">
        <f>E43</f>
        <v>0</v>
      </c>
      <c r="S43" s="3825"/>
      <c r="T43" s="3825">
        <f>G43</f>
        <v>0</v>
      </c>
      <c r="U43" s="3825"/>
      <c r="V43" s="3825">
        <f>I43</f>
        <v>0</v>
      </c>
      <c r="W43" s="3825"/>
      <c r="X43" s="1542"/>
      <c r="Y43" s="1564"/>
      <c r="Z43" s="1542"/>
      <c r="AA43" s="1542"/>
      <c r="AB43" s="1542"/>
      <c r="AC43" s="1542"/>
    </row>
    <row r="44" spans="1:29" ht="15.75" thickBot="1">
      <c r="A44" s="613" t="s">
        <v>2687</v>
      </c>
      <c r="B44" s="614"/>
      <c r="C44" s="615" t="e">
        <f>R45</f>
        <v>#DIV/0!</v>
      </c>
      <c r="D44" s="616"/>
      <c r="E44" s="615" t="e">
        <f>R44</f>
        <v>#DIV/0!</v>
      </c>
      <c r="F44" s="617"/>
      <c r="G44" s="618" t="e">
        <f>T44</f>
        <v>#DIV/0!</v>
      </c>
      <c r="H44" s="616"/>
      <c r="I44" s="615" t="e">
        <f>V44</f>
        <v>#DIV/0!</v>
      </c>
      <c r="J44" s="616"/>
      <c r="K44" s="1335"/>
      <c r="L44" s="2125"/>
      <c r="M44" s="2115"/>
      <c r="N44" s="2115"/>
      <c r="O44" s="2126"/>
      <c r="P44" s="3824" t="str">
        <f>A44</f>
        <v>比较价格（元/平方米）</v>
      </c>
      <c r="Q44" s="3824"/>
      <c r="R44" s="3826" t="e">
        <f>ROUND(PRODUCT(R43,AA9:AA42),0)</f>
        <v>#DIV/0!</v>
      </c>
      <c r="S44" s="3826"/>
      <c r="T44" s="3826" t="e">
        <f>ROUND(PRODUCT(T43,AB9:AB42),0)</f>
        <v>#DIV/0!</v>
      </c>
      <c r="U44" s="3826"/>
      <c r="V44" s="3826" t="e">
        <f>ROUND(PRODUCT(V43,AC9:AC42),0)</f>
        <v>#DIV/0!</v>
      </c>
      <c r="W44" s="3826"/>
      <c r="X44" s="1542"/>
      <c r="Y44" s="1542"/>
      <c r="Z44" s="1542"/>
      <c r="AA44" s="1542"/>
      <c r="AB44" s="1542"/>
      <c r="AC44" s="1542"/>
    </row>
    <row r="45" spans="1:29" ht="15.75" thickBot="1">
      <c r="A45" s="619" t="s">
        <v>2930</v>
      </c>
      <c r="B45" s="620"/>
      <c r="C45" s="621" t="e">
        <f>R45</f>
        <v>#DIV/0!</v>
      </c>
      <c r="D45" s="621"/>
      <c r="E45" s="621"/>
      <c r="F45" s="621"/>
      <c r="G45" s="621"/>
      <c r="H45" s="621"/>
      <c r="I45" s="621"/>
      <c r="J45" s="621"/>
      <c r="K45" s="1336"/>
      <c r="L45" s="2125"/>
      <c r="M45" s="2115"/>
      <c r="N45" s="2115"/>
      <c r="O45" s="2126"/>
      <c r="P45" s="3821" t="str">
        <f>A45</f>
        <v>估价对象XX用房的比较价格（楼面单价，元/平方米）</v>
      </c>
      <c r="Q45" s="3822"/>
      <c r="R45" s="3823" t="e">
        <f>ROUND(AVERAGE(R44:V44),0)</f>
        <v>#DIV/0!</v>
      </c>
      <c r="S45" s="3823"/>
      <c r="T45" s="3823"/>
      <c r="U45" s="3823"/>
      <c r="V45" s="3823"/>
      <c r="W45" s="3823"/>
      <c r="X45" s="1542"/>
      <c r="Y45" s="1542"/>
      <c r="Z45" s="1542"/>
      <c r="AA45" s="1542"/>
      <c r="AB45" s="1542"/>
      <c r="AC45" s="1542"/>
    </row>
    <row r="46" spans="1:29">
      <c r="A46" s="2126"/>
      <c r="B46" s="2126"/>
      <c r="C46" s="2126"/>
      <c r="D46" s="2126"/>
      <c r="E46" s="2126"/>
      <c r="F46" s="2126"/>
      <c r="G46" s="2129"/>
      <c r="H46" s="2126"/>
      <c r="I46" s="2126"/>
      <c r="J46" s="2126"/>
      <c r="K46" s="2130"/>
      <c r="L46" s="2131"/>
      <c r="M46" s="2115"/>
      <c r="N46" s="2115"/>
      <c r="O46" s="2126"/>
      <c r="P46" s="1542"/>
      <c r="Q46" s="1542"/>
      <c r="R46" s="1542"/>
      <c r="S46" s="1542"/>
      <c r="T46" s="1542"/>
      <c r="U46" s="1542"/>
      <c r="V46" s="1542"/>
      <c r="W46" s="1542"/>
      <c r="X46" s="1542"/>
      <c r="Y46" s="1542"/>
      <c r="Z46" s="1542"/>
      <c r="AA46" s="1542"/>
      <c r="AB46" s="1542"/>
      <c r="AC46" s="1542"/>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557</v>
      </c>
      <c r="B52" s="628" t="s">
        <v>558</v>
      </c>
      <c r="C52" s="1543" t="s">
        <v>1721</v>
      </c>
      <c r="D52" s="2208" t="s">
        <v>2289</v>
      </c>
      <c r="E52" s="629" t="s">
        <v>559</v>
      </c>
      <c r="F52" s="1932" t="s">
        <v>560</v>
      </c>
      <c r="G52" s="3868" t="s">
        <v>2280</v>
      </c>
      <c r="H52" s="3869"/>
      <c r="I52" s="1933" t="s">
        <v>1942</v>
      </c>
      <c r="J52" s="1538">
        <f>项目基本情况!F41</f>
        <v>0</v>
      </c>
      <c r="K52" s="2135" t="s">
        <v>1720</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1" t="s">
        <v>561</v>
      </c>
      <c r="B53" s="632" t="e">
        <f>C45</f>
        <v>#DIV/0!</v>
      </c>
      <c r="C53" s="633">
        <v>1</v>
      </c>
      <c r="D53" s="2209">
        <v>1</v>
      </c>
      <c r="E53" s="633">
        <f>'数据-汇总表'!E8+'数据-汇总表'!E9</f>
        <v>34949.64</v>
      </c>
      <c r="F53" s="1931" t="e">
        <f t="shared" ref="F53:F62" si="15">ROUND(B53*E53/10000,0)</f>
        <v>#DIV/0!</v>
      </c>
      <c r="G53" s="3870"/>
      <c r="H53" s="3871"/>
      <c r="I53" s="1934">
        <v>1</v>
      </c>
      <c r="J53" s="1539">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5" t="s">
        <v>562</v>
      </c>
      <c r="B54" s="636" t="e">
        <f>ROUND($C$45*C54*D54,0)</f>
        <v>#DIV/0!</v>
      </c>
      <c r="C54" s="376">
        <f t="shared" ref="C54:C62" si="16">IF($C$52="北京市系数",I54,J54)</f>
        <v>0</v>
      </c>
      <c r="D54" s="2210">
        <v>0.25</v>
      </c>
      <c r="E54" s="637"/>
      <c r="F54" s="1931" t="e">
        <f t="shared" si="15"/>
        <v>#DIV/0!</v>
      </c>
      <c r="G54" s="3872" t="s">
        <v>2281</v>
      </c>
      <c r="H54" s="1935">
        <f>项目基本情况!B43</f>
        <v>0</v>
      </c>
      <c r="I54" s="1934">
        <f>SUMIF(修正!$A$45:$A$56,H54,修正!B45:B56)</f>
        <v>0</v>
      </c>
      <c r="J54" s="1541"/>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5" t="s">
        <v>563</v>
      </c>
      <c r="B55" s="636" t="e">
        <f t="shared" ref="B55:B62" si="17">ROUND($C$45*C55*D55,0)</f>
        <v>#DIV/0!</v>
      </c>
      <c r="C55" s="376">
        <f t="shared" si="16"/>
        <v>0</v>
      </c>
      <c r="D55" s="2210">
        <v>0.25</v>
      </c>
      <c r="E55" s="637"/>
      <c r="F55" s="1931" t="e">
        <f t="shared" si="15"/>
        <v>#DIV/0!</v>
      </c>
      <c r="G55" s="3872"/>
      <c r="H55" s="1936">
        <f>项目基本情况!B43</f>
        <v>0</v>
      </c>
      <c r="I55" s="1934">
        <f>SUMIF(修正!$A$45:$A$56,H55,修正!C45:C56)</f>
        <v>0</v>
      </c>
      <c r="J55" s="1541"/>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5" t="s">
        <v>564</v>
      </c>
      <c r="B56" s="636" t="e">
        <f t="shared" si="17"/>
        <v>#DIV/0!</v>
      </c>
      <c r="C56" s="376">
        <f t="shared" si="16"/>
        <v>0</v>
      </c>
      <c r="D56" s="2210">
        <v>0.25</v>
      </c>
      <c r="E56" s="637"/>
      <c r="F56" s="1931" t="e">
        <f t="shared" si="15"/>
        <v>#DIV/0!</v>
      </c>
      <c r="G56" s="3872"/>
      <c r="H56" s="1936">
        <f>项目基本情况!B43</f>
        <v>0</v>
      </c>
      <c r="I56" s="1934">
        <f>SUMIF(修正!$A$45:$A$56,H56,修正!D45:D56)</f>
        <v>0</v>
      </c>
      <c r="J56" s="1541"/>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5" t="s">
        <v>565</v>
      </c>
      <c r="B57" s="636" t="e">
        <f t="shared" si="17"/>
        <v>#DIV/0!</v>
      </c>
      <c r="C57" s="376">
        <f t="shared" si="16"/>
        <v>0</v>
      </c>
      <c r="D57" s="2210">
        <v>0.25</v>
      </c>
      <c r="E57" s="637"/>
      <c r="F57" s="1931" t="e">
        <f t="shared" si="15"/>
        <v>#DIV/0!</v>
      </c>
      <c r="G57" s="3872"/>
      <c r="H57" s="1936">
        <f>项目基本情况!B43</f>
        <v>0</v>
      </c>
      <c r="I57" s="1934">
        <f>SUMIF(修正!$A$45:$A$56,H57,修正!E45:E56)</f>
        <v>0</v>
      </c>
      <c r="J57" s="1541"/>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2323</v>
      </c>
      <c r="B58" s="636" t="e">
        <f t="shared" si="17"/>
        <v>#DIV/0!</v>
      </c>
      <c r="C58" s="376">
        <f t="shared" si="16"/>
        <v>0</v>
      </c>
      <c r="D58" s="2210">
        <v>0.25</v>
      </c>
      <c r="E58" s="639">
        <f>'数据-汇总表'!E11</f>
        <v>0</v>
      </c>
      <c r="F58" s="1931" t="e">
        <f t="shared" si="15"/>
        <v>#DIV/0!</v>
      </c>
      <c r="G58" s="1937" t="s">
        <v>2282</v>
      </c>
      <c r="H58" s="1936">
        <f>项目基本情况!C43</f>
        <v>0</v>
      </c>
      <c r="I58" s="1934">
        <f>SUMIF(修正!$A$45:$A$56,H58,修正!F45:F56)</f>
        <v>0</v>
      </c>
      <c r="J58" s="1541"/>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566</v>
      </c>
      <c r="B59" s="636" t="e">
        <f t="shared" si="17"/>
        <v>#DIV/0!</v>
      </c>
      <c r="C59" s="376">
        <f t="shared" si="16"/>
        <v>0</v>
      </c>
      <c r="D59" s="2210">
        <v>0.25</v>
      </c>
      <c r="E59" s="639">
        <f>'数据-汇总表'!E12</f>
        <v>0</v>
      </c>
      <c r="F59" s="1931" t="e">
        <f t="shared" si="15"/>
        <v>#DIV/0!</v>
      </c>
      <c r="G59" s="1927" t="s">
        <v>1674</v>
      </c>
      <c r="H59" s="1935">
        <f>IF(G59="商业",项目基本情况!B43,IF(G59="办公",项目基本情况!C43,IF(G59="住宅",项目基本情况!D43,项目基本情况!E43)))</f>
        <v>0</v>
      </c>
      <c r="I59" s="1934">
        <f>SUMIF(修正!$A$45:$A$56,H59,修正!G45:G56)</f>
        <v>0</v>
      </c>
      <c r="J59" s="1541"/>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567</v>
      </c>
      <c r="B60" s="636" t="e">
        <f t="shared" si="17"/>
        <v>#DIV/0!</v>
      </c>
      <c r="C60" s="376">
        <f t="shared" si="16"/>
        <v>0</v>
      </c>
      <c r="D60" s="2210">
        <v>0.25</v>
      </c>
      <c r="E60" s="639">
        <f>'数据-汇总表'!E13</f>
        <v>11357.88</v>
      </c>
      <c r="F60" s="1931" t="e">
        <f t="shared" si="15"/>
        <v>#DIV/0!</v>
      </c>
      <c r="G60" s="1927" t="s">
        <v>920</v>
      </c>
      <c r="H60" s="1935">
        <f>IF(G60="商业",项目基本情况!B43,IF(G60="办公",项目基本情况!C43,IF(G60="住宅",项目基本情况!D43,项目基本情况!E43)))</f>
        <v>0</v>
      </c>
      <c r="I60" s="1934">
        <f>SUMIF(修正!$A$45:$A$56,H60,修正!H45:H56)</f>
        <v>0</v>
      </c>
      <c r="J60" s="1541"/>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568</v>
      </c>
      <c r="B61" s="636" t="e">
        <f t="shared" si="17"/>
        <v>#DIV/0!</v>
      </c>
      <c r="C61" s="376">
        <f t="shared" si="16"/>
        <v>0</v>
      </c>
      <c r="D61" s="2210">
        <v>0.25</v>
      </c>
      <c r="E61" s="639">
        <f>'数据-汇总表'!E14</f>
        <v>0</v>
      </c>
      <c r="F61" s="1931" t="e">
        <f t="shared" si="15"/>
        <v>#DIV/0!</v>
      </c>
      <c r="G61" s="1937" t="s">
        <v>2281</v>
      </c>
      <c r="H61" s="1936">
        <f>项目基本情况!B43</f>
        <v>0</v>
      </c>
      <c r="I61" s="1934">
        <f>SUMIF(修正!$A$45:$A$56,H61,修正!H45:H56)</f>
        <v>0</v>
      </c>
      <c r="J61" s="1541"/>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5" t="s">
        <v>569</v>
      </c>
      <c r="B62" s="636" t="e">
        <f t="shared" si="17"/>
        <v>#DIV/0!</v>
      </c>
      <c r="C62" s="376">
        <f t="shared" si="16"/>
        <v>0</v>
      </c>
      <c r="D62" s="2210">
        <v>0.25</v>
      </c>
      <c r="E62" s="639">
        <f>'数据-汇总表'!E15</f>
        <v>0</v>
      </c>
      <c r="F62" s="1931" t="e">
        <f t="shared" si="15"/>
        <v>#DIV/0!</v>
      </c>
      <c r="G62" s="1938" t="s">
        <v>2282</v>
      </c>
      <c r="H62" s="1939">
        <f>项目基本情况!C43</f>
        <v>0</v>
      </c>
      <c r="I62" s="1934">
        <f>SUMIF(修正!$A$45:$A$56,H62,修正!H45:H56)</f>
        <v>0</v>
      </c>
      <c r="J62" s="1541"/>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0" t="s">
        <v>570</v>
      </c>
      <c r="B63" s="641" t="s">
        <v>17</v>
      </c>
      <c r="C63" s="641" t="s">
        <v>18</v>
      </c>
      <c r="D63" s="641" t="s">
        <v>2290</v>
      </c>
      <c r="E63" s="641">
        <f>IF(B43="楼面地价",SUM(E53:E62),'数据-汇总表'!D3)</f>
        <v>29475.73</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2019-10-1</v>
      </c>
      <c r="D65" s="2750">
        <f>EDATE(C65,-3)</f>
        <v>43647</v>
      </c>
      <c r="E65" s="2750">
        <f t="shared" ref="E65:N65" si="18">EDATE(D65,-3)</f>
        <v>43556</v>
      </c>
      <c r="F65" s="2750">
        <f t="shared" si="18"/>
        <v>43466</v>
      </c>
      <c r="G65" s="2750">
        <f t="shared" si="18"/>
        <v>43374</v>
      </c>
      <c r="H65" s="2750">
        <f t="shared" si="18"/>
        <v>43282</v>
      </c>
      <c r="I65" s="2750">
        <f t="shared" si="18"/>
        <v>43191</v>
      </c>
      <c r="J65" s="2750">
        <f t="shared" si="18"/>
        <v>43101</v>
      </c>
      <c r="K65" s="2750">
        <f t="shared" si="18"/>
        <v>43009</v>
      </c>
      <c r="L65" s="2750">
        <f t="shared" si="18"/>
        <v>42917</v>
      </c>
      <c r="M65" s="2750">
        <f t="shared" si="18"/>
        <v>42826</v>
      </c>
      <c r="N65" s="2750">
        <f t="shared" si="18"/>
        <v>42736</v>
      </c>
      <c r="O65" s="2126"/>
      <c r="P65" s="2126"/>
      <c r="Q65" s="2126"/>
      <c r="R65" s="2126"/>
      <c r="S65" s="2126"/>
      <c r="T65" s="2126"/>
      <c r="U65" s="2126"/>
      <c r="V65" s="2126"/>
      <c r="W65" s="2126"/>
      <c r="X65" s="2126"/>
      <c r="Y65" s="2126"/>
      <c r="Z65" s="2126"/>
      <c r="AA65" s="2126"/>
      <c r="AB65" s="2126"/>
      <c r="AC65" s="2126"/>
    </row>
    <row r="66" spans="1:29" ht="21.75" thickBot="1">
      <c r="A66" s="1567" t="s">
        <v>571</v>
      </c>
      <c r="B66" s="1542"/>
      <c r="C66" s="1566"/>
      <c r="D66" s="1566"/>
      <c r="E66" s="1566"/>
      <c r="F66" s="1568"/>
      <c r="G66" s="1568"/>
      <c r="H66" s="1566"/>
      <c r="I66" s="1566"/>
      <c r="J66" s="1566"/>
      <c r="K66" s="1569"/>
      <c r="L66" s="1565"/>
      <c r="M66" s="1566"/>
      <c r="N66" s="1566"/>
      <c r="O66" s="2138"/>
      <c r="P66" s="2138"/>
      <c r="Q66" s="2139"/>
      <c r="R66" s="2126"/>
      <c r="S66" s="2126"/>
      <c r="T66" s="2126"/>
      <c r="U66" s="2126"/>
      <c r="V66" s="2126"/>
      <c r="W66" s="2126"/>
      <c r="X66" s="2126"/>
      <c r="Y66" s="2126"/>
      <c r="Z66" s="2126"/>
      <c r="AA66" s="2126"/>
      <c r="AB66" s="2126"/>
      <c r="AC66" s="2126"/>
    </row>
    <row r="67" spans="1:29" s="1341" customFormat="1" ht="15">
      <c r="A67" s="2528" t="s">
        <v>2527</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0"/>
      <c r="P67" s="2141"/>
      <c r="Q67" s="2142"/>
      <c r="R67" s="2142"/>
      <c r="S67" s="2142"/>
      <c r="T67" s="2142"/>
      <c r="U67" s="2142"/>
      <c r="V67" s="2142"/>
      <c r="W67" s="2142"/>
      <c r="X67" s="2142"/>
      <c r="Y67" s="2142"/>
      <c r="Z67" s="2142"/>
      <c r="AA67" s="2142"/>
      <c r="AB67" s="2142"/>
      <c r="AC67" s="2142"/>
    </row>
    <row r="68" spans="1:29" s="1214" customFormat="1" ht="27.75" customHeight="1">
      <c r="A68" s="2749" t="s">
        <v>2643</v>
      </c>
      <c r="B68" s="477" t="str">
        <f>"北京市平均增长率"&amp;TEXT(基准地价!P24,"0.00%")</f>
        <v>北京市平均增长率1.38%</v>
      </c>
      <c r="C68" s="892">
        <v>100</v>
      </c>
      <c r="D68" s="728"/>
      <c r="E68" s="728"/>
      <c r="F68" s="728"/>
      <c r="G68" s="728"/>
      <c r="H68" s="728"/>
      <c r="I68" s="728"/>
      <c r="J68" s="728"/>
      <c r="K68" s="728"/>
      <c r="L68" s="728"/>
      <c r="M68" s="2744"/>
      <c r="N68" s="2745"/>
      <c r="O68" s="2143"/>
      <c r="P68" s="2139"/>
      <c r="Q68" s="1974"/>
      <c r="R68" s="1974"/>
      <c r="S68" s="1974"/>
      <c r="T68" s="1974"/>
      <c r="U68" s="1974"/>
      <c r="V68" s="1974"/>
      <c r="W68" s="1974"/>
      <c r="X68" s="1974"/>
      <c r="Y68" s="1974"/>
      <c r="Z68" s="1974"/>
      <c r="AA68" s="1974"/>
      <c r="AB68" s="1974"/>
      <c r="AC68" s="1974"/>
    </row>
    <row r="69" spans="1:29" s="1214" customFormat="1" ht="15.75" thickBot="1">
      <c r="A69" s="651" t="s">
        <v>572</v>
      </c>
      <c r="B69" s="652"/>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4" customFormat="1" ht="15">
      <c r="A70" s="657" t="s">
        <v>528</v>
      </c>
      <c r="B70" s="646"/>
      <c r="C70" s="658" t="s">
        <v>573</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574</v>
      </c>
      <c r="B72" s="663" t="s">
        <v>531</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534</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536</v>
      </c>
      <c r="B85" s="663" t="s">
        <v>599</v>
      </c>
      <c r="C85" s="701" t="s">
        <v>576</v>
      </c>
      <c r="D85" s="701" t="s">
        <v>577</v>
      </c>
      <c r="E85" s="701" t="s">
        <v>578</v>
      </c>
      <c r="F85" s="701" t="s">
        <v>579</v>
      </c>
      <c r="G85" s="701" t="s">
        <v>580</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583</v>
      </c>
      <c r="C87" s="706" t="s">
        <v>576</v>
      </c>
      <c r="D87" s="706" t="s">
        <v>577</v>
      </c>
      <c r="E87" s="706" t="s">
        <v>578</v>
      </c>
      <c r="F87" s="706" t="s">
        <v>579</v>
      </c>
      <c r="G87" s="706" t="s">
        <v>580</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5"/>
      <c r="B93" s="1878" t="s">
        <v>2542</v>
      </c>
      <c r="C93" s="701" t="s">
        <v>576</v>
      </c>
      <c r="D93" s="701" t="s">
        <v>577</v>
      </c>
      <c r="E93" s="701" t="s">
        <v>578</v>
      </c>
      <c r="F93" s="701" t="s">
        <v>579</v>
      </c>
      <c r="G93" s="701" t="s">
        <v>580</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5"/>
      <c r="B95" s="2557" t="s">
        <v>2544</v>
      </c>
      <c r="C95" s="2558" t="s">
        <v>2545</v>
      </c>
      <c r="D95" s="2558" t="s">
        <v>2546</v>
      </c>
      <c r="E95" s="2558" t="s">
        <v>2547</v>
      </c>
      <c r="F95" s="2558" t="s">
        <v>2548</v>
      </c>
      <c r="G95" s="2558" t="s">
        <v>2549</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0"/>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586</v>
      </c>
      <c r="D97" s="672" t="s">
        <v>587</v>
      </c>
      <c r="E97" s="672" t="s">
        <v>588</v>
      </c>
      <c r="F97" s="672" t="s">
        <v>589</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545</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546</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9" t="str">
        <f t="shared" si="25"/>
        <v>(含)-</v>
      </c>
      <c r="L109" s="3040" t="str">
        <f t="shared" si="25"/>
        <v>(含)-</v>
      </c>
      <c r="M109" s="3041"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591</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6"/>
      <c r="B114" s="1878" t="s">
        <v>2420</v>
      </c>
      <c r="C114" s="1368"/>
      <c r="D114" s="1368"/>
      <c r="E114" s="1368"/>
      <c r="F114" s="1368"/>
      <c r="G114" s="1368"/>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593</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29475.73平方米。根据《建设工程规划许可证》[]、《出让合同》[]，估价对象规划建筑面积为49030.88平方米。</v>
      </c>
    </row>
    <row r="7" spans="1:4" ht="56.25">
      <c r="A7" s="1777" t="s">
        <v>2741</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2936</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根据《国有土地使用证》[]，估价对象（分摊）出让国有建设用地使用权面积为29475.73平方米。根据《建设工程规划许可证》[]、《出让合同》[]，估价对象规划建筑面积为49030.88平方米。</v>
      </c>
    </row>
    <row r="21" spans="1:1" ht="18.75">
      <c r="A21" s="1773" t="s">
        <v>2071</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1691</v>
      </c>
      <c r="B1" s="1393"/>
      <c r="C1" s="1399" t="s">
        <v>2421</v>
      </c>
      <c r="D1" s="1505">
        <f>SUM(D29:D30,D33:D39)</f>
        <v>0</v>
      </c>
      <c r="E1" s="1399" t="s">
        <v>2422</v>
      </c>
      <c r="F1" s="2412"/>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0"/>
      <c r="R1" s="2887" t="s">
        <v>2756</v>
      </c>
      <c r="S1" s="2887" t="s">
        <v>2757</v>
      </c>
      <c r="T1" s="2887" t="s">
        <v>2778</v>
      </c>
      <c r="U1" s="2887" t="s">
        <v>2779</v>
      </c>
      <c r="V1" s="2887" t="s">
        <v>2780</v>
      </c>
      <c r="W1" s="2170"/>
      <c r="X1" s="2170"/>
      <c r="Y1" s="2170"/>
      <c r="Z1" s="2170"/>
      <c r="AA1" s="2170"/>
      <c r="AB1" s="2170"/>
      <c r="AC1" s="2171"/>
    </row>
    <row r="2" spans="1:39" ht="15.75">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0"/>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0"/>
      <c r="X2" s="2170"/>
      <c r="Y2" s="2170"/>
      <c r="Z2" s="2170"/>
      <c r="AA2" s="2170"/>
      <c r="AB2" s="2170"/>
      <c r="AC2" s="2171"/>
    </row>
    <row r="3" spans="1:39" ht="15.75">
      <c r="A3" s="1404" t="s">
        <v>1684</v>
      </c>
      <c r="B3" s="1036" t="e">
        <f>ROUND(B2*10000/D1,0)</f>
        <v>#DIV/0!</v>
      </c>
      <c r="C3" s="1400" t="s">
        <v>924</v>
      </c>
      <c r="D3" s="1401" t="s">
        <v>925</v>
      </c>
      <c r="E3" s="1405"/>
      <c r="F3" s="1406"/>
      <c r="G3" s="1037">
        <f>IF(F3="宗地容积率",'数据-汇总表'!I4,IF(F3="估价对象容积率",'数据-汇总表'!I6,'数据-汇总表'!I7))</f>
        <v>1.2</v>
      </c>
      <c r="H3" s="1407" t="s">
        <v>926</v>
      </c>
      <c r="I3" s="1038">
        <v>8</v>
      </c>
      <c r="J3" s="1403" t="s">
        <v>927</v>
      </c>
      <c r="K3" s="1403"/>
      <c r="L3" s="1867" t="s">
        <v>2237</v>
      </c>
      <c r="M3" s="1868">
        <f>SUMPRODUCT((区片价!B29:B48=I2)*(区片价!C3:F3=E2)*(区片价!C29:F48))</f>
        <v>0</v>
      </c>
      <c r="N3" s="1869">
        <f>SUMPRODUCT((因素修正幅度!B29:B48=I2)*(因素修正幅度!C3:F3=E2)*(因素修正幅度!C29:F48))</f>
        <v>0</v>
      </c>
      <c r="O3" s="1403"/>
      <c r="P3" s="1394"/>
      <c r="Q3" s="2170"/>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0"/>
      <c r="X3" s="2170"/>
      <c r="Y3" s="2170"/>
      <c r="Z3" s="2170"/>
      <c r="AA3" s="2170"/>
      <c r="AB3" s="2170"/>
      <c r="AC3" s="2171"/>
    </row>
    <row r="4" spans="1:39" ht="28.5">
      <c r="A4" s="1873" t="s">
        <v>2276</v>
      </c>
      <c r="B4" s="2413" t="e">
        <f>ROUND(B2*10000/F1,0)</f>
        <v>#DIV/0!</v>
      </c>
      <c r="C4" s="1876" t="s">
        <v>2251</v>
      </c>
      <c r="D4" s="1876" t="e">
        <f>ROUND(B2/(F1/666.67),0)</f>
        <v>#DIV/0!</v>
      </c>
      <c r="E4" s="1876" t="s">
        <v>2252</v>
      </c>
      <c r="F4" s="1874"/>
      <c r="G4" s="1874"/>
      <c r="H4" s="1874"/>
      <c r="I4" s="1874"/>
      <c r="J4" s="1875"/>
      <c r="K4" s="3143"/>
      <c r="L4" s="1867" t="s">
        <v>2238</v>
      </c>
      <c r="M4" s="1868">
        <f>SUMPRODUCT((区片价!B49:B75=I2)*(区片价!C3:F3=E2)*(区片价!C49:F75))</f>
        <v>0</v>
      </c>
      <c r="N4" s="1869">
        <f>SUMPRODUCT((因素修正幅度!B49:B75=I2)*(因素修正幅度!C3:F3=E2)*(因素修正幅度!C49:F75))</f>
        <v>0</v>
      </c>
      <c r="O4" s="3143"/>
      <c r="P4" s="1394"/>
      <c r="Q4" s="2170"/>
      <c r="R4" s="2888">
        <v>3</v>
      </c>
      <c r="S4" s="2888">
        <f>ROUND(IF(G3&gt;1,IF(R4&lt;7,SUMPRODUCT((B93:B98=R4)*(C92:N92=G2)*(C93:N98)),SUMIF(C92:N92,G2,C100:N100)),IF(R4&lt;7,SUMPRODUCT((B102:B107=R4)*(C92:N92=G2)*(C102:N107)),SUMIF(C92:N92,G2,C109:N109))),4)</f>
        <v>0</v>
      </c>
      <c r="T4" s="2888" t="e">
        <f t="shared" si="0"/>
        <v>#DIV/0!</v>
      </c>
      <c r="U4" s="2877"/>
      <c r="V4" s="2888" t="e">
        <f t="shared" si="1"/>
        <v>#DIV/0!</v>
      </c>
      <c r="W4" s="2170"/>
      <c r="X4" s="2170"/>
      <c r="Y4" s="2170"/>
      <c r="Z4" s="2170"/>
      <c r="AA4" s="2170"/>
      <c r="AB4" s="2170"/>
      <c r="AC4" s="2171"/>
    </row>
    <row r="5" spans="1:39" s="1414" customFormat="1" ht="15.75" thickBot="1">
      <c r="A5" s="1620" t="s">
        <v>1820</v>
      </c>
      <c r="B5" s="1408" t="s">
        <v>928</v>
      </c>
      <c r="C5" s="1039" t="e">
        <f>ROUND(IF(E2="商业",C6*C7+C16,(IF(E2="住宅",C6*C12+C16,C6+C16))),0)</f>
        <v>#DIV/0!</v>
      </c>
      <c r="D5" s="3067" t="e">
        <f>ROUND(C6+C16,0)</f>
        <v>#DIV/0!</v>
      </c>
      <c r="E5" s="3067"/>
      <c r="F5" s="1409"/>
      <c r="G5" s="1410"/>
      <c r="H5" s="1410"/>
      <c r="I5" s="1410"/>
      <c r="J5" s="1411"/>
      <c r="K5" s="3144"/>
      <c r="L5" s="1867" t="s">
        <v>2239</v>
      </c>
      <c r="M5" s="1868">
        <f>SUMPRODUCT((区片价!B76:B109=I2)*(区片价!C3:F3=E2)*(区片价!C76:F109))</f>
        <v>0</v>
      </c>
      <c r="N5" s="1869">
        <f>SUMPRODUCT((因素修正幅度!B76:B109=I2)*(因素修正幅度!C3:F3=E2)*(因素修正幅度!C76:F109))</f>
        <v>0</v>
      </c>
      <c r="O5" s="3144"/>
      <c r="P5" s="1577"/>
      <c r="Q5" s="2170"/>
      <c r="R5" s="2888">
        <v>4</v>
      </c>
      <c r="S5" s="2888">
        <f>ROUND(IF(G3&gt;1,IF(R5&lt;7,SUMPRODUCT((B93:B98=R5)*(C92:N92=G2)*(C93:N98)),SUMIF(C92:N92,G2,C100:N100)),IF(R5&lt;7,SUMPRODUCT((B102:B107=R5)*(C92:N92=G2)*(C102:N107)),SUMIF(C92:N92,G2,C109:N109))),4)</f>
        <v>0</v>
      </c>
      <c r="T5" s="2888" t="e">
        <f t="shared" si="0"/>
        <v>#DIV/0!</v>
      </c>
      <c r="U5" s="2877"/>
      <c r="V5" s="2888" t="e">
        <f t="shared" si="1"/>
        <v>#DIV/0!</v>
      </c>
      <c r="W5" s="2170"/>
      <c r="X5" s="2170"/>
      <c r="Y5" s="2170"/>
      <c r="Z5" s="2170"/>
      <c r="AA5" s="2170"/>
      <c r="AB5" s="2170"/>
      <c r="AC5" s="2172"/>
      <c r="AD5" s="1412"/>
      <c r="AE5" s="1412"/>
      <c r="AF5" s="1412"/>
      <c r="AG5" s="1412"/>
      <c r="AH5" s="1412"/>
      <c r="AI5" s="1412"/>
      <c r="AJ5" s="1413"/>
      <c r="AK5" s="1413"/>
      <c r="AL5" s="1413"/>
      <c r="AM5" s="1413"/>
    </row>
    <row r="6" spans="1:39" ht="15.75" thickBot="1">
      <c r="A6" s="1621" t="s">
        <v>1867</v>
      </c>
      <c r="B6" s="1415" t="s">
        <v>928</v>
      </c>
      <c r="C6" s="1040">
        <f>SUMIF(L1:L12,基准地价!G2,M1:M12)</f>
        <v>0</v>
      </c>
      <c r="D6" s="1416" t="s">
        <v>1692</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0"/>
      <c r="R6" s="2888">
        <v>5</v>
      </c>
      <c r="S6" s="2888">
        <f>ROUND(IF(G3&gt;1,IF(R6&lt;7,SUMPRODUCT((B93:B98=R6)*(C92:N92=G2)*(C93:N98)),SUMIF(C92:N92,G2,C100:N100)),IF(R6&lt;7,SUMPRODUCT((B102:B107=R6)*(C92:N92=G2)*(C102:N107)),SUMIF(C92:N92,G2,C109:N109))),4)</f>
        <v>0</v>
      </c>
      <c r="T6" s="2888" t="e">
        <f t="shared" si="0"/>
        <v>#DIV/0!</v>
      </c>
      <c r="U6" s="2877"/>
      <c r="V6" s="2888" t="e">
        <f t="shared" si="1"/>
        <v>#DIV/0!</v>
      </c>
      <c r="W6" s="2170"/>
      <c r="X6" s="2170"/>
      <c r="Y6" s="2170"/>
      <c r="Z6" s="2170"/>
      <c r="AA6" s="2170"/>
      <c r="AB6" s="2170"/>
      <c r="AC6" s="2172"/>
      <c r="AD6" s="1412"/>
      <c r="AE6" s="1412"/>
      <c r="AF6" s="1412"/>
      <c r="AG6" s="1412"/>
      <c r="AH6" s="1412"/>
      <c r="AI6" s="1412"/>
      <c r="AJ6" s="1413"/>
    </row>
    <row r="7" spans="1:39" ht="24">
      <c r="A7" s="3884" t="str">
        <f>IF(E2="商业",IF(C8="不临58条商业街","",2),"")</f>
        <v/>
      </c>
      <c r="B7" s="1420" t="s">
        <v>929</v>
      </c>
      <c r="C7" s="1041" t="e">
        <f>IF(C8="不临58条商业街",1,ROUND(1+(1.6*E8+1.2*E9+0.8*E10+0.4*E11)*C9,4))</f>
        <v>#DIV/0!</v>
      </c>
      <c r="D7" s="1421" t="s">
        <v>930</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0"/>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2759</v>
      </c>
      <c r="X7" s="2878">
        <f>G2</f>
        <v>0</v>
      </c>
      <c r="Y7" s="2878" t="s">
        <v>2760</v>
      </c>
      <c r="Z7" s="2879">
        <f>G3</f>
        <v>1.2</v>
      </c>
      <c r="AA7" s="2173"/>
      <c r="AB7" s="2173"/>
      <c r="AC7" s="2174"/>
      <c r="AD7" s="2880"/>
      <c r="AE7" s="2880"/>
      <c r="AF7" s="2880"/>
      <c r="AG7" s="2880"/>
      <c r="AH7" s="2880"/>
      <c r="AI7" s="2880"/>
      <c r="AJ7" s="2881"/>
    </row>
    <row r="8" spans="1:39" ht="15">
      <c r="A8" s="3885"/>
      <c r="B8" s="1407" t="s">
        <v>931</v>
      </c>
      <c r="C8" s="1513"/>
      <c r="D8" s="1043" t="s">
        <v>932</v>
      </c>
      <c r="E8" s="1044" t="e">
        <f>ROUND(C11/E7,4)</f>
        <v>#DIV/0!</v>
      </c>
      <c r="F8" s="1425" t="s">
        <v>933</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0"/>
      <c r="R8" s="2888">
        <v>7</v>
      </c>
      <c r="S8" s="2877"/>
      <c r="T8" s="2888" t="e">
        <f t="shared" si="0"/>
        <v>#DIV/0!</v>
      </c>
      <c r="U8" s="2877"/>
      <c r="V8" s="2888" t="e">
        <f t="shared" si="1"/>
        <v>#DIV/0!</v>
      </c>
      <c r="W8" s="3874" t="s">
        <v>2777</v>
      </c>
      <c r="X8" s="3875"/>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885"/>
      <c r="B9" s="1407" t="s">
        <v>934</v>
      </c>
      <c r="C9" s="1045">
        <f>SUMIF(修正!C59:C119,C8,修正!E59:E119)</f>
        <v>0</v>
      </c>
      <c r="D9" s="1046" t="s">
        <v>935</v>
      </c>
      <c r="E9" s="1046" t="e">
        <f>ROUND(C11/E7,4)</f>
        <v>#DIV/0!</v>
      </c>
      <c r="F9" s="1425" t="s">
        <v>936</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0"/>
      <c r="R9" s="2888">
        <v>8</v>
      </c>
      <c r="S9" s="2877"/>
      <c r="T9" s="2888" t="e">
        <f t="shared" si="0"/>
        <v>#DIV/0!</v>
      </c>
      <c r="U9" s="2877"/>
      <c r="V9" s="2888" t="e">
        <f t="shared" si="1"/>
        <v>#DIV/0!</v>
      </c>
      <c r="W9" s="3873" t="s">
        <v>2773</v>
      </c>
      <c r="X9" s="2882" t="s">
        <v>2774</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885"/>
      <c r="B10" s="1407" t="s">
        <v>937</v>
      </c>
      <c r="C10" s="1046">
        <f>SUMIF(修正!C59:C119,C8,修正!F59:F119)</f>
        <v>0</v>
      </c>
      <c r="D10" s="1046" t="s">
        <v>938</v>
      </c>
      <c r="E10" s="1046" t="e">
        <f>ROUND(C11/E7,4)</f>
        <v>#DIV/0!</v>
      </c>
      <c r="F10" s="1425" t="s">
        <v>939</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0"/>
      <c r="R10" s="2888">
        <v>9</v>
      </c>
      <c r="S10" s="2877"/>
      <c r="T10" s="2888" t="e">
        <f t="shared" si="0"/>
        <v>#DIV/0!</v>
      </c>
      <c r="U10" s="2877"/>
      <c r="V10" s="2888" t="e">
        <f t="shared" si="1"/>
        <v>#DIV/0!</v>
      </c>
      <c r="W10" s="3873"/>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885"/>
      <c r="B11" s="1428" t="s">
        <v>940</v>
      </c>
      <c r="C11" s="1047">
        <f>C10/4</f>
        <v>0</v>
      </c>
      <c r="D11" s="1047" t="s">
        <v>941</v>
      </c>
      <c r="E11" s="1047" t="e">
        <f>ROUND(C11/E7,4)</f>
        <v>#DIV/0!</v>
      </c>
      <c r="F11" s="1429" t="s">
        <v>942</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0"/>
      <c r="R11" s="2888">
        <v>10</v>
      </c>
      <c r="S11" s="2877"/>
      <c r="T11" s="2888" t="e">
        <f t="shared" si="0"/>
        <v>#DIV/0!</v>
      </c>
      <c r="U11" s="2877"/>
      <c r="V11" s="2888" t="e">
        <f t="shared" si="1"/>
        <v>#DIV/0!</v>
      </c>
      <c r="W11" s="3873" t="s">
        <v>2775</v>
      </c>
      <c r="X11" s="1046" t="s">
        <v>2760</v>
      </c>
      <c r="Y11" s="1635">
        <f>$G$3</f>
        <v>1.2</v>
      </c>
      <c r="Z11" s="1635">
        <f t="shared" ref="Z11:AJ11" si="3">$G$3</f>
        <v>1.2</v>
      </c>
      <c r="AA11" s="1635">
        <f t="shared" si="3"/>
        <v>1.2</v>
      </c>
      <c r="AB11" s="1635">
        <f t="shared" si="3"/>
        <v>1.2</v>
      </c>
      <c r="AC11" s="1635">
        <f t="shared" si="3"/>
        <v>1.2</v>
      </c>
      <c r="AD11" s="1635">
        <f t="shared" si="3"/>
        <v>1.2</v>
      </c>
      <c r="AE11" s="1635">
        <f t="shared" si="3"/>
        <v>1.2</v>
      </c>
      <c r="AF11" s="1635">
        <f t="shared" si="3"/>
        <v>1.2</v>
      </c>
      <c r="AG11" s="1635">
        <f t="shared" si="3"/>
        <v>1.2</v>
      </c>
      <c r="AH11" s="1635">
        <f t="shared" si="3"/>
        <v>1.2</v>
      </c>
      <c r="AI11" s="1635">
        <f t="shared" si="3"/>
        <v>1.2</v>
      </c>
      <c r="AJ11" s="1635">
        <f t="shared" si="3"/>
        <v>1.2</v>
      </c>
    </row>
    <row r="12" spans="1:39" ht="25.5" thickBot="1">
      <c r="A12" s="3884" t="s">
        <v>1868</v>
      </c>
      <c r="B12" s="1432" t="s">
        <v>943</v>
      </c>
      <c r="C12" s="1041">
        <f>ROUND(C15*D15*E15*F15*G15*H15*I15*J15,4)</f>
        <v>1</v>
      </c>
      <c r="D12" s="1433" t="s">
        <v>944</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0"/>
      <c r="R12" s="2888">
        <v>11</v>
      </c>
      <c r="S12" s="2877"/>
      <c r="T12" s="2888" t="e">
        <f t="shared" si="0"/>
        <v>#DIV/0!</v>
      </c>
      <c r="U12" s="2877"/>
      <c r="V12" s="2888" t="e">
        <f t="shared" si="1"/>
        <v>#DIV/0!</v>
      </c>
      <c r="W12" s="3873"/>
      <c r="X12" s="2885" t="s">
        <v>2776</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886"/>
      <c r="B13" s="1437" t="s">
        <v>1693</v>
      </c>
      <c r="C13" s="1438" t="s">
        <v>1694</v>
      </c>
      <c r="D13" s="1083" t="s">
        <v>1695</v>
      </c>
      <c r="E13" s="1083" t="s">
        <v>1696</v>
      </c>
      <c r="F13" s="1439" t="s">
        <v>945</v>
      </c>
      <c r="G13" s="1440" t="s">
        <v>1639</v>
      </c>
      <c r="H13" s="1441" t="s">
        <v>1639</v>
      </c>
      <c r="I13" s="1442" t="s">
        <v>1639</v>
      </c>
      <c r="J13" s="1443" t="s">
        <v>1639</v>
      </c>
      <c r="K13" s="3159"/>
      <c r="L13" s="3159"/>
      <c r="M13" s="3159"/>
      <c r="N13" s="3159"/>
      <c r="O13" s="3159"/>
      <c r="P13" s="1394"/>
      <c r="Q13" s="2170"/>
      <c r="R13" s="2888">
        <v>12</v>
      </c>
      <c r="S13" s="2877"/>
      <c r="T13" s="2888" t="e">
        <f t="shared" si="0"/>
        <v>#DIV/0!</v>
      </c>
      <c r="U13" s="2877"/>
      <c r="V13" s="2888" t="e">
        <f t="shared" si="1"/>
        <v>#DIV/0!</v>
      </c>
      <c r="W13" s="3873"/>
      <c r="X13" s="2885"/>
      <c r="Y13" s="2884">
        <f>(-0.163*(Y12^2)-0.59*Y12+7617)*(10^(-4))/Y11</f>
        <v>0.63475000000000004</v>
      </c>
      <c r="Z13" s="2884">
        <f t="shared" ref="Z13:AJ13" si="5">(-0.163*(Z12^2)-0.59*Z12+7617)*(10^(-4))/Z11</f>
        <v>0.63475000000000004</v>
      </c>
      <c r="AA13" s="2884">
        <f t="shared" si="5"/>
        <v>0.63475000000000004</v>
      </c>
      <c r="AB13" s="2884">
        <f t="shared" si="5"/>
        <v>0.63475000000000004</v>
      </c>
      <c r="AC13" s="2884">
        <f t="shared" si="5"/>
        <v>0.63475000000000004</v>
      </c>
      <c r="AD13" s="2884">
        <f t="shared" si="5"/>
        <v>0.63475000000000004</v>
      </c>
      <c r="AE13" s="2884">
        <f t="shared" si="5"/>
        <v>0.63475000000000004</v>
      </c>
      <c r="AF13" s="2884">
        <f t="shared" si="5"/>
        <v>0.63475000000000004</v>
      </c>
      <c r="AG13" s="2884">
        <f t="shared" si="5"/>
        <v>0.63475000000000004</v>
      </c>
      <c r="AH13" s="2884">
        <f t="shared" si="5"/>
        <v>0.63475000000000004</v>
      </c>
      <c r="AI13" s="2884">
        <f t="shared" si="5"/>
        <v>0.63475000000000004</v>
      </c>
      <c r="AJ13" s="2884">
        <f t="shared" si="5"/>
        <v>0.63475000000000004</v>
      </c>
    </row>
    <row r="14" spans="1:39" ht="12.75" customHeight="1">
      <c r="A14" s="3886"/>
      <c r="B14" s="1444"/>
      <c r="C14" s="1445"/>
      <c r="D14" s="1446"/>
      <c r="E14" s="1446"/>
      <c r="F14" s="1447"/>
      <c r="G14" s="1448" t="s">
        <v>946</v>
      </c>
      <c r="H14" s="1449"/>
      <c r="I14" s="1450"/>
      <c r="J14" s="1451"/>
      <c r="K14" s="3145"/>
      <c r="L14" s="3145"/>
      <c r="M14" s="3145"/>
      <c r="N14" s="3145"/>
      <c r="O14" s="3145"/>
      <c r="P14" s="1394"/>
      <c r="Q14" s="2170"/>
      <c r="R14" s="2888">
        <v>13</v>
      </c>
      <c r="S14" s="2877"/>
      <c r="T14" s="2888" t="e">
        <f t="shared" si="0"/>
        <v>#DIV/0!</v>
      </c>
      <c r="U14" s="2877"/>
      <c r="V14" s="2888" t="e">
        <f t="shared" si="1"/>
        <v>#DIV/0!</v>
      </c>
      <c r="W14" s="2170"/>
      <c r="X14" s="2170"/>
      <c r="Y14" s="2170"/>
      <c r="Z14" s="2170"/>
      <c r="AA14" s="2170"/>
      <c r="AB14" s="2170"/>
      <c r="AC14" s="2171"/>
    </row>
    <row r="15" spans="1:39" ht="13.5" customHeight="1" thickBot="1">
      <c r="A15" s="3887"/>
      <c r="B15" s="3164" t="s">
        <v>1697</v>
      </c>
      <c r="C15" s="1047">
        <f>IF(C14="有",1.1,1)</f>
        <v>1</v>
      </c>
      <c r="D15" s="1047">
        <f>IF(D14="有",1.1,1)</f>
        <v>1</v>
      </c>
      <c r="E15" s="1047">
        <f>IF(E14="有",1.1,1)</f>
        <v>1</v>
      </c>
      <c r="F15" s="1047">
        <f>IF(F14="500米范围内",1.2,IF(F14="500-1000米",1.1,1))</f>
        <v>1</v>
      </c>
      <c r="G15" s="3156">
        <v>1</v>
      </c>
      <c r="H15" s="3156">
        <v>1</v>
      </c>
      <c r="I15" s="3156">
        <v>1</v>
      </c>
      <c r="J15" s="3157">
        <v>1</v>
      </c>
      <c r="K15" s="3160"/>
      <c r="L15" s="3160"/>
      <c r="M15" s="3160"/>
      <c r="N15" s="3160"/>
      <c r="O15" s="3160"/>
      <c r="P15" s="1394"/>
      <c r="Q15" s="2170"/>
      <c r="R15" s="2888">
        <v>14</v>
      </c>
      <c r="S15" s="2877"/>
      <c r="T15" s="2888" t="e">
        <f t="shared" si="0"/>
        <v>#DIV/0!</v>
      </c>
      <c r="U15" s="2877"/>
      <c r="V15" s="2888" t="e">
        <f t="shared" si="1"/>
        <v>#DIV/0!</v>
      </c>
      <c r="W15" s="2170"/>
      <c r="X15" s="2170"/>
      <c r="Y15" s="2170"/>
      <c r="Z15" s="2170"/>
      <c r="AA15" s="2170"/>
      <c r="AB15" s="2170"/>
      <c r="AC15" s="2171"/>
    </row>
    <row r="16" spans="1:39" ht="24.6" customHeight="1">
      <c r="A16" s="3884" t="s">
        <v>1835</v>
      </c>
      <c r="B16" s="1420" t="s">
        <v>947</v>
      </c>
      <c r="C16" s="1050" t="e">
        <f>ROUND(IF(F17="与级别开发程度一致",0,(G17-E17)/C17),0)</f>
        <v>#DIV/0!</v>
      </c>
      <c r="D16" s="3881" t="s">
        <v>951</v>
      </c>
      <c r="E16" s="3882"/>
      <c r="F16" s="3881" t="s">
        <v>948</v>
      </c>
      <c r="G16" s="3882"/>
      <c r="H16" s="1452"/>
      <c r="I16" s="1452"/>
      <c r="J16" s="1452"/>
      <c r="K16" s="1452"/>
      <c r="L16" s="1452"/>
      <c r="M16" s="1452"/>
      <c r="N16" s="1452"/>
      <c r="O16" s="3169"/>
      <c r="P16" s="1394"/>
      <c r="Q16" s="2173"/>
      <c r="R16" s="2888">
        <v>15</v>
      </c>
      <c r="S16" s="2877"/>
      <c r="T16" s="2888" t="e">
        <f t="shared" si="0"/>
        <v>#DIV/0!</v>
      </c>
      <c r="U16" s="2877"/>
      <c r="V16" s="2888" t="e">
        <f t="shared" si="1"/>
        <v>#DIV/0!</v>
      </c>
      <c r="W16" s="2173"/>
      <c r="X16" s="2173"/>
      <c r="Y16" s="2173"/>
      <c r="Z16" s="2173"/>
      <c r="AA16" s="2173"/>
      <c r="AB16" s="2173"/>
      <c r="AC16" s="2174"/>
    </row>
    <row r="17" spans="1:40" ht="13.5" thickBot="1">
      <c r="A17" s="3888"/>
      <c r="B17" s="3170" t="s">
        <v>950</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3">
        <f>SUMPRODUCT((七通一平=O16)*(修正!B1:M1=G2)*(修正!B6:M14))</f>
        <v>0</v>
      </c>
      <c r="P17" s="1394"/>
      <c r="Q17" s="2173"/>
      <c r="R17" s="2174"/>
      <c r="S17" s="2174"/>
      <c r="T17" s="2174"/>
      <c r="U17" s="2174"/>
      <c r="V17" s="2174"/>
      <c r="W17" s="2173"/>
      <c r="X17" s="2173"/>
      <c r="Y17" s="2173"/>
      <c r="Z17" s="2173"/>
      <c r="AA17" s="2173"/>
      <c r="AB17" s="2173"/>
      <c r="AC17" s="2174"/>
      <c r="AH17" s="1395"/>
      <c r="AI17" s="1395"/>
      <c r="AJ17" s="1398"/>
      <c r="AK17" s="1398"/>
      <c r="AL17" s="1398"/>
      <c r="AM17" s="1398"/>
    </row>
    <row r="18" spans="1:40" s="1414" customFormat="1" ht="15.75" thickBot="1">
      <c r="A18" s="2730" t="s">
        <v>1826</v>
      </c>
      <c r="B18" s="3165" t="s">
        <v>952</v>
      </c>
      <c r="C18" s="3166">
        <f>SUMIF(修正!C18:C39,E3,修正!E18:E39)</f>
        <v>0</v>
      </c>
      <c r="D18" s="3167"/>
      <c r="E18" s="3168"/>
      <c r="F18" s="3150"/>
      <c r="G18" s="3144"/>
      <c r="H18" s="3144"/>
      <c r="I18" s="3144"/>
      <c r="J18" s="3158"/>
      <c r="K18" s="3144"/>
      <c r="L18" s="3144"/>
      <c r="M18" s="3144"/>
      <c r="N18" s="3144"/>
      <c r="O18" s="3144"/>
      <c r="P18" s="1466"/>
      <c r="Q18" s="2175"/>
      <c r="R18" s="2175"/>
      <c r="S18" s="2175"/>
      <c r="T18" s="2175"/>
      <c r="U18" s="2175"/>
      <c r="V18" s="2175"/>
      <c r="W18" s="2174"/>
      <c r="X18" s="2174"/>
      <c r="Y18" s="2174"/>
      <c r="Z18" s="2174"/>
      <c r="AA18" s="2173"/>
      <c r="AB18" s="2173"/>
      <c r="AC18" s="2176"/>
      <c r="AD18" s="1457"/>
      <c r="AE18" s="1457"/>
      <c r="AF18" s="1457"/>
      <c r="AG18" s="1457"/>
      <c r="AH18" s="1396"/>
      <c r="AI18" s="1396"/>
      <c r="AJ18" s="1397"/>
      <c r="AK18" s="1397"/>
      <c r="AL18" s="1397"/>
    </row>
    <row r="19" spans="1:40" s="1414" customFormat="1" ht="27.75" thickBot="1">
      <c r="A19" s="1622" t="s">
        <v>1832</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43764</v>
      </c>
      <c r="H19" s="1460" t="s">
        <v>2989</v>
      </c>
      <c r="I19" s="2736" t="str">
        <f>IF(H19="季度增幅（自定义）",SUMIF(N21:N24,E2,O21:O24),"")</f>
        <v/>
      </c>
      <c r="J19" s="1456"/>
      <c r="K19" s="3144"/>
      <c r="L19" s="2987" t="s">
        <v>2835</v>
      </c>
      <c r="M19" s="2988">
        <f>ROUND(SUMIF(地价!B2:F2,E2,地价!B28:F28),0)</f>
        <v>0</v>
      </c>
      <c r="N19" s="2738" t="s">
        <v>1673</v>
      </c>
      <c r="O19" s="2737">
        <f>ROUNDDOWN(DATEDIF(E19,G19,"M")/3,0)</f>
        <v>23</v>
      </c>
      <c r="P19" s="1579"/>
      <c r="Q19" s="2876"/>
      <c r="R19" s="2176"/>
      <c r="S19" s="2176"/>
      <c r="T19" s="2176"/>
      <c r="U19" s="2176"/>
      <c r="V19" s="2176"/>
      <c r="W19" s="2176"/>
      <c r="X19" s="2176"/>
      <c r="Y19" s="1396"/>
      <c r="Z19" s="1396"/>
      <c r="AA19" s="1396"/>
      <c r="AB19" s="1396"/>
      <c r="AC19" s="1457"/>
      <c r="AD19" s="1458"/>
      <c r="AE19" s="1462"/>
      <c r="AF19" s="1397"/>
      <c r="AG19" s="1413"/>
      <c r="AH19" s="1413"/>
      <c r="AI19" s="1413"/>
    </row>
    <row r="20" spans="1:40" s="1414" customFormat="1" ht="27.75" thickBot="1">
      <c r="A20" s="2730" t="s">
        <v>1833</v>
      </c>
      <c r="B20" s="2731" t="s">
        <v>968</v>
      </c>
      <c r="C20" s="2732" t="e">
        <f>ROUND(POWER(1+G20,J20-I20)*(POWER(1+G20,I20)-1)/(POWER(1+G20,J20)-1),4)</f>
        <v>#DIV/0!</v>
      </c>
      <c r="D20" s="2733" t="s">
        <v>969</v>
      </c>
      <c r="E20" s="3042">
        <f ca="1">存贷款利率!I4/100</f>
        <v>4.3499999999999997E-2</v>
      </c>
      <c r="F20" s="2733" t="s">
        <v>970</v>
      </c>
      <c r="G20" s="2734">
        <f>SUMIF(M26:P26,E2,M28:P28)</f>
        <v>0</v>
      </c>
      <c r="H20" s="2733" t="s">
        <v>971</v>
      </c>
      <c r="I20" s="2729" t="e">
        <f>SUMIF('数据-取费表'!C6:C15,E2,'数据-取费表'!F6:F15)/COUNTIF('数据-取费表'!C6:C15,E2)</f>
        <v>#DIV/0!</v>
      </c>
      <c r="J20" s="2735">
        <f>IF(E2="住宅",70,IF(E2="商业",40,50))</f>
        <v>50</v>
      </c>
      <c r="K20" s="3146"/>
      <c r="L20" s="2989" t="s">
        <v>2836</v>
      </c>
      <c r="M20" s="3153">
        <f>ROUND(SUMPRODUCT((地价!A4:A28=YEAR(G19)&amp;"-"&amp;ROUNDUP(MONTH(G19)/3,0))*(地价!B2:F2=E2)*(地价!B4:F28)),0)</f>
        <v>0</v>
      </c>
      <c r="N20" s="2741" t="s">
        <v>2639</v>
      </c>
      <c r="O20" s="2739" t="s">
        <v>2638</v>
      </c>
      <c r="P20" s="2740" t="s">
        <v>2644</v>
      </c>
      <c r="Q20" s="2876"/>
      <c r="R20" s="2176"/>
      <c r="S20" s="2176"/>
      <c r="T20" s="2176"/>
      <c r="U20" s="2176"/>
      <c r="V20" s="2176"/>
      <c r="W20" s="2176"/>
      <c r="X20" s="2176"/>
      <c r="Y20" s="1457"/>
      <c r="Z20" s="1457"/>
      <c r="AA20" s="1457"/>
      <c r="AB20" s="1457"/>
      <c r="AC20" s="1457"/>
      <c r="AD20" s="1457"/>
    </row>
    <row r="21" spans="1:40" s="1414" customFormat="1" ht="14.25">
      <c r="A21" s="1624" t="s">
        <v>1834</v>
      </c>
      <c r="B21" s="1465" t="s">
        <v>2755</v>
      </c>
      <c r="C21" s="1152">
        <f>IF(B21="容积率修正",IF(G3&lt;=10,D22,J22),C23)</f>
        <v>0</v>
      </c>
      <c r="D21" s="1466"/>
      <c r="E21" s="1466"/>
      <c r="F21" s="1466"/>
      <c r="G21" s="1466"/>
      <c r="H21" s="1466"/>
      <c r="I21" s="1466"/>
      <c r="J21" s="1467"/>
      <c r="K21" s="3144"/>
      <c r="L21" s="1466"/>
      <c r="M21" s="1466"/>
      <c r="N21" s="1463" t="s">
        <v>972</v>
      </c>
      <c r="O21" s="1526"/>
      <c r="P21" s="2728">
        <f>SUMPRODUCT((地价!A3:A28=YEAR(G19)&amp;"-"&amp;ROUNDUP(MONTH(G19)/3,0))*(地价!AD2:AH2=N21)*(地价!AD3:AH28))</f>
        <v>1.41E-2</v>
      </c>
      <c r="Q21" s="2876"/>
      <c r="R21" s="2176"/>
      <c r="S21" s="2176"/>
      <c r="T21" s="2176"/>
      <c r="U21" s="2176"/>
      <c r="V21" s="2176"/>
      <c r="W21" s="2176"/>
      <c r="X21" s="2176"/>
      <c r="Y21" s="1396"/>
      <c r="Z21" s="1396"/>
      <c r="AA21" s="1396"/>
      <c r="AB21" s="1396"/>
      <c r="AC21" s="1457"/>
      <c r="AD21" s="1457"/>
    </row>
    <row r="22" spans="1:40" s="1414" customFormat="1" ht="14.25">
      <c r="A22" s="1625" t="s">
        <v>1867</v>
      </c>
      <c r="B22" s="1468" t="s">
        <v>973</v>
      </c>
      <c r="C22" s="1054" t="s">
        <v>1699</v>
      </c>
      <c r="D22" s="1054" t="b">
        <f>IF(E22=G22,F22,IF(G3&lt;=10,ROUND(F22+(H22-F22)*(G3-E22)/(G22-E22),4),"——"))</f>
        <v>0</v>
      </c>
      <c r="E22" s="1037">
        <f>ROUNDDOWN(G3,1)</f>
        <v>1.2</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47"/>
      <c r="L22" s="1466"/>
      <c r="M22" s="1466"/>
      <c r="N22" s="1463" t="s">
        <v>975</v>
      </c>
      <c r="O22" s="1526"/>
      <c r="P22" s="2728">
        <f>SUMPRODUCT((地价!A3:A28=YEAR(G19)&amp;"-"&amp;ROUNDUP(MONTH(G19)/3,0))*(地价!AD2:AH2=N22)*(地价!AD3:AH28))</f>
        <v>1.41E-2</v>
      </c>
      <c r="Q22" s="2876"/>
      <c r="R22" s="2176"/>
      <c r="S22" s="2176"/>
      <c r="T22" s="2176"/>
      <c r="U22" s="2176"/>
      <c r="V22" s="2176"/>
      <c r="W22" s="2176"/>
      <c r="X22" s="2176"/>
      <c r="Y22" s="1457"/>
      <c r="Z22" s="1457"/>
      <c r="AA22" s="1457"/>
      <c r="AB22" s="1457"/>
      <c r="AC22" s="1457"/>
      <c r="AD22" s="1457"/>
    </row>
    <row r="23" spans="1:40" ht="15.75" thickBot="1">
      <c r="A23" s="1625" t="s">
        <v>1868</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48"/>
      <c r="L23" s="1394"/>
      <c r="M23" s="1394"/>
      <c r="N23" s="1463" t="s">
        <v>920</v>
      </c>
      <c r="O23" s="1526"/>
      <c r="P23" s="2728">
        <f>SUMPRODUCT((地价!A3:A28=YEAR(G19)&amp;"-"&amp;ROUNDUP(MONTH(G19)/3,0))*(地价!AD2:AH2=N23)*(地价!AD3:AH28))</f>
        <v>2.1600000000000001E-2</v>
      </c>
      <c r="Q23" s="2876"/>
      <c r="R23" s="2176"/>
      <c r="S23" s="2176"/>
      <c r="T23" s="2176"/>
      <c r="U23" s="2176"/>
      <c r="V23" s="2176"/>
      <c r="W23" s="2176"/>
      <c r="X23" s="2176"/>
      <c r="Y23" s="1396"/>
      <c r="Z23" s="1396"/>
      <c r="AA23" s="1396"/>
      <c r="AB23" s="1396"/>
      <c r="AC23" s="1396"/>
      <c r="AE23" s="1397"/>
      <c r="AF23" s="1397"/>
      <c r="AG23" s="1397"/>
      <c r="AH23" s="1397"/>
      <c r="AI23" s="1397"/>
      <c r="AJ23" s="1398"/>
      <c r="AK23" s="1398"/>
      <c r="AL23" s="1398"/>
      <c r="AM23" s="1398"/>
    </row>
    <row r="24" spans="1:40" s="1414" customFormat="1" ht="15.75" thickBot="1">
      <c r="A24" s="1623" t="s">
        <v>1869</v>
      </c>
      <c r="B24" s="1408" t="s">
        <v>977</v>
      </c>
      <c r="C24" s="1056">
        <f>SUMIF(A44:A87,E2,B44:B87)</f>
        <v>0</v>
      </c>
      <c r="D24" s="1519"/>
      <c r="E24" s="1520"/>
      <c r="F24" s="1520"/>
      <c r="G24" s="1520"/>
      <c r="H24" s="1520"/>
      <c r="I24" s="1520"/>
      <c r="J24" s="1520"/>
      <c r="K24" s="3148"/>
      <c r="L24" s="1466"/>
      <c r="M24" s="1466"/>
      <c r="N24" s="1463" t="s">
        <v>978</v>
      </c>
      <c r="O24" s="3152"/>
      <c r="P24" s="2728">
        <f>SUMPRODUCT((地价!A3:A28=YEAR(G19)&amp;"-"&amp;ROUNDUP(MONTH(G19)/3,0))*(地价!AD2:AH2=N24)*(地价!AD3:AH28))</f>
        <v>1.38E-2</v>
      </c>
      <c r="Q24" s="2876"/>
      <c r="R24" s="2176"/>
      <c r="S24" s="2176"/>
      <c r="T24" s="2176"/>
      <c r="U24" s="2176"/>
      <c r="V24" s="2176"/>
      <c r="W24" s="2176"/>
      <c r="X24" s="2176"/>
      <c r="Y24" s="1457"/>
      <c r="Z24" s="1457"/>
      <c r="AA24" s="1457"/>
      <c r="AB24" s="1457"/>
      <c r="AC24" s="1457"/>
      <c r="AD24" s="1457"/>
    </row>
    <row r="25" spans="1:40" ht="15" thickBot="1">
      <c r="A25" s="1623" t="s">
        <v>1870</v>
      </c>
      <c r="B25" s="1470" t="s">
        <v>979</v>
      </c>
      <c r="C25" s="1471"/>
      <c r="D25" s="1423"/>
      <c r="E25" s="1423"/>
      <c r="F25" s="1472"/>
      <c r="G25" s="1423"/>
      <c r="H25" s="1423"/>
      <c r="I25" s="1423"/>
      <c r="J25" s="1424"/>
      <c r="K25" s="1449"/>
      <c r="L25" s="2176"/>
      <c r="M25" s="2176"/>
      <c r="N25" s="3154" t="s">
        <v>2642</v>
      </c>
      <c r="O25" s="3155"/>
      <c r="P25" s="2407">
        <f>SUMPRODUCT((地价!A3:A28=YEAR(G19)&amp;"-"&amp;ROUNDUP(MONTH(G19)/3,0))*(地价!AD2:AH2=N25)*(地价!AD3:AH28))</f>
        <v>1.9800000000000002E-2</v>
      </c>
      <c r="Q25" s="2876"/>
      <c r="R25" s="2176"/>
      <c r="S25" s="2176"/>
      <c r="T25" s="2176"/>
      <c r="U25" s="2176"/>
      <c r="V25" s="2176"/>
      <c r="W25" s="2176"/>
      <c r="X25" s="2176"/>
      <c r="Y25" s="1396"/>
      <c r="Z25" s="1396"/>
      <c r="AA25" s="1396"/>
      <c r="AB25" s="1396"/>
      <c r="AC25" s="1396"/>
      <c r="AE25" s="1397"/>
      <c r="AF25" s="1397"/>
      <c r="AG25" s="1397"/>
      <c r="AH25" s="1397"/>
      <c r="AI25" s="1398"/>
      <c r="AJ25" s="1398"/>
      <c r="AK25" s="1398"/>
      <c r="AL25" s="1398"/>
      <c r="AM25" s="1398"/>
    </row>
    <row r="26" spans="1:40" ht="14.25">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6"/>
      <c r="R26" s="2176"/>
      <c r="S26" s="2176"/>
      <c r="T26" s="2176"/>
      <c r="U26" s="2176"/>
      <c r="V26" s="2176"/>
      <c r="W26" s="2176"/>
      <c r="X26" s="2176"/>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6"/>
      <c r="R27" s="2876"/>
      <c r="S27" s="2876"/>
      <c r="T27" s="2876"/>
      <c r="U27" s="2876"/>
      <c r="V27" s="2876"/>
      <c r="W27" s="2176"/>
      <c r="X27" s="2176"/>
      <c r="Y27" s="2176"/>
      <c r="Z27" s="2176"/>
      <c r="AA27" s="2176"/>
      <c r="AB27" s="2176"/>
      <c r="AC27" s="2176"/>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6"/>
      <c r="R28" s="2876"/>
      <c r="S28" s="2876"/>
      <c r="T28" s="2876"/>
      <c r="U28" s="2876"/>
      <c r="V28" s="2876"/>
      <c r="W28" s="2176"/>
      <c r="X28" s="2176"/>
      <c r="Y28" s="2176"/>
      <c r="Z28" s="2176"/>
      <c r="AA28" s="2176"/>
      <c r="AB28" s="2176"/>
      <c r="AC28" s="2176"/>
      <c r="AD28" s="1457"/>
      <c r="AE28" s="1457"/>
      <c r="AF28" s="1457"/>
      <c r="AG28" s="1457"/>
    </row>
    <row r="29" spans="1:40" ht="14.25">
      <c r="A29" s="1486"/>
      <c r="B29" s="1487" t="s">
        <v>990</v>
      </c>
      <c r="C29" s="1057" t="e">
        <f>ROUND(C5*C18*C19*C20*C21*C24,0)</f>
        <v>#DIV/0!</v>
      </c>
      <c r="D29" s="1488"/>
      <c r="E29" s="1831" t="e">
        <f>ROUND(C29*D29/10000,0)</f>
        <v>#DIV/0!</v>
      </c>
      <c r="F29" s="1489" t="s">
        <v>1698</v>
      </c>
      <c r="G29" s="1490"/>
      <c r="H29" s="1490"/>
      <c r="I29" s="1490"/>
      <c r="J29" s="1491"/>
      <c r="K29" s="3149"/>
      <c r="L29" s="3149"/>
      <c r="M29" s="3149"/>
      <c r="N29" s="3149"/>
      <c r="O29" s="3149"/>
      <c r="P29" s="1394"/>
      <c r="Q29" s="2176"/>
      <c r="R29" s="2176"/>
      <c r="S29" s="2176"/>
      <c r="T29" s="2176"/>
      <c r="U29" s="2176"/>
      <c r="V29" s="2176"/>
      <c r="W29" s="2876"/>
      <c r="X29" s="2876"/>
      <c r="Y29" s="2876"/>
      <c r="Z29" s="2876"/>
      <c r="AA29" s="2876"/>
      <c r="AB29" s="2176"/>
      <c r="AC29" s="2176"/>
      <c r="AD29" s="2176"/>
      <c r="AE29" s="2176"/>
      <c r="AF29" s="2176"/>
      <c r="AG29" s="2176"/>
      <c r="AH29" s="2176"/>
      <c r="AJ29" s="1396"/>
      <c r="AK29" s="1396"/>
      <c r="AL29" s="1396"/>
      <c r="AM29" s="1395"/>
      <c r="AN29" s="1395"/>
    </row>
    <row r="30" spans="1:40" ht="24.75"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0"/>
      <c r="R30" s="2170"/>
      <c r="S30" s="2170"/>
      <c r="T30" s="2170"/>
      <c r="U30" s="2170"/>
      <c r="V30" s="2170"/>
      <c r="W30" s="2171"/>
      <c r="X30" s="2171"/>
      <c r="Y30" s="2171"/>
      <c r="Z30" s="2171"/>
      <c r="AA30" s="2171"/>
      <c r="AB30" s="2170"/>
      <c r="AC30" s="2170"/>
      <c r="AD30" s="2170"/>
      <c r="AE30" s="2170"/>
      <c r="AF30" s="2170"/>
      <c r="AG30" s="2170"/>
      <c r="AH30" s="2170"/>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0"/>
      <c r="R31" s="2170"/>
      <c r="S31" s="2170"/>
      <c r="T31" s="2170"/>
      <c r="U31" s="2170"/>
      <c r="V31" s="2170"/>
      <c r="W31" s="2171"/>
      <c r="X31" s="2171"/>
      <c r="Y31" s="2171"/>
      <c r="Z31" s="2171"/>
      <c r="AA31" s="2171"/>
      <c r="AB31" s="2170"/>
      <c r="AC31" s="2170"/>
      <c r="AD31" s="2170"/>
      <c r="AE31" s="2170"/>
      <c r="AF31" s="2170"/>
      <c r="AG31" s="2170"/>
      <c r="AH31" s="2170"/>
      <c r="AJ31" s="1396"/>
      <c r="AK31" s="1396"/>
      <c r="AL31" s="1396"/>
      <c r="AM31" s="1395"/>
      <c r="AN31" s="1395"/>
    </row>
    <row r="32" spans="1:40" ht="24">
      <c r="A32" s="1486"/>
      <c r="B32" s="1502"/>
      <c r="C32" s="1503" t="s">
        <v>987</v>
      </c>
      <c r="D32" s="1504" t="s">
        <v>988</v>
      </c>
      <c r="E32" s="1504" t="s">
        <v>989</v>
      </c>
      <c r="F32" s="1505" t="s">
        <v>995</v>
      </c>
      <c r="G32" s="1464" t="s">
        <v>987</v>
      </c>
      <c r="H32" s="1464" t="s">
        <v>988</v>
      </c>
      <c r="I32" s="1464" t="s">
        <v>989</v>
      </c>
      <c r="J32" s="1506"/>
      <c r="K32" s="3150"/>
      <c r="L32" s="3150"/>
      <c r="M32" s="3150"/>
      <c r="N32" s="3150"/>
      <c r="O32" s="3150"/>
      <c r="P32" s="1394"/>
      <c r="Q32" s="2170"/>
      <c r="R32" s="2170"/>
      <c r="S32" s="2170"/>
      <c r="T32" s="2170"/>
      <c r="U32" s="2170"/>
      <c r="V32" s="2170"/>
      <c r="W32" s="2171"/>
      <c r="X32" s="2171"/>
      <c r="Y32" s="2171"/>
      <c r="Z32" s="2171"/>
      <c r="AA32" s="2171"/>
      <c r="AB32" s="2170"/>
      <c r="AC32" s="2170"/>
      <c r="AD32" s="2170"/>
      <c r="AE32" s="2170"/>
      <c r="AF32" s="2170"/>
      <c r="AG32" s="2170"/>
      <c r="AH32" s="2170"/>
      <c r="AI32" s="1395"/>
      <c r="AJ32" s="1395"/>
      <c r="AK32" s="1395"/>
      <c r="AL32" s="1395"/>
      <c r="AM32" s="1395"/>
      <c r="AN32" s="1395"/>
    </row>
    <row r="33" spans="1:44" ht="12.75">
      <c r="A33" s="3891" t="s">
        <v>2955</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1"/>
      <c r="L33" s="3151"/>
      <c r="M33" s="3151"/>
      <c r="N33" s="3151"/>
      <c r="O33" s="3151"/>
      <c r="P33" s="1394"/>
      <c r="Q33" s="2170"/>
      <c r="R33" s="2170"/>
      <c r="S33" s="2170"/>
      <c r="T33" s="2170"/>
      <c r="U33" s="2170"/>
      <c r="V33" s="2170"/>
      <c r="W33" s="2171"/>
      <c r="X33" s="2171"/>
      <c r="Y33" s="2171"/>
      <c r="Z33" s="2171"/>
      <c r="AA33" s="2171"/>
      <c r="AB33" s="2170"/>
      <c r="AC33" s="2170"/>
      <c r="AD33" s="2170"/>
      <c r="AE33" s="2170"/>
      <c r="AF33" s="2170"/>
      <c r="AG33" s="2170"/>
      <c r="AH33" s="2171"/>
      <c r="AJ33" s="1396"/>
      <c r="AK33" s="1396"/>
      <c r="AL33" s="1396"/>
      <c r="AM33" s="1396"/>
      <c r="AN33" s="1396"/>
      <c r="AO33" s="1397"/>
      <c r="AP33" s="1397"/>
      <c r="AQ33" s="1397"/>
      <c r="AR33" s="1397"/>
    </row>
    <row r="34" spans="1:44" ht="12.75">
      <c r="A34" s="3892"/>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1"/>
      <c r="L34" s="3151"/>
      <c r="M34" s="3151"/>
      <c r="N34" s="3151"/>
      <c r="O34" s="3151"/>
      <c r="P34" s="1394"/>
      <c r="Q34" s="2170"/>
      <c r="R34" s="2170"/>
      <c r="S34" s="2170"/>
      <c r="T34" s="2170"/>
      <c r="U34" s="2170"/>
      <c r="V34" s="2170"/>
      <c r="W34" s="2171"/>
      <c r="X34" s="2171"/>
      <c r="Y34" s="2171"/>
      <c r="Z34" s="2171"/>
      <c r="AA34" s="2171"/>
      <c r="AB34" s="2170"/>
      <c r="AC34" s="2170"/>
      <c r="AD34" s="2170"/>
      <c r="AE34" s="2170"/>
      <c r="AF34" s="2170"/>
      <c r="AG34" s="2170"/>
      <c r="AH34" s="2171"/>
      <c r="AJ34" s="1396"/>
      <c r="AK34" s="1396"/>
      <c r="AL34" s="1396"/>
      <c r="AM34" s="1396"/>
      <c r="AN34" s="1396"/>
      <c r="AO34" s="1397"/>
      <c r="AP34" s="1397"/>
      <c r="AQ34" s="1397"/>
      <c r="AR34" s="1397"/>
    </row>
    <row r="35" spans="1:44" ht="12.75">
      <c r="A35" s="3892"/>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1"/>
      <c r="L35" s="3151"/>
      <c r="M35" s="3151"/>
      <c r="N35" s="3151"/>
      <c r="O35" s="3151"/>
      <c r="P35" s="1394"/>
      <c r="Q35" s="2170"/>
      <c r="R35" s="2170"/>
      <c r="S35" s="2170"/>
      <c r="T35" s="2170"/>
      <c r="U35" s="2170"/>
      <c r="V35" s="2170"/>
      <c r="W35" s="2171"/>
      <c r="X35" s="2171"/>
      <c r="Y35" s="2171"/>
      <c r="Z35" s="2171"/>
      <c r="AA35" s="2171"/>
      <c r="AB35" s="2170"/>
      <c r="AC35" s="2170"/>
      <c r="AD35" s="2170"/>
      <c r="AE35" s="2170"/>
      <c r="AF35" s="2170"/>
      <c r="AG35" s="2170"/>
      <c r="AH35" s="2171"/>
      <c r="AJ35" s="1396"/>
      <c r="AK35" s="1396"/>
      <c r="AL35" s="1396"/>
      <c r="AM35" s="1396"/>
      <c r="AN35" s="1396"/>
      <c r="AO35" s="1397"/>
      <c r="AP35" s="1397"/>
      <c r="AQ35" s="1397"/>
      <c r="AR35" s="1397"/>
    </row>
    <row r="36" spans="1:44" ht="13.5" thickBot="1">
      <c r="A36" s="3893"/>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1"/>
      <c r="L36" s="3151"/>
      <c r="M36" s="3151"/>
      <c r="N36" s="3151"/>
      <c r="O36" s="3151"/>
      <c r="P36" s="1394"/>
      <c r="Q36" s="2170"/>
      <c r="R36" s="2170"/>
      <c r="S36" s="2170"/>
      <c r="T36" s="2170"/>
      <c r="U36" s="2170"/>
      <c r="V36" s="2170"/>
      <c r="W36" s="2171"/>
      <c r="X36" s="2171"/>
      <c r="Y36" s="2171"/>
      <c r="Z36" s="2171"/>
      <c r="AA36" s="2171"/>
      <c r="AB36" s="2170"/>
      <c r="AC36" s="2170"/>
      <c r="AD36" s="2170"/>
      <c r="AE36" s="2170"/>
      <c r="AF36" s="2170"/>
      <c r="AG36" s="2170"/>
      <c r="AH36" s="2171"/>
      <c r="AJ36" s="1396"/>
      <c r="AK36" s="1396"/>
      <c r="AL36" s="1396"/>
      <c r="AM36" s="1396"/>
      <c r="AN36" s="1396"/>
      <c r="AO36" s="1397"/>
      <c r="AP36" s="1397"/>
      <c r="AQ36" s="1397"/>
      <c r="AR36" s="1397"/>
    </row>
    <row r="37" spans="1:44" ht="12.75">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1700</v>
      </c>
      <c r="M37" s="1528"/>
      <c r="N37" s="2170"/>
      <c r="O37" s="2170"/>
      <c r="P37" s="2170"/>
      <c r="Q37" s="2170"/>
      <c r="R37" s="2171"/>
      <c r="S37" s="2171"/>
      <c r="T37" s="2171"/>
      <c r="U37" s="2171"/>
      <c r="V37" s="2171"/>
      <c r="W37" s="2170"/>
      <c r="X37" s="2170"/>
      <c r="Y37" s="2170"/>
      <c r="Z37" s="2170"/>
      <c r="AA37" s="2170"/>
      <c r="AB37" s="2170"/>
      <c r="AC37" s="2171"/>
    </row>
    <row r="38" spans="1:44" ht="12.75">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1702</v>
      </c>
      <c r="M38" s="1530">
        <v>0.25</v>
      </c>
      <c r="N38" s="2170"/>
      <c r="O38" s="2170"/>
      <c r="P38" s="2170"/>
      <c r="Q38" s="2170"/>
      <c r="R38" s="2171"/>
      <c r="S38" s="2171"/>
      <c r="T38" s="2171"/>
      <c r="U38" s="2171"/>
      <c r="V38" s="2171"/>
      <c r="W38" s="2170"/>
      <c r="X38" s="2170"/>
      <c r="Y38" s="2170"/>
      <c r="Z38" s="2170"/>
      <c r="AA38" s="2170"/>
      <c r="AB38" s="2170"/>
      <c r="AC38" s="2171"/>
    </row>
    <row r="39" spans="1:44" ht="13.5"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1701</v>
      </c>
      <c r="M39" s="1532">
        <v>0.15</v>
      </c>
      <c r="N39" s="2170"/>
      <c r="O39" s="2170"/>
      <c r="P39" s="2170"/>
      <c r="Q39" s="2170"/>
      <c r="R39" s="2171"/>
      <c r="S39" s="2171"/>
      <c r="T39" s="2171"/>
      <c r="U39" s="2171"/>
      <c r="V39" s="2171"/>
      <c r="W39" s="2170"/>
      <c r="X39" s="2170"/>
      <c r="Y39" s="2170"/>
      <c r="Z39" s="2170"/>
      <c r="AA39" s="2170"/>
      <c r="AB39" s="2170"/>
      <c r="AC39" s="2171"/>
    </row>
    <row r="40" spans="1:44" s="1395"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6"/>
      <c r="AE40" s="1396"/>
      <c r="AF40" s="1396"/>
      <c r="AG40" s="1396"/>
      <c r="AH40" s="1396"/>
      <c r="AI40" s="1396"/>
      <c r="AJ40" s="1396"/>
      <c r="AK40" s="1396"/>
      <c r="AL40" s="1396"/>
      <c r="AM40" s="1396"/>
    </row>
    <row r="41" spans="1:44" s="1395" customFormat="1" ht="12.75">
      <c r="A41" s="1396"/>
      <c r="B41" s="3142" t="s">
        <v>2982</v>
      </c>
      <c r="C41" s="837" t="e">
        <f>ROUND(POWER(1+E41,H41-G41)*(POWER(1+E41,G41)-1)/(POWER(1+E41,H41)-1),4)</f>
        <v>#DIV/0!</v>
      </c>
      <c r="D41" s="376" t="s">
        <v>2980</v>
      </c>
      <c r="E41" s="3141">
        <f>G20</f>
        <v>0</v>
      </c>
      <c r="F41" s="376" t="s">
        <v>2981</v>
      </c>
      <c r="G41" s="394"/>
      <c r="H41" s="376">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6"/>
      <c r="AE41" s="1396"/>
      <c r="AF41" s="1396"/>
      <c r="AG41" s="1396"/>
      <c r="AH41" s="1396"/>
      <c r="AI41" s="1396"/>
      <c r="AJ41" s="1396"/>
      <c r="AK41" s="1396"/>
      <c r="AL41" s="1396"/>
      <c r="AM41" s="1396"/>
    </row>
    <row r="42" spans="1:44" s="1395" customFormat="1">
      <c r="A42" s="1396"/>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6"/>
      <c r="AE42" s="1396"/>
      <c r="AF42" s="1396"/>
      <c r="AG42" s="1396"/>
      <c r="AH42" s="1396"/>
      <c r="AI42" s="1396"/>
      <c r="AJ42" s="1396"/>
      <c r="AK42" s="1396"/>
      <c r="AL42" s="1396"/>
      <c r="AM42" s="1396"/>
    </row>
    <row r="43" spans="1:44" s="1395" customFormat="1">
      <c r="A43" s="1396"/>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6"/>
      <c r="AE43" s="1396"/>
      <c r="AF43" s="1396"/>
      <c r="AG43" s="1396"/>
      <c r="AH43" s="1396"/>
      <c r="AI43" s="1396"/>
      <c r="AJ43" s="1396"/>
      <c r="AK43" s="1396"/>
      <c r="AL43" s="1396"/>
      <c r="AM43" s="1396"/>
    </row>
    <row r="44" spans="1:44" s="1395" customFormat="1" ht="15" thickBot="1">
      <c r="A44" s="2379" t="s">
        <v>1003</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6"/>
      <c r="AE44" s="1396"/>
      <c r="AF44" s="1396"/>
      <c r="AG44" s="1396"/>
      <c r="AH44" s="1396"/>
      <c r="AI44" s="1396"/>
      <c r="AJ44" s="1396"/>
      <c r="AK44" s="1396"/>
      <c r="AL44" s="1396"/>
      <c r="AM44" s="1396"/>
    </row>
    <row r="45" spans="1:44" s="1395" customFormat="1" ht="15">
      <c r="A45" s="2384" t="s">
        <v>1004</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6"/>
      <c r="AE45" s="1396"/>
      <c r="AF45" s="1396"/>
      <c r="AG45" s="1396"/>
      <c r="AH45" s="1396"/>
      <c r="AI45" s="1396"/>
      <c r="AJ45" s="1396"/>
      <c r="AK45" s="1396"/>
      <c r="AL45" s="1396"/>
      <c r="AM45" s="1396"/>
    </row>
    <row r="46" spans="1:44" s="1395" customFormat="1" ht="24">
      <c r="A46" s="1061" t="s">
        <v>1005</v>
      </c>
      <c r="B46" s="2368" t="s">
        <v>1006</v>
      </c>
      <c r="C46" s="2390" t="s">
        <v>1007</v>
      </c>
      <c r="D46" s="2391" t="s">
        <v>1008</v>
      </c>
      <c r="E46" s="2392" t="s">
        <v>1010</v>
      </c>
      <c r="F46" s="2393" t="s">
        <v>2247</v>
      </c>
      <c r="G46" s="2391" t="s">
        <v>1011</v>
      </c>
      <c r="H46" s="2374" t="s">
        <v>2413</v>
      </c>
      <c r="I46" s="2391" t="s">
        <v>1009</v>
      </c>
      <c r="J46" s="2394" t="s">
        <v>1012</v>
      </c>
      <c r="K46" s="2394" t="s">
        <v>1013</v>
      </c>
      <c r="L46" s="2394" t="s">
        <v>1014</v>
      </c>
      <c r="M46" s="2394" t="s">
        <v>1015</v>
      </c>
      <c r="N46" s="2394" t="s">
        <v>1016</v>
      </c>
      <c r="P46" s="2177"/>
      <c r="Q46" s="2177"/>
      <c r="R46" s="2178"/>
      <c r="S46" s="2178"/>
      <c r="T46" s="2178"/>
      <c r="U46" s="2178"/>
      <c r="V46" s="2178"/>
      <c r="W46" s="2177"/>
      <c r="X46" s="2177"/>
      <c r="Y46" s="2177"/>
      <c r="Z46" s="2177"/>
      <c r="AA46" s="2177"/>
      <c r="AB46" s="2177"/>
      <c r="AC46" s="2177"/>
      <c r="AD46" s="2178"/>
      <c r="AE46" s="1396"/>
      <c r="AF46" s="1396"/>
      <c r="AG46" s="1396"/>
      <c r="AH46" s="1396"/>
      <c r="AI46" s="1396"/>
      <c r="AJ46" s="1396"/>
      <c r="AK46" s="1396"/>
      <c r="AL46" s="1396"/>
      <c r="AM46" s="1396"/>
      <c r="AN46" s="1396"/>
    </row>
    <row r="47" spans="1:44" s="1395" customFormat="1" ht="36">
      <c r="A47" s="1061" t="s">
        <v>1017</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6"/>
      <c r="AF47" s="1396"/>
      <c r="AG47" s="1396"/>
      <c r="AH47" s="1396"/>
      <c r="AI47" s="1396"/>
      <c r="AJ47" s="1396"/>
      <c r="AK47" s="1396"/>
      <c r="AL47" s="1396"/>
      <c r="AM47" s="1396"/>
      <c r="AN47" s="1396"/>
    </row>
    <row r="48" spans="1:44" s="1395" customFormat="1" ht="48">
      <c r="A48" s="1061" t="s">
        <v>1018</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6"/>
      <c r="AF48" s="1396"/>
      <c r="AG48" s="1396"/>
      <c r="AH48" s="1396"/>
      <c r="AI48" s="1396"/>
      <c r="AJ48" s="1396"/>
      <c r="AK48" s="1396"/>
      <c r="AL48" s="1396"/>
      <c r="AM48" s="1396"/>
      <c r="AN48" s="1396"/>
    </row>
    <row r="49" spans="1:40" s="1395" customFormat="1" ht="24">
      <c r="A49" s="1061" t="s">
        <v>1019</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6"/>
      <c r="AF49" s="1396"/>
      <c r="AG49" s="1396"/>
      <c r="AH49" s="1396"/>
      <c r="AI49" s="1396"/>
      <c r="AJ49" s="1396"/>
      <c r="AK49" s="1396"/>
      <c r="AL49" s="1396"/>
      <c r="AM49" s="1396"/>
      <c r="AN49" s="1396"/>
    </row>
    <row r="50" spans="1:40" s="1395" customFormat="1" ht="36">
      <c r="A50" s="1061" t="s">
        <v>1020</v>
      </c>
      <c r="B50" s="3044" t="s">
        <v>2932</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6"/>
      <c r="AF50" s="1396"/>
      <c r="AG50" s="1396"/>
      <c r="AH50" s="1396"/>
      <c r="AI50" s="1396"/>
      <c r="AJ50" s="1396"/>
      <c r="AK50" s="1396"/>
      <c r="AL50" s="1396"/>
      <c r="AM50" s="1396"/>
      <c r="AN50" s="1396"/>
    </row>
    <row r="51" spans="1:40" s="1395" customFormat="1" ht="24">
      <c r="A51" s="1061" t="s">
        <v>1021</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6"/>
      <c r="AF51" s="1396"/>
      <c r="AG51" s="1396"/>
      <c r="AH51" s="1396"/>
      <c r="AI51" s="1396"/>
      <c r="AJ51" s="1396"/>
      <c r="AK51" s="1396"/>
      <c r="AL51" s="1396"/>
      <c r="AM51" s="1396"/>
      <c r="AN51" s="1396"/>
    </row>
    <row r="52" spans="1:40" s="1395" customFormat="1" ht="24">
      <c r="A52" s="1061" t="s">
        <v>1022</v>
      </c>
      <c r="B52" s="3043" t="s">
        <v>2931</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6"/>
      <c r="AF52" s="1396"/>
      <c r="AG52" s="1396"/>
      <c r="AH52" s="1396"/>
      <c r="AI52" s="1396"/>
      <c r="AJ52" s="1396"/>
      <c r="AK52" s="1396"/>
      <c r="AL52" s="1396"/>
      <c r="AM52" s="1396"/>
      <c r="AN52" s="1396"/>
    </row>
    <row r="53" spans="1:40" s="1395" customFormat="1" ht="24">
      <c r="A53" s="2400" t="s">
        <v>1023</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6"/>
      <c r="AF53" s="1396"/>
      <c r="AG53" s="1396"/>
      <c r="AH53" s="1396"/>
      <c r="AI53" s="1396"/>
      <c r="AJ53" s="1396"/>
      <c r="AK53" s="1396"/>
      <c r="AL53" s="1396"/>
      <c r="AM53" s="1396"/>
      <c r="AN53" s="1396"/>
    </row>
    <row r="54" spans="1:40" s="1395" customFormat="1" ht="24">
      <c r="A54" s="2400" t="s">
        <v>1024</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6"/>
      <c r="AF54" s="1396"/>
      <c r="AG54" s="1396"/>
      <c r="AH54" s="1396"/>
      <c r="AI54" s="1396"/>
      <c r="AJ54" s="1396"/>
      <c r="AK54" s="1396"/>
      <c r="AL54" s="1396"/>
      <c r="AM54" s="1396"/>
      <c r="AN54" s="1396"/>
    </row>
    <row r="55" spans="1:40" s="1395" customFormat="1" ht="24.75" thickBot="1">
      <c r="A55" s="2401" t="s">
        <v>1025</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6"/>
      <c r="AF55" s="1396"/>
      <c r="AG55" s="1396"/>
      <c r="AH55" s="1396"/>
      <c r="AI55" s="1396"/>
      <c r="AJ55" s="1396"/>
      <c r="AK55" s="1396"/>
      <c r="AL55" s="1396"/>
      <c r="AM55" s="1396"/>
      <c r="AN55" s="1396"/>
    </row>
    <row r="56" spans="1:40" s="1395" customFormat="1" ht="15">
      <c r="A56" s="2384" t="s">
        <v>1026</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6"/>
      <c r="AF56" s="1396"/>
      <c r="AG56" s="1396"/>
      <c r="AH56" s="1396"/>
      <c r="AI56" s="1396"/>
      <c r="AJ56" s="1396"/>
      <c r="AK56" s="1396"/>
      <c r="AL56" s="1396"/>
      <c r="AM56" s="1396"/>
      <c r="AN56" s="1396"/>
    </row>
    <row r="57" spans="1:40" s="1395" customFormat="1" ht="24">
      <c r="A57" s="1061" t="s">
        <v>1005</v>
      </c>
      <c r="B57" s="2368"/>
      <c r="C57" s="2390" t="s">
        <v>1007</v>
      </c>
      <c r="D57" s="2391" t="s">
        <v>1008</v>
      </c>
      <c r="E57" s="2392" t="s">
        <v>1010</v>
      </c>
      <c r="F57" s="2393" t="s">
        <v>2248</v>
      </c>
      <c r="G57" s="2391" t="s">
        <v>1011</v>
      </c>
      <c r="H57" s="2374" t="s">
        <v>2413</v>
      </c>
      <c r="I57" s="2391" t="s">
        <v>1009</v>
      </c>
      <c r="J57" s="2394" t="s">
        <v>1012</v>
      </c>
      <c r="K57" s="2394" t="s">
        <v>1013</v>
      </c>
      <c r="L57" s="2394" t="s">
        <v>1014</v>
      </c>
      <c r="M57" s="2394" t="s">
        <v>1015</v>
      </c>
      <c r="N57" s="2394" t="s">
        <v>1016</v>
      </c>
      <c r="P57" s="2177"/>
      <c r="Q57" s="2177"/>
      <c r="R57" s="2178"/>
      <c r="S57" s="2178"/>
      <c r="T57" s="2178"/>
      <c r="U57" s="2178"/>
      <c r="V57" s="2178"/>
      <c r="W57" s="2177"/>
      <c r="X57" s="2177"/>
      <c r="Y57" s="2177"/>
      <c r="Z57" s="2177"/>
      <c r="AA57" s="2177"/>
      <c r="AB57" s="2177"/>
      <c r="AC57" s="2177"/>
      <c r="AD57" s="2178"/>
      <c r="AE57" s="1396"/>
      <c r="AF57" s="1396"/>
      <c r="AG57" s="1396"/>
      <c r="AH57" s="1396"/>
      <c r="AI57" s="1396"/>
      <c r="AJ57" s="1396"/>
      <c r="AK57" s="1396"/>
      <c r="AL57" s="1396"/>
      <c r="AM57" s="1396"/>
      <c r="AN57" s="1396"/>
    </row>
    <row r="58" spans="1:40" s="1395" customFormat="1" ht="36">
      <c r="A58" s="1061" t="s">
        <v>1027</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6"/>
      <c r="AF58" s="1396"/>
      <c r="AG58" s="1396"/>
      <c r="AH58" s="1396"/>
      <c r="AI58" s="1396"/>
      <c r="AJ58" s="1396"/>
      <c r="AK58" s="1396"/>
      <c r="AL58" s="1396"/>
      <c r="AM58" s="1396"/>
      <c r="AN58" s="1396"/>
    </row>
    <row r="59" spans="1:40" s="1395" customFormat="1" ht="48">
      <c r="A59" s="1061" t="s">
        <v>1018</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6"/>
      <c r="AF59" s="1396"/>
      <c r="AG59" s="1396"/>
      <c r="AH59" s="1396"/>
      <c r="AI59" s="1396"/>
      <c r="AJ59" s="1396"/>
      <c r="AK59" s="1396"/>
      <c r="AL59" s="1396"/>
      <c r="AM59" s="1396"/>
      <c r="AN59" s="1396"/>
    </row>
    <row r="60" spans="1:40" s="1395" customFormat="1" ht="24">
      <c r="A60" s="1061" t="s">
        <v>1019</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6"/>
      <c r="AF60" s="1396"/>
      <c r="AG60" s="1396"/>
      <c r="AH60" s="1396"/>
      <c r="AI60" s="1396"/>
      <c r="AJ60" s="1396"/>
      <c r="AK60" s="1396"/>
      <c r="AL60" s="1396"/>
      <c r="AM60" s="1396"/>
      <c r="AN60" s="1396"/>
    </row>
    <row r="61" spans="1:40" s="1395" customFormat="1" ht="36">
      <c r="A61" s="1061" t="s">
        <v>1020</v>
      </c>
      <c r="B61" s="3044" t="s">
        <v>2933</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6"/>
      <c r="AF61" s="1396"/>
      <c r="AG61" s="1396"/>
      <c r="AH61" s="1396"/>
      <c r="AI61" s="1396"/>
      <c r="AJ61" s="1396"/>
      <c r="AK61" s="1396"/>
      <c r="AL61" s="1396"/>
      <c r="AM61" s="1396"/>
      <c r="AN61" s="1396"/>
    </row>
    <row r="62" spans="1:40" s="1395" customFormat="1" ht="24">
      <c r="A62" s="1061" t="s">
        <v>1021</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6"/>
      <c r="AF62" s="1396"/>
      <c r="AG62" s="1396"/>
      <c r="AH62" s="1396"/>
      <c r="AI62" s="1396"/>
      <c r="AJ62" s="1396"/>
      <c r="AK62" s="1396"/>
      <c r="AL62" s="1396"/>
      <c r="AM62" s="1396"/>
      <c r="AN62" s="1396"/>
    </row>
    <row r="63" spans="1:40" s="1395" customFormat="1" ht="24">
      <c r="A63" s="1061" t="s">
        <v>1022</v>
      </c>
      <c r="B63" s="3043" t="s">
        <v>2931</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6"/>
      <c r="AF63" s="1396"/>
      <c r="AG63" s="1396"/>
      <c r="AH63" s="1396"/>
      <c r="AI63" s="1396"/>
      <c r="AJ63" s="1396"/>
      <c r="AK63" s="1396"/>
      <c r="AL63" s="1396"/>
      <c r="AM63" s="1396"/>
      <c r="AN63" s="1396"/>
    </row>
    <row r="64" spans="1:40" s="1395" customFormat="1" ht="24">
      <c r="A64" s="1061" t="s">
        <v>1023</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6"/>
      <c r="AF64" s="1396"/>
      <c r="AG64" s="1396"/>
      <c r="AH64" s="1396"/>
      <c r="AI64" s="1396"/>
      <c r="AJ64" s="1396"/>
      <c r="AK64" s="1396"/>
      <c r="AL64" s="1396"/>
      <c r="AM64" s="1396"/>
      <c r="AN64" s="1396"/>
    </row>
    <row r="65" spans="1:40" s="1395" customFormat="1" ht="24">
      <c r="A65" s="1061" t="s">
        <v>1024</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6"/>
      <c r="AF65" s="1396"/>
      <c r="AG65" s="1396"/>
      <c r="AH65" s="1396"/>
      <c r="AI65" s="1396"/>
      <c r="AJ65" s="1396"/>
      <c r="AK65" s="1396"/>
      <c r="AL65" s="1396"/>
      <c r="AM65" s="1396"/>
      <c r="AN65" s="1396"/>
    </row>
    <row r="66" spans="1:40" s="1395" customFormat="1" ht="24.75" thickBot="1">
      <c r="A66" s="2401" t="s">
        <v>1025</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6"/>
      <c r="AF66" s="1396"/>
      <c r="AG66" s="1396"/>
      <c r="AH66" s="1396"/>
      <c r="AI66" s="1396"/>
      <c r="AJ66" s="1396"/>
      <c r="AK66" s="1396"/>
      <c r="AL66" s="1396"/>
      <c r="AM66" s="1396"/>
      <c r="AN66" s="1396"/>
    </row>
    <row r="67" spans="1:40" s="1395" customFormat="1" ht="15">
      <c r="A67" s="2384" t="s">
        <v>1028</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6"/>
      <c r="AF67" s="1396"/>
      <c r="AG67" s="1396"/>
      <c r="AH67" s="1396"/>
      <c r="AI67" s="1396"/>
      <c r="AJ67" s="1396"/>
      <c r="AK67" s="1396"/>
      <c r="AL67" s="1396"/>
      <c r="AM67" s="1396"/>
      <c r="AN67" s="1396"/>
    </row>
    <row r="68" spans="1:40" s="1395" customFormat="1" ht="24">
      <c r="A68" s="1061" t="s">
        <v>1005</v>
      </c>
      <c r="B68" s="2368"/>
      <c r="C68" s="2390" t="s">
        <v>1007</v>
      </c>
      <c r="D68" s="2391" t="s">
        <v>1008</v>
      </c>
      <c r="E68" s="2392" t="s">
        <v>1010</v>
      </c>
      <c r="F68" s="2393" t="s">
        <v>2249</v>
      </c>
      <c r="G68" s="2391" t="s">
        <v>1011</v>
      </c>
      <c r="H68" s="2374" t="s">
        <v>2413</v>
      </c>
      <c r="I68" s="2391" t="s">
        <v>1009</v>
      </c>
      <c r="J68" s="2394" t="s">
        <v>1012</v>
      </c>
      <c r="K68" s="2394" t="s">
        <v>1013</v>
      </c>
      <c r="L68" s="2394" t="s">
        <v>1014</v>
      </c>
      <c r="M68" s="2394" t="s">
        <v>1015</v>
      </c>
      <c r="N68" s="2394" t="s">
        <v>1016</v>
      </c>
      <c r="P68" s="2177"/>
      <c r="Q68" s="2177"/>
      <c r="R68" s="2178"/>
      <c r="S68" s="2178"/>
      <c r="T68" s="2178"/>
      <c r="U68" s="2178"/>
      <c r="V68" s="2178"/>
      <c r="W68" s="2177"/>
      <c r="X68" s="2177"/>
      <c r="Y68" s="2177"/>
      <c r="Z68" s="2177"/>
      <c r="AA68" s="2177"/>
      <c r="AB68" s="2177"/>
      <c r="AC68" s="2177"/>
      <c r="AD68" s="2178"/>
      <c r="AE68" s="1396"/>
      <c r="AF68" s="1396"/>
      <c r="AG68" s="1396"/>
      <c r="AH68" s="1396"/>
      <c r="AI68" s="1396"/>
      <c r="AJ68" s="1396"/>
      <c r="AK68" s="1396"/>
      <c r="AL68" s="1396"/>
      <c r="AM68" s="1396"/>
      <c r="AN68" s="1396"/>
    </row>
    <row r="69" spans="1:40" s="1395" customFormat="1" ht="48">
      <c r="A69" s="1061" t="s">
        <v>1029</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6"/>
      <c r="AF69" s="1396"/>
      <c r="AG69" s="1396"/>
      <c r="AH69" s="1396"/>
      <c r="AI69" s="1396"/>
      <c r="AJ69" s="1396"/>
      <c r="AK69" s="1396"/>
      <c r="AL69" s="1396"/>
      <c r="AM69" s="1396"/>
      <c r="AN69" s="1396"/>
    </row>
    <row r="70" spans="1:40" s="1395" customFormat="1" ht="48">
      <c r="A70" s="1061" t="s">
        <v>1030</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6"/>
      <c r="AF70" s="1396"/>
      <c r="AG70" s="1396"/>
      <c r="AH70" s="1396"/>
      <c r="AI70" s="1396"/>
      <c r="AJ70" s="1396"/>
      <c r="AK70" s="1396"/>
      <c r="AL70" s="1396"/>
      <c r="AM70" s="1396"/>
      <c r="AN70" s="1396"/>
    </row>
    <row r="71" spans="1:40" s="1395" customFormat="1" ht="24">
      <c r="A71" s="1061" t="s">
        <v>1019</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6"/>
      <c r="AF71" s="1396"/>
      <c r="AG71" s="1396"/>
      <c r="AH71" s="1396"/>
      <c r="AI71" s="1396"/>
      <c r="AJ71" s="1396"/>
      <c r="AK71" s="1396"/>
      <c r="AL71" s="1396"/>
      <c r="AM71" s="1396"/>
      <c r="AN71" s="1396"/>
    </row>
    <row r="72" spans="1:40" s="1395" customFormat="1" ht="14.25">
      <c r="A72" s="1061" t="s">
        <v>1031</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6"/>
      <c r="AF72" s="1396"/>
      <c r="AG72" s="1396"/>
      <c r="AH72" s="1396"/>
      <c r="AI72" s="1396"/>
      <c r="AJ72" s="1396"/>
      <c r="AK72" s="1396"/>
      <c r="AL72" s="1396"/>
      <c r="AM72" s="1396"/>
      <c r="AN72" s="1396"/>
    </row>
    <row r="73" spans="1:40" s="1395" customFormat="1" ht="24">
      <c r="A73" s="1061" t="s">
        <v>1023</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6"/>
      <c r="AF73" s="1396"/>
      <c r="AG73" s="1396"/>
      <c r="AH73" s="1396"/>
      <c r="AI73" s="1396"/>
      <c r="AJ73" s="1396"/>
      <c r="AK73" s="1396"/>
      <c r="AL73" s="1396"/>
      <c r="AM73" s="1396"/>
      <c r="AN73" s="1396"/>
    </row>
    <row r="74" spans="1:40" s="1395" customFormat="1" ht="24">
      <c r="A74" s="1061" t="s">
        <v>1024</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6"/>
      <c r="AF74" s="1396"/>
      <c r="AG74" s="1396"/>
      <c r="AH74" s="1396"/>
      <c r="AI74" s="1396"/>
      <c r="AJ74" s="1396"/>
      <c r="AK74" s="1396"/>
      <c r="AL74" s="1396"/>
      <c r="AM74" s="1396"/>
      <c r="AN74" s="1396"/>
    </row>
    <row r="75" spans="1:40" s="1395" customFormat="1" ht="24">
      <c r="A75" s="1061" t="s">
        <v>1022</v>
      </c>
      <c r="B75" s="3043" t="s">
        <v>2931</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6"/>
      <c r="AF75" s="1396"/>
      <c r="AG75" s="1396"/>
      <c r="AH75" s="1396"/>
      <c r="AI75" s="1396"/>
      <c r="AJ75" s="1396"/>
      <c r="AK75" s="1396"/>
      <c r="AL75" s="1396"/>
      <c r="AM75" s="1396"/>
      <c r="AN75" s="1396"/>
    </row>
    <row r="76" spans="1:40" ht="24">
      <c r="A76" s="1061" t="s">
        <v>1025</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6"/>
      <c r="AN76" s="1397"/>
    </row>
    <row r="77" spans="1:40" ht="24.75" thickBot="1">
      <c r="A77" s="2401" t="s">
        <v>1032</v>
      </c>
      <c r="B77" s="1832"/>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8"/>
      <c r="AD77" s="1397"/>
      <c r="AJ77" s="1396"/>
      <c r="AN77" s="1397"/>
    </row>
    <row r="78" spans="1:40" ht="15">
      <c r="A78" s="2384" t="s">
        <v>1033</v>
      </c>
      <c r="B78" s="2385">
        <f>1+E80</f>
        <v>1</v>
      </c>
      <c r="C78" s="2404"/>
      <c r="D78" s="2387"/>
      <c r="E78" s="2388"/>
      <c r="F78" s="2389"/>
      <c r="G78" s="2383"/>
      <c r="H78" s="2383"/>
      <c r="I78" s="2383"/>
      <c r="J78" s="1060"/>
      <c r="K78" s="1060"/>
      <c r="L78" s="1060"/>
      <c r="M78" s="1060"/>
      <c r="N78" s="1060"/>
      <c r="AC78" s="1398"/>
      <c r="AD78" s="1397"/>
      <c r="AJ78" s="1396"/>
      <c r="AN78" s="1397"/>
    </row>
    <row r="79" spans="1:40" ht="24">
      <c r="A79" s="1061" t="s">
        <v>1005</v>
      </c>
      <c r="B79" s="2368"/>
      <c r="C79" s="2390" t="s">
        <v>1007</v>
      </c>
      <c r="D79" s="2391" t="s">
        <v>1008</v>
      </c>
      <c r="E79" s="2392" t="s">
        <v>1010</v>
      </c>
      <c r="F79" s="2393" t="s">
        <v>2250</v>
      </c>
      <c r="G79" s="2391" t="s">
        <v>1011</v>
      </c>
      <c r="H79" s="2374" t="s">
        <v>2413</v>
      </c>
      <c r="I79" s="2391" t="s">
        <v>1009</v>
      </c>
      <c r="J79" s="2394" t="s">
        <v>1012</v>
      </c>
      <c r="K79" s="2394" t="s">
        <v>1013</v>
      </c>
      <c r="L79" s="2394" t="s">
        <v>1014</v>
      </c>
      <c r="M79" s="2394" t="s">
        <v>1015</v>
      </c>
      <c r="N79" s="2394" t="s">
        <v>1016</v>
      </c>
      <c r="AC79" s="1398"/>
      <c r="AD79" s="1397"/>
      <c r="AJ79" s="1396"/>
      <c r="AN79" s="1397"/>
    </row>
    <row r="80" spans="1:40" ht="36">
      <c r="A80" s="1061" t="s">
        <v>1034</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8"/>
      <c r="AD80" s="1397"/>
      <c r="AJ80" s="1396"/>
      <c r="AN80" s="1397"/>
    </row>
    <row r="81" spans="1:40" ht="48">
      <c r="A81" s="1061" t="s">
        <v>1030</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8"/>
      <c r="AD81" s="1397"/>
      <c r="AJ81" s="1396"/>
      <c r="AN81" s="1397"/>
    </row>
    <row r="82" spans="1:40" ht="24">
      <c r="A82" s="1061" t="s">
        <v>1019</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8"/>
      <c r="AD82" s="1397"/>
      <c r="AJ82" s="1396"/>
      <c r="AN82" s="1397"/>
    </row>
    <row r="83" spans="1:40" ht="14.25">
      <c r="A83" s="1061" t="s">
        <v>1031</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8"/>
      <c r="AD83" s="1397"/>
      <c r="AJ83" s="1396"/>
      <c r="AN83" s="1397"/>
    </row>
    <row r="84" spans="1:40" ht="24">
      <c r="A84" s="1061" t="s">
        <v>1023</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8"/>
      <c r="AD84" s="1397"/>
      <c r="AJ84" s="1396"/>
      <c r="AN84" s="1397"/>
    </row>
    <row r="85" spans="1:40" ht="24">
      <c r="A85" s="1061" t="s">
        <v>1024</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8"/>
      <c r="AD85" s="1397"/>
      <c r="AJ85" s="1396"/>
      <c r="AN85" s="1397"/>
    </row>
    <row r="86" spans="1:40" ht="24">
      <c r="A86" s="1061" t="s">
        <v>1022</v>
      </c>
      <c r="B86" s="3043" t="s">
        <v>2931</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8"/>
      <c r="AD86" s="1397"/>
      <c r="AJ86" s="1396"/>
      <c r="AN86" s="1397"/>
    </row>
    <row r="87" spans="1:40" ht="36.75" thickBot="1">
      <c r="A87" s="2401" t="s">
        <v>1035</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8"/>
      <c r="AD87" s="1397"/>
      <c r="AJ87" s="1396"/>
      <c r="AN87" s="1397"/>
    </row>
    <row r="90" spans="1:40">
      <c r="A90" s="3889" t="s">
        <v>1630</v>
      </c>
      <c r="B90" s="3889"/>
      <c r="C90" s="3889"/>
      <c r="D90" s="3889"/>
      <c r="E90" s="3889"/>
      <c r="F90" s="3889"/>
      <c r="G90" s="3889"/>
      <c r="H90" s="3889"/>
      <c r="I90" s="3889"/>
      <c r="J90" s="3889"/>
      <c r="K90" s="2410"/>
      <c r="L90" s="2410"/>
      <c r="M90" s="2410"/>
      <c r="N90" s="2410"/>
    </row>
    <row r="91" spans="1:40">
      <c r="A91" s="3890" t="s">
        <v>1440</v>
      </c>
      <c r="B91" s="3890" t="s">
        <v>1631</v>
      </c>
      <c r="C91" s="1134" t="s">
        <v>1632</v>
      </c>
      <c r="D91" s="1135"/>
      <c r="E91" s="1135"/>
      <c r="F91" s="1135"/>
      <c r="G91" s="1135"/>
      <c r="H91" s="1135"/>
      <c r="I91" s="1135"/>
      <c r="J91" s="1136"/>
      <c r="K91" s="1128"/>
      <c r="L91" s="1128"/>
      <c r="M91" s="1128"/>
      <c r="N91" s="1128"/>
    </row>
    <row r="92" spans="1:40">
      <c r="A92" s="3890"/>
      <c r="B92" s="3890"/>
      <c r="C92" s="2409" t="s">
        <v>904</v>
      </c>
      <c r="D92" s="2409" t="s">
        <v>882</v>
      </c>
      <c r="E92" s="2409" t="s">
        <v>883</v>
      </c>
      <c r="F92" s="2409" t="s">
        <v>907</v>
      </c>
      <c r="G92" s="2409" t="s">
        <v>885</v>
      </c>
      <c r="H92" s="2409" t="s">
        <v>886</v>
      </c>
      <c r="I92" s="2409" t="s">
        <v>887</v>
      </c>
      <c r="J92" s="2409" t="s">
        <v>888</v>
      </c>
      <c r="K92" s="2409" t="s">
        <v>912</v>
      </c>
      <c r="L92" s="2409" t="s">
        <v>890</v>
      </c>
      <c r="M92" s="2409" t="s">
        <v>891</v>
      </c>
      <c r="N92" s="2409" t="s">
        <v>915</v>
      </c>
    </row>
    <row r="93" spans="1:40">
      <c r="A93" s="3876"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87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87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87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87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87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877"/>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87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876" t="s">
        <v>1634</v>
      </c>
      <c r="B101" s="1141" t="s">
        <v>903</v>
      </c>
      <c r="C101" s="1142">
        <f>$G$3</f>
        <v>1.2</v>
      </c>
      <c r="D101" s="1142">
        <f t="shared" ref="D101:N101" si="31">$G$3</f>
        <v>1.2</v>
      </c>
      <c r="E101" s="1142">
        <f t="shared" si="31"/>
        <v>1.2</v>
      </c>
      <c r="F101" s="1142">
        <f t="shared" si="31"/>
        <v>1.2</v>
      </c>
      <c r="G101" s="1142">
        <f t="shared" si="31"/>
        <v>1.2</v>
      </c>
      <c r="H101" s="1142">
        <f t="shared" si="31"/>
        <v>1.2</v>
      </c>
      <c r="I101" s="1142">
        <f t="shared" si="31"/>
        <v>1.2</v>
      </c>
      <c r="J101" s="1142">
        <f t="shared" si="31"/>
        <v>1.2</v>
      </c>
      <c r="K101" s="1142">
        <f t="shared" si="31"/>
        <v>1.2</v>
      </c>
      <c r="L101" s="1142">
        <f t="shared" si="31"/>
        <v>1.2</v>
      </c>
      <c r="M101" s="1142">
        <f t="shared" si="31"/>
        <v>1.2</v>
      </c>
      <c r="N101" s="1142">
        <f t="shared" si="31"/>
        <v>1.2</v>
      </c>
    </row>
    <row r="102" spans="1:14">
      <c r="A102" s="3877"/>
      <c r="B102" s="1137">
        <v>1</v>
      </c>
      <c r="C102" s="1138">
        <f>1.9362/C101</f>
        <v>1.6134999999999999</v>
      </c>
      <c r="D102" s="1138">
        <f>1.9362/D101</f>
        <v>1.6134999999999999</v>
      </c>
      <c r="E102" s="1138">
        <f>1.8629/E101</f>
        <v>1.5524166666666668</v>
      </c>
      <c r="F102" s="1138">
        <f>1.8629/F101</f>
        <v>1.5524166666666668</v>
      </c>
      <c r="G102" s="1138">
        <f>1.8629/G101</f>
        <v>1.5524166666666668</v>
      </c>
      <c r="H102" s="1138">
        <f>1.8629/H101</f>
        <v>1.5524166666666668</v>
      </c>
      <c r="I102" s="1138">
        <f>1.8629/I101</f>
        <v>1.5524166666666668</v>
      </c>
      <c r="J102" s="1138">
        <f>1.942/J101</f>
        <v>1.6183333333333334</v>
      </c>
      <c r="K102" s="1138">
        <f>1.942/K101</f>
        <v>1.6183333333333334</v>
      </c>
      <c r="L102" s="1138">
        <f>1.942/L101</f>
        <v>1.6183333333333334</v>
      </c>
      <c r="M102" s="1138">
        <f>1.942/M101</f>
        <v>1.6183333333333334</v>
      </c>
      <c r="N102" s="1138">
        <f>1.942/N101</f>
        <v>1.6183333333333334</v>
      </c>
    </row>
    <row r="103" spans="1:14">
      <c r="A103" s="3877"/>
      <c r="B103" s="1137">
        <v>2</v>
      </c>
      <c r="C103" s="1138">
        <f>1.4198/C101</f>
        <v>1.1831666666666667</v>
      </c>
      <c r="D103" s="1138">
        <f>1.4198/D101</f>
        <v>1.1831666666666667</v>
      </c>
      <c r="E103" s="1138">
        <f>1.3372/E101</f>
        <v>1.1143333333333334</v>
      </c>
      <c r="F103" s="1138">
        <f>1.3372/F101</f>
        <v>1.1143333333333334</v>
      </c>
      <c r="G103" s="1138">
        <f>1.3372/G101</f>
        <v>1.1143333333333334</v>
      </c>
      <c r="H103" s="1138">
        <f>1.3372/H101</f>
        <v>1.1143333333333334</v>
      </c>
      <c r="I103" s="1138">
        <f>1.3372/I101</f>
        <v>1.1143333333333334</v>
      </c>
      <c r="J103" s="1138">
        <f>1.2799/J101</f>
        <v>1.0665833333333334</v>
      </c>
      <c r="K103" s="1138">
        <f>1.2799/K101</f>
        <v>1.0665833333333334</v>
      </c>
      <c r="L103" s="1138">
        <f>1.2799/L101</f>
        <v>1.0665833333333334</v>
      </c>
      <c r="M103" s="1138">
        <f>1.2799/M101</f>
        <v>1.0665833333333334</v>
      </c>
      <c r="N103" s="1138">
        <f>1.2799/N101</f>
        <v>1.0665833333333334</v>
      </c>
    </row>
    <row r="104" spans="1:14">
      <c r="A104" s="3877"/>
      <c r="B104" s="1137">
        <v>3</v>
      </c>
      <c r="C104" s="1138">
        <f>1.1594/C101</f>
        <v>0.96616666666666673</v>
      </c>
      <c r="D104" s="1138">
        <f>1.1594/D101</f>
        <v>0.96616666666666673</v>
      </c>
      <c r="E104" s="1138">
        <f>1.0788/E101</f>
        <v>0.89900000000000002</v>
      </c>
      <c r="F104" s="1138">
        <f>1.0788/F101</f>
        <v>0.89900000000000002</v>
      </c>
      <c r="G104" s="1138">
        <f>1.0788/G101</f>
        <v>0.89900000000000002</v>
      </c>
      <c r="H104" s="1138">
        <f>1.0788/H101</f>
        <v>0.89900000000000002</v>
      </c>
      <c r="I104" s="1138">
        <f>1.0788/I101</f>
        <v>0.89900000000000002</v>
      </c>
      <c r="J104" s="1138">
        <f>1.0072/J101</f>
        <v>0.83933333333333349</v>
      </c>
      <c r="K104" s="1138">
        <f>1.0072/K101</f>
        <v>0.83933333333333349</v>
      </c>
      <c r="L104" s="1138">
        <f>1.0072/L101</f>
        <v>0.83933333333333349</v>
      </c>
      <c r="M104" s="1138">
        <f>1.0072/M101</f>
        <v>0.83933333333333349</v>
      </c>
      <c r="N104" s="1138">
        <f>1.0072/N101</f>
        <v>0.83933333333333349</v>
      </c>
    </row>
    <row r="105" spans="1:14">
      <c r="A105" s="3877"/>
      <c r="B105" s="1137">
        <v>4</v>
      </c>
      <c r="C105" s="1138">
        <f>0.9622/C101</f>
        <v>0.8018333333333334</v>
      </c>
      <c r="D105" s="1138">
        <f>0.9622/D101</f>
        <v>0.8018333333333334</v>
      </c>
      <c r="E105" s="1138">
        <f>0.8656/E101</f>
        <v>0.72133333333333338</v>
      </c>
      <c r="F105" s="1138">
        <f>0.8656/F101</f>
        <v>0.72133333333333338</v>
      </c>
      <c r="G105" s="1138">
        <f>0.8656/G101</f>
        <v>0.72133333333333338</v>
      </c>
      <c r="H105" s="1138">
        <f>0.8656/H101</f>
        <v>0.72133333333333338</v>
      </c>
      <c r="I105" s="1138">
        <f>0.8656/I101</f>
        <v>0.72133333333333338</v>
      </c>
      <c r="J105" s="1138">
        <f>0.7525/J101</f>
        <v>0.62708333333333333</v>
      </c>
      <c r="K105" s="1138">
        <f>0.7525/K101</f>
        <v>0.62708333333333333</v>
      </c>
      <c r="L105" s="1138">
        <f>0.7525/L101</f>
        <v>0.62708333333333333</v>
      </c>
      <c r="M105" s="1138">
        <f>0.7525/M101</f>
        <v>0.62708333333333333</v>
      </c>
      <c r="N105" s="1138">
        <f>0.7525/N101</f>
        <v>0.62708333333333333</v>
      </c>
    </row>
    <row r="106" spans="1:14">
      <c r="A106" s="3877"/>
      <c r="B106" s="1137">
        <v>5</v>
      </c>
      <c r="C106" s="1138">
        <f>0.8417/C101</f>
        <v>0.70141666666666669</v>
      </c>
      <c r="D106" s="1138">
        <f>0.8417/D101</f>
        <v>0.70141666666666669</v>
      </c>
      <c r="E106" s="1138">
        <f>0.7371/E101</f>
        <v>0.61424999999999996</v>
      </c>
      <c r="F106" s="1138">
        <f>0.7371/F101</f>
        <v>0.61424999999999996</v>
      </c>
      <c r="G106" s="1138">
        <f>0.7371/G101</f>
        <v>0.61424999999999996</v>
      </c>
      <c r="H106" s="1138">
        <f>0.7371/H101</f>
        <v>0.61424999999999996</v>
      </c>
      <c r="I106" s="1138">
        <f>0.7371/I101</f>
        <v>0.61424999999999996</v>
      </c>
      <c r="J106" s="1138">
        <f>0.5659/J101</f>
        <v>0.4715833333333333</v>
      </c>
      <c r="K106" s="1138">
        <f>0.5659/K101</f>
        <v>0.4715833333333333</v>
      </c>
      <c r="L106" s="1138">
        <f>0.5659/L101</f>
        <v>0.4715833333333333</v>
      </c>
      <c r="M106" s="1138">
        <f>0.5659/M101</f>
        <v>0.4715833333333333</v>
      </c>
      <c r="N106" s="1138">
        <f>0.5659/N101</f>
        <v>0.4715833333333333</v>
      </c>
    </row>
    <row r="107" spans="1:14">
      <c r="A107" s="3877"/>
      <c r="B107" s="1137">
        <v>6</v>
      </c>
      <c r="C107" s="1138">
        <f>0.7608/C101</f>
        <v>0.63400000000000001</v>
      </c>
      <c r="D107" s="1138">
        <f>0.7608/D101</f>
        <v>0.63400000000000001</v>
      </c>
      <c r="E107" s="1138">
        <f>0.6482/E101</f>
        <v>0.54016666666666668</v>
      </c>
      <c r="F107" s="1138">
        <f>0.6482/F101</f>
        <v>0.54016666666666668</v>
      </c>
      <c r="G107" s="1138">
        <f>0.6482/G101</f>
        <v>0.54016666666666668</v>
      </c>
      <c r="H107" s="1138">
        <f>0.6482/H101</f>
        <v>0.54016666666666668</v>
      </c>
      <c r="I107" s="1138">
        <f>0.6482/I101</f>
        <v>0.54016666666666668</v>
      </c>
      <c r="J107" s="1138">
        <f>0.4525/J101</f>
        <v>0.37708333333333338</v>
      </c>
      <c r="K107" s="1138">
        <f>0.4525/K101</f>
        <v>0.37708333333333338</v>
      </c>
      <c r="L107" s="1138">
        <f>0.4525/L101</f>
        <v>0.37708333333333338</v>
      </c>
      <c r="M107" s="1138">
        <f>0.4525/M101</f>
        <v>0.37708333333333338</v>
      </c>
      <c r="N107" s="1138">
        <f>0.4525/N101</f>
        <v>0.37708333333333338</v>
      </c>
    </row>
    <row r="108" spans="1:14">
      <c r="A108" s="3877"/>
      <c r="B108" s="3879"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878"/>
      <c r="B109" s="3880"/>
      <c r="C109" s="1140">
        <f>(-0.163*(C108^2)-0.59*C108+7617)*(10^(-4))/C101</f>
        <v>0.6334873333333334</v>
      </c>
      <c r="D109" s="1140">
        <f>(-0.163*(D108^2)-0.59*D108+7617)*(10^(-4))/D101</f>
        <v>0.6334873333333334</v>
      </c>
      <c r="E109" s="1140">
        <f>(-0.161*(E108^2)-7.509*E108+6533)*(10^(-4))/E101</f>
        <v>0.53855200000000003</v>
      </c>
      <c r="F109" s="1140">
        <f>(-0.161*(F108^2)-7.509*F108+6533)*(10^(-4))/F101</f>
        <v>0.53855200000000003</v>
      </c>
      <c r="G109" s="1140">
        <f>(-0.161*(G108^2)-7.509*G108+6533)*(10^(-4))/G101</f>
        <v>0.53855200000000003</v>
      </c>
      <c r="H109" s="1140">
        <f>(-0.161*(H108^2)-7.509*H108+6533)*(10^(-4))/H101</f>
        <v>0.53855200000000003</v>
      </c>
      <c r="I109" s="1140">
        <f>(-0.161*(I108^2)-7.509*I108+6533)*(10^(-4))/I101</f>
        <v>0.53855200000000003</v>
      </c>
      <c r="J109" s="1140">
        <f>(-0.214*(J108^2)-21.991*J108+4665)*(10^(-4))/J101</f>
        <v>0.37294800000000006</v>
      </c>
      <c r="K109" s="1140">
        <f>(-0.214*(K108^2)-21.991*K108+4665)*(10^(-4))/K101</f>
        <v>0.37294800000000006</v>
      </c>
      <c r="L109" s="1140">
        <f>(-0.214*(L108^2)-21.991*L108+4665)*(10^(-4))/L101</f>
        <v>0.37294800000000006</v>
      </c>
      <c r="M109" s="1140">
        <f>(-0.214*(M108^2)-21.991*M108+4665)*(10^(-4))/M101</f>
        <v>0.37294800000000006</v>
      </c>
      <c r="N109" s="1140">
        <f>(-0.214*(N108^2)-21.991*N108+4665)*(10^(-4))/N101</f>
        <v>0.37294800000000006</v>
      </c>
    </row>
    <row r="110" spans="1:14">
      <c r="A110" s="3883" t="s">
        <v>1636</v>
      </c>
      <c r="B110" s="3883"/>
      <c r="C110" s="3883"/>
      <c r="D110" s="3883"/>
      <c r="E110" s="3883"/>
      <c r="F110" s="3883"/>
      <c r="G110" s="3883"/>
      <c r="H110" s="3883"/>
      <c r="I110" s="3883"/>
      <c r="J110" s="3883"/>
      <c r="K110" s="2408"/>
      <c r="L110" s="2408"/>
      <c r="M110" s="2408"/>
      <c r="N110" s="2408"/>
    </row>
    <row r="112" spans="1:14" ht="12.75" thickBot="1"/>
    <row r="113" spans="1:13" ht="25.5" thickBot="1">
      <c r="A113" s="1014" t="s">
        <v>893</v>
      </c>
      <c r="B113" s="2411">
        <f>G3</f>
        <v>1.2</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0.92220000000000002</v>
      </c>
      <c r="C115" s="1028">
        <f>B115</f>
        <v>0.92220000000000002</v>
      </c>
      <c r="D115" s="1028">
        <f>ROUND(0.8331-0.0109*B113,4)</f>
        <v>0.82</v>
      </c>
      <c r="E115" s="1028">
        <f>D115</f>
        <v>0.82</v>
      </c>
      <c r="F115" s="1028">
        <f>E115</f>
        <v>0.82</v>
      </c>
      <c r="G115" s="1028">
        <f>F115</f>
        <v>0.82</v>
      </c>
      <c r="H115" s="1028">
        <f>G115</f>
        <v>0.82</v>
      </c>
      <c r="I115" s="1028">
        <f>ROUND(0.689-0.0155*B113,4)</f>
        <v>0.6704</v>
      </c>
      <c r="J115" s="1028">
        <f t="shared" ref="J115:M118" si="33">I115</f>
        <v>0.6704</v>
      </c>
      <c r="K115" s="1028">
        <f t="shared" si="33"/>
        <v>0.6704</v>
      </c>
      <c r="L115" s="1028">
        <f t="shared" si="33"/>
        <v>0.6704</v>
      </c>
      <c r="M115" s="1029">
        <f t="shared" si="33"/>
        <v>0.6704</v>
      </c>
    </row>
    <row r="116" spans="1:13" ht="12.75">
      <c r="A116" s="1027" t="s">
        <v>898</v>
      </c>
      <c r="B116" s="1028">
        <f>ROUND(0.949-0.012*B113,4)</f>
        <v>0.93459999999999999</v>
      </c>
      <c r="C116" s="1028">
        <f>B116</f>
        <v>0.93459999999999999</v>
      </c>
      <c r="D116" s="1028">
        <f>ROUND(0.8567-0.013*B113,4)</f>
        <v>0.84109999999999996</v>
      </c>
      <c r="E116" s="1028">
        <f t="shared" ref="E116:H117" si="34">D116</f>
        <v>0.84109999999999996</v>
      </c>
      <c r="F116" s="1028">
        <f t="shared" si="34"/>
        <v>0.84109999999999996</v>
      </c>
      <c r="G116" s="1028">
        <f t="shared" si="34"/>
        <v>0.84109999999999996</v>
      </c>
      <c r="H116" s="1028">
        <f t="shared" si="34"/>
        <v>0.84109999999999996</v>
      </c>
      <c r="I116" s="1028">
        <f>ROUND(0.7694-0.014*B113,4)</f>
        <v>0.75260000000000005</v>
      </c>
      <c r="J116" s="1028">
        <f t="shared" si="33"/>
        <v>0.75260000000000005</v>
      </c>
      <c r="K116" s="1028">
        <f t="shared" si="33"/>
        <v>0.75260000000000005</v>
      </c>
      <c r="L116" s="1028">
        <f t="shared" si="33"/>
        <v>0.75260000000000005</v>
      </c>
      <c r="M116" s="1029">
        <f t="shared" si="33"/>
        <v>0.75260000000000005</v>
      </c>
    </row>
    <row r="117" spans="1:13" ht="12.75">
      <c r="A117" s="1030" t="s">
        <v>899</v>
      </c>
      <c r="B117" s="1028">
        <f>ROUND(0.8808-0.006*B113,4)</f>
        <v>0.87360000000000004</v>
      </c>
      <c r="C117" s="1028">
        <f>B117</f>
        <v>0.87360000000000004</v>
      </c>
      <c r="D117" s="1028">
        <f>ROUND(0.8748-0.008*B113,4)</f>
        <v>0.86519999999999997</v>
      </c>
      <c r="E117" s="1028">
        <f t="shared" si="34"/>
        <v>0.86519999999999997</v>
      </c>
      <c r="F117" s="1028">
        <f t="shared" si="34"/>
        <v>0.86519999999999997</v>
      </c>
      <c r="G117" s="1028">
        <f t="shared" si="34"/>
        <v>0.86519999999999997</v>
      </c>
      <c r="H117" s="1028">
        <f t="shared" si="34"/>
        <v>0.86519999999999997</v>
      </c>
      <c r="I117" s="1028">
        <f>ROUND(0.7412-0.0095*B113,4)</f>
        <v>0.7298</v>
      </c>
      <c r="J117" s="1028">
        <f t="shared" si="33"/>
        <v>0.7298</v>
      </c>
      <c r="K117" s="1028">
        <f t="shared" si="33"/>
        <v>0.7298</v>
      </c>
      <c r="L117" s="1028">
        <f t="shared" si="33"/>
        <v>0.7298</v>
      </c>
      <c r="M117" s="1029">
        <f t="shared" si="33"/>
        <v>0.7298</v>
      </c>
    </row>
    <row r="118" spans="1:13" ht="13.5" thickBot="1">
      <c r="A118" s="1031" t="s">
        <v>900</v>
      </c>
      <c r="B118" s="1032">
        <f>ROUND(0.7275-0.01*B113,4)</f>
        <v>0.71550000000000002</v>
      </c>
      <c r="C118" s="1032">
        <f>B118</f>
        <v>0.71550000000000002</v>
      </c>
      <c r="D118" s="1032">
        <f>ROUND(0.7043-0.012*B113,4)</f>
        <v>0.68989999999999996</v>
      </c>
      <c r="E118" s="1032">
        <f>D118</f>
        <v>0.68989999999999996</v>
      </c>
      <c r="F118" s="1032">
        <f>E118</f>
        <v>0.68989999999999996</v>
      </c>
      <c r="G118" s="1032">
        <f>ROUND(0.6299-0.0122*B113,4)</f>
        <v>0.61529999999999996</v>
      </c>
      <c r="H118" s="1032">
        <f>G118</f>
        <v>0.61529999999999996</v>
      </c>
      <c r="I118" s="1032">
        <f>ROUND(0.5667-0.0136*B113,4)</f>
        <v>0.5504</v>
      </c>
      <c r="J118" s="1032">
        <f t="shared" si="33"/>
        <v>0.5504</v>
      </c>
      <c r="K118" s="1032">
        <f t="shared" si="33"/>
        <v>0.5504</v>
      </c>
      <c r="L118" s="1032">
        <f t="shared" si="33"/>
        <v>0.5504</v>
      </c>
      <c r="M118" s="1033">
        <f t="shared" si="33"/>
        <v>0.5504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1" t="s">
        <v>2985</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890" t="s">
        <v>1004</v>
      </c>
      <c r="B18" s="1148" t="s">
        <v>1443</v>
      </c>
      <c r="C18" s="1125" t="s">
        <v>1444</v>
      </c>
      <c r="D18" s="1126"/>
      <c r="E18" s="1148">
        <v>1</v>
      </c>
      <c r="F18" s="1127" t="s">
        <v>1445</v>
      </c>
      <c r="G18" s="1128"/>
      <c r="H18" s="1099"/>
      <c r="I18" s="1099"/>
    </row>
    <row r="19" spans="1:9" s="1581" customFormat="1" ht="19.5" customHeight="1">
      <c r="A19" s="3890"/>
      <c r="B19" s="3890" t="s">
        <v>1446</v>
      </c>
      <c r="C19" s="1125" t="s">
        <v>1447</v>
      </c>
      <c r="D19" s="1126"/>
      <c r="E19" s="1148">
        <v>0.9</v>
      </c>
      <c r="F19" s="1127" t="s">
        <v>1448</v>
      </c>
      <c r="G19" s="1128"/>
      <c r="H19" s="1099"/>
      <c r="I19" s="1099"/>
    </row>
    <row r="20" spans="1:9" s="1581" customFormat="1" ht="19.5" customHeight="1">
      <c r="A20" s="3890"/>
      <c r="B20" s="3890"/>
      <c r="C20" s="1125" t="s">
        <v>1449</v>
      </c>
      <c r="D20" s="1126"/>
      <c r="E20" s="1148">
        <v>1.1000000000000001</v>
      </c>
      <c r="F20" s="1127" t="s">
        <v>1450</v>
      </c>
      <c r="G20" s="1128"/>
      <c r="H20" s="1099"/>
      <c r="I20" s="1099"/>
    </row>
    <row r="21" spans="1:9" s="1581" customFormat="1" ht="19.5" customHeight="1">
      <c r="A21" s="3890"/>
      <c r="B21" s="3890"/>
      <c r="C21" s="1125" t="s">
        <v>1451</v>
      </c>
      <c r="D21" s="1126"/>
      <c r="E21" s="1148">
        <v>0.8</v>
      </c>
      <c r="F21" s="1127" t="s">
        <v>1452</v>
      </c>
      <c r="G21" s="1128"/>
      <c r="H21" s="1099"/>
      <c r="I21" s="1099"/>
    </row>
    <row r="22" spans="1:9" s="1581" customFormat="1" ht="19.5" customHeight="1">
      <c r="A22" s="3890"/>
      <c r="B22" s="3890"/>
      <c r="C22" s="1125" t="s">
        <v>1453</v>
      </c>
      <c r="D22" s="1126"/>
      <c r="E22" s="1148">
        <v>0.5</v>
      </c>
      <c r="F22" s="1127"/>
      <c r="G22" s="1128"/>
      <c r="H22" s="1099"/>
      <c r="I22" s="1099"/>
    </row>
    <row r="23" spans="1:9" s="1581" customFormat="1" ht="19.5" customHeight="1">
      <c r="A23" s="3890" t="s">
        <v>1026</v>
      </c>
      <c r="B23" s="1148" t="s">
        <v>1443</v>
      </c>
      <c r="C23" s="1125" t="s">
        <v>1454</v>
      </c>
      <c r="D23" s="1126"/>
      <c r="E23" s="1148">
        <v>1</v>
      </c>
      <c r="F23" s="1127" t="s">
        <v>1455</v>
      </c>
      <c r="G23" s="1128"/>
      <c r="H23" s="1099"/>
      <c r="I23" s="1099"/>
    </row>
    <row r="24" spans="1:9" s="1581" customFormat="1" ht="19.5" customHeight="1">
      <c r="A24" s="3890"/>
      <c r="B24" s="3890" t="s">
        <v>1446</v>
      </c>
      <c r="C24" s="1125" t="s">
        <v>1456</v>
      </c>
      <c r="D24" s="1126"/>
      <c r="E24" s="1148">
        <v>0.5</v>
      </c>
      <c r="F24" s="1127"/>
      <c r="G24" s="1128"/>
      <c r="H24" s="1099"/>
      <c r="I24" s="1099"/>
    </row>
    <row r="25" spans="1:9" s="1581" customFormat="1" ht="19.5" customHeight="1">
      <c r="A25" s="3890"/>
      <c r="B25" s="3890"/>
      <c r="C25" s="1125" t="s">
        <v>1457</v>
      </c>
      <c r="D25" s="1126"/>
      <c r="E25" s="1148">
        <v>1.1000000000000001</v>
      </c>
      <c r="F25" s="1127"/>
      <c r="G25" s="1128"/>
      <c r="H25" s="1099"/>
      <c r="I25" s="1099"/>
    </row>
    <row r="26" spans="1:9" s="1581" customFormat="1" ht="19.5" customHeight="1">
      <c r="A26" s="3890"/>
      <c r="B26" s="3890"/>
      <c r="C26" s="1125" t="s">
        <v>1458</v>
      </c>
      <c r="D26" s="1126"/>
      <c r="E26" s="1148">
        <v>1.1000000000000001</v>
      </c>
      <c r="F26" s="1127"/>
      <c r="G26" s="1128"/>
      <c r="H26" s="1099"/>
      <c r="I26" s="1099"/>
    </row>
    <row r="27" spans="1:9" s="1581" customFormat="1" ht="19.5" customHeight="1">
      <c r="A27" s="3890"/>
      <c r="B27" s="3890"/>
      <c r="C27" s="1125" t="s">
        <v>1459</v>
      </c>
      <c r="D27" s="1126"/>
      <c r="E27" s="1148">
        <v>0.9</v>
      </c>
      <c r="F27" s="1127" t="s">
        <v>1460</v>
      </c>
      <c r="G27" s="1128"/>
      <c r="H27" s="1099"/>
      <c r="I27" s="1099"/>
    </row>
    <row r="28" spans="1:9" s="1581" customFormat="1" ht="19.5" customHeight="1">
      <c r="A28" s="3890"/>
      <c r="B28" s="3890"/>
      <c r="C28" s="1125" t="s">
        <v>1461</v>
      </c>
      <c r="D28" s="1126"/>
      <c r="E28" s="1148">
        <v>0.9</v>
      </c>
      <c r="F28" s="1127" t="s">
        <v>1462</v>
      </c>
      <c r="G28" s="1128"/>
      <c r="H28" s="1099"/>
      <c r="I28" s="1099"/>
    </row>
    <row r="29" spans="1:9" s="1581" customFormat="1" ht="19.5" customHeight="1">
      <c r="A29" s="3890"/>
      <c r="B29" s="3890"/>
      <c r="C29" s="1125" t="s">
        <v>1463</v>
      </c>
      <c r="D29" s="1126"/>
      <c r="E29" s="1148">
        <v>0.9</v>
      </c>
      <c r="F29" s="1127" t="s">
        <v>1464</v>
      </c>
      <c r="G29" s="1128"/>
      <c r="H29" s="1099"/>
      <c r="I29" s="1099"/>
    </row>
    <row r="30" spans="1:9" s="1581" customFormat="1" ht="19.5" customHeight="1">
      <c r="A30" s="3890"/>
      <c r="B30" s="3890"/>
      <c r="C30" s="1125" t="s">
        <v>1465</v>
      </c>
      <c r="D30" s="1126"/>
      <c r="E30" s="1148">
        <v>0.9</v>
      </c>
      <c r="F30" s="1127" t="s">
        <v>1466</v>
      </c>
      <c r="G30" s="1128"/>
      <c r="H30" s="1099"/>
      <c r="I30" s="1099"/>
    </row>
    <row r="31" spans="1:9" s="1581" customFormat="1" ht="19.5" customHeight="1">
      <c r="A31" s="3890"/>
      <c r="B31" s="3890"/>
      <c r="C31" s="1125" t="s">
        <v>1467</v>
      </c>
      <c r="D31" s="1126"/>
      <c r="E31" s="1148">
        <v>0.8</v>
      </c>
      <c r="F31" s="1127" t="s">
        <v>1468</v>
      </c>
      <c r="G31" s="1128"/>
      <c r="H31" s="1099"/>
      <c r="I31" s="1099"/>
    </row>
    <row r="32" spans="1:9" s="1581" customFormat="1" ht="19.5" customHeight="1">
      <c r="A32" s="3890"/>
      <c r="B32" s="3890"/>
      <c r="C32" s="1125" t="s">
        <v>1469</v>
      </c>
      <c r="D32" s="1126"/>
      <c r="E32" s="1148">
        <v>0.8</v>
      </c>
      <c r="F32" s="1127" t="s">
        <v>1470</v>
      </c>
      <c r="G32" s="1128"/>
      <c r="H32" s="1099"/>
      <c r="I32" s="1099"/>
    </row>
    <row r="33" spans="1:9" s="1581" customFormat="1" ht="19.5" customHeight="1">
      <c r="A33" s="3890" t="s">
        <v>1471</v>
      </c>
      <c r="B33" s="1148" t="s">
        <v>1443</v>
      </c>
      <c r="C33" s="1125" t="s">
        <v>1472</v>
      </c>
      <c r="D33" s="1126"/>
      <c r="E33" s="1148">
        <v>1</v>
      </c>
      <c r="F33" s="1127" t="s">
        <v>1473</v>
      </c>
      <c r="G33" s="1128"/>
      <c r="H33" s="1099"/>
      <c r="I33" s="1099"/>
    </row>
    <row r="34" spans="1:9" s="1581" customFormat="1" ht="19.5" customHeight="1">
      <c r="A34" s="3890"/>
      <c r="B34" s="1148" t="s">
        <v>1446</v>
      </c>
      <c r="C34" s="1125" t="s">
        <v>1474</v>
      </c>
      <c r="D34" s="1126"/>
      <c r="E34" s="1148">
        <v>1.5</v>
      </c>
      <c r="F34" s="1127" t="s">
        <v>1475</v>
      </c>
      <c r="G34" s="1128"/>
      <c r="H34" s="1099"/>
      <c r="I34" s="1099"/>
    </row>
    <row r="35" spans="1:9" s="1581" customFormat="1" ht="19.5" customHeight="1">
      <c r="A35" s="3890" t="s">
        <v>1429</v>
      </c>
      <c r="B35" s="1148" t="s">
        <v>1443</v>
      </c>
      <c r="C35" s="1125" t="s">
        <v>1476</v>
      </c>
      <c r="D35" s="1126"/>
      <c r="E35" s="1148">
        <v>1</v>
      </c>
      <c r="F35" s="1127" t="s">
        <v>1477</v>
      </c>
      <c r="G35" s="1128"/>
      <c r="H35" s="1099"/>
      <c r="I35" s="1099"/>
    </row>
    <row r="36" spans="1:9" s="1581" customFormat="1" ht="19.5" customHeight="1">
      <c r="A36" s="3890"/>
      <c r="B36" s="3890" t="s">
        <v>1446</v>
      </c>
      <c r="C36" s="1125" t="s">
        <v>1478</v>
      </c>
      <c r="D36" s="1126"/>
      <c r="E36" s="1148">
        <v>1</v>
      </c>
      <c r="F36" s="1127" t="s">
        <v>1479</v>
      </c>
      <c r="G36" s="1128"/>
      <c r="H36" s="1099"/>
      <c r="I36" s="1099"/>
    </row>
    <row r="37" spans="1:9" s="1581" customFormat="1" ht="19.5" customHeight="1">
      <c r="A37" s="3890"/>
      <c r="B37" s="3890"/>
      <c r="C37" s="1125" t="s">
        <v>1480</v>
      </c>
      <c r="D37" s="1126"/>
      <c r="E37" s="1148">
        <v>1.5</v>
      </c>
      <c r="F37" s="1127" t="s">
        <v>1481</v>
      </c>
      <c r="G37" s="1128"/>
      <c r="H37" s="1099"/>
      <c r="I37" s="1099"/>
    </row>
    <row r="38" spans="1:9" s="1581" customFormat="1" ht="19.5" customHeight="1">
      <c r="A38" s="3890"/>
      <c r="B38" s="3890"/>
      <c r="C38" s="1125" t="s">
        <v>1482</v>
      </c>
      <c r="D38" s="1126"/>
      <c r="E38" s="1148">
        <v>1</v>
      </c>
      <c r="F38" s="1127" t="s">
        <v>1483</v>
      </c>
      <c r="G38" s="1128"/>
      <c r="H38" s="1099"/>
      <c r="I38" s="1099"/>
    </row>
    <row r="39" spans="1:9" s="1581" customFormat="1" ht="19.5" customHeight="1">
      <c r="A39" s="3890"/>
      <c r="B39" s="3890"/>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890" t="s">
        <v>1498</v>
      </c>
      <c r="C61" s="1062" t="s">
        <v>1499</v>
      </c>
      <c r="D61" s="1062" t="s">
        <v>1500</v>
      </c>
      <c r="E61" s="1133">
        <v>0.5</v>
      </c>
      <c r="F61" s="1148">
        <v>80</v>
      </c>
      <c r="H61" s="1099">
        <f>SUMIF(C59:C119,基准地价!C8,E59:E119)</f>
        <v>0</v>
      </c>
    </row>
    <row r="62" spans="1:8" s="1099" customFormat="1" ht="24">
      <c r="A62" s="1148">
        <v>2</v>
      </c>
      <c r="B62" s="3890"/>
      <c r="C62" s="1062" t="s">
        <v>1501</v>
      </c>
      <c r="D62" s="1062" t="s">
        <v>1502</v>
      </c>
      <c r="E62" s="1133">
        <v>0.5</v>
      </c>
      <c r="F62" s="1148">
        <v>80</v>
      </c>
    </row>
    <row r="63" spans="1:8" s="1099" customFormat="1" ht="36">
      <c r="A63" s="1148">
        <v>3</v>
      </c>
      <c r="B63" s="3890"/>
      <c r="C63" s="1062" t="s">
        <v>1503</v>
      </c>
      <c r="D63" s="1062" t="s">
        <v>1504</v>
      </c>
      <c r="E63" s="1133">
        <v>0.5</v>
      </c>
      <c r="F63" s="1148">
        <v>80</v>
      </c>
    </row>
    <row r="64" spans="1:8" s="1099" customFormat="1" ht="36">
      <c r="A64" s="1148">
        <v>4</v>
      </c>
      <c r="B64" s="3890"/>
      <c r="C64" s="1062" t="s">
        <v>1505</v>
      </c>
      <c r="D64" s="1062" t="s">
        <v>1506</v>
      </c>
      <c r="E64" s="1133">
        <v>0.4</v>
      </c>
      <c r="F64" s="1148">
        <v>60</v>
      </c>
    </row>
    <row r="65" spans="1:6" s="1099" customFormat="1" ht="36">
      <c r="A65" s="1148">
        <v>5</v>
      </c>
      <c r="B65" s="3890"/>
      <c r="C65" s="1062" t="s">
        <v>1507</v>
      </c>
      <c r="D65" s="1062" t="s">
        <v>1508</v>
      </c>
      <c r="E65" s="1133">
        <v>0.2</v>
      </c>
      <c r="F65" s="1148">
        <v>30</v>
      </c>
    </row>
    <row r="66" spans="1:6" s="1099" customFormat="1" ht="36">
      <c r="A66" s="1148">
        <v>6</v>
      </c>
      <c r="B66" s="3890"/>
      <c r="C66" s="1062" t="s">
        <v>1509</v>
      </c>
      <c r="D66" s="1062" t="s">
        <v>1510</v>
      </c>
      <c r="E66" s="1133">
        <v>0.3</v>
      </c>
      <c r="F66" s="1148">
        <v>50</v>
      </c>
    </row>
    <row r="67" spans="1:6" s="1099" customFormat="1" ht="36">
      <c r="A67" s="1148">
        <v>7</v>
      </c>
      <c r="B67" s="3890"/>
      <c r="C67" s="1062" t="s">
        <v>1511</v>
      </c>
      <c r="D67" s="1062" t="s">
        <v>1512</v>
      </c>
      <c r="E67" s="1133">
        <v>0.2</v>
      </c>
      <c r="F67" s="1148">
        <v>30</v>
      </c>
    </row>
    <row r="68" spans="1:6" s="1099" customFormat="1" ht="36">
      <c r="A68" s="1148">
        <v>8</v>
      </c>
      <c r="B68" s="3890"/>
      <c r="C68" s="1062" t="s">
        <v>1513</v>
      </c>
      <c r="D68" s="1062" t="s">
        <v>1514</v>
      </c>
      <c r="E68" s="1133">
        <v>0.2</v>
      </c>
      <c r="F68" s="1148">
        <v>30</v>
      </c>
    </row>
    <row r="69" spans="1:6" s="1099" customFormat="1" ht="36">
      <c r="A69" s="1148">
        <v>9</v>
      </c>
      <c r="B69" s="3890"/>
      <c r="C69" s="1062" t="s">
        <v>1515</v>
      </c>
      <c r="D69" s="1062" t="s">
        <v>1516</v>
      </c>
      <c r="E69" s="1133">
        <v>0.2</v>
      </c>
      <c r="F69" s="1148">
        <v>30</v>
      </c>
    </row>
    <row r="70" spans="1:6" s="1099" customFormat="1" ht="48">
      <c r="A70" s="1148">
        <v>10</v>
      </c>
      <c r="B70" s="3890"/>
      <c r="C70" s="1062" t="s">
        <v>1517</v>
      </c>
      <c r="D70" s="1062" t="s">
        <v>1518</v>
      </c>
      <c r="E70" s="1133">
        <v>0.2</v>
      </c>
      <c r="F70" s="1148">
        <v>30</v>
      </c>
    </row>
    <row r="71" spans="1:6" s="1099" customFormat="1" ht="48">
      <c r="A71" s="1148">
        <v>11</v>
      </c>
      <c r="B71" s="3890"/>
      <c r="C71" s="1062" t="s">
        <v>1519</v>
      </c>
      <c r="D71" s="1062" t="s">
        <v>1520</v>
      </c>
      <c r="E71" s="1133">
        <v>0.2</v>
      </c>
      <c r="F71" s="1148">
        <v>30</v>
      </c>
    </row>
    <row r="72" spans="1:6" s="1099" customFormat="1" ht="36">
      <c r="A72" s="1148">
        <v>12</v>
      </c>
      <c r="B72" s="3890"/>
      <c r="C72" s="1062" t="s">
        <v>1521</v>
      </c>
      <c r="D72" s="1062" t="s">
        <v>1522</v>
      </c>
      <c r="E72" s="1133">
        <v>0.5</v>
      </c>
      <c r="F72" s="1148">
        <v>80</v>
      </c>
    </row>
    <row r="73" spans="1:6" s="1099" customFormat="1" ht="24">
      <c r="A73" s="1148">
        <v>13</v>
      </c>
      <c r="B73" s="3890"/>
      <c r="C73" s="1062" t="s">
        <v>1523</v>
      </c>
      <c r="D73" s="1062" t="s">
        <v>1524</v>
      </c>
      <c r="E73" s="1133">
        <v>0.4</v>
      </c>
      <c r="F73" s="1148">
        <v>60</v>
      </c>
    </row>
    <row r="74" spans="1:6" s="1099" customFormat="1" ht="24">
      <c r="A74" s="1148">
        <v>14</v>
      </c>
      <c r="B74" s="3890"/>
      <c r="C74" s="1062" t="s">
        <v>1525</v>
      </c>
      <c r="D74" s="1062" t="s">
        <v>1526</v>
      </c>
      <c r="E74" s="1133">
        <v>0.2</v>
      </c>
      <c r="F74" s="1148">
        <v>30</v>
      </c>
    </row>
    <row r="75" spans="1:6" s="1099" customFormat="1" ht="24">
      <c r="A75" s="1148">
        <v>15</v>
      </c>
      <c r="B75" s="3890"/>
      <c r="C75" s="1062" t="s">
        <v>1527</v>
      </c>
      <c r="D75" s="1062" t="s">
        <v>1528</v>
      </c>
      <c r="E75" s="1133">
        <v>0.2</v>
      </c>
      <c r="F75" s="1148">
        <v>30</v>
      </c>
    </row>
    <row r="76" spans="1:6" s="1099" customFormat="1" ht="24">
      <c r="A76" s="1148">
        <v>16</v>
      </c>
      <c r="B76" s="3890" t="s">
        <v>1529</v>
      </c>
      <c r="C76" s="1062" t="s">
        <v>1530</v>
      </c>
      <c r="D76" s="1062" t="s">
        <v>1531</v>
      </c>
      <c r="E76" s="1133">
        <v>0.5</v>
      </c>
      <c r="F76" s="1148">
        <v>80</v>
      </c>
    </row>
    <row r="77" spans="1:6" s="1099" customFormat="1" ht="24">
      <c r="A77" s="1148">
        <v>17</v>
      </c>
      <c r="B77" s="3890"/>
      <c r="C77" s="1062" t="s">
        <v>1532</v>
      </c>
      <c r="D77" s="1062" t="s">
        <v>1533</v>
      </c>
      <c r="E77" s="1133">
        <v>0.5</v>
      </c>
      <c r="F77" s="1148">
        <v>80</v>
      </c>
    </row>
    <row r="78" spans="1:6" s="1099" customFormat="1" ht="24">
      <c r="A78" s="1148">
        <v>18</v>
      </c>
      <c r="B78" s="3890"/>
      <c r="C78" s="1062" t="s">
        <v>1534</v>
      </c>
      <c r="D78" s="1062" t="s">
        <v>1535</v>
      </c>
      <c r="E78" s="1133">
        <v>0.2</v>
      </c>
      <c r="F78" s="1148">
        <v>30</v>
      </c>
    </row>
    <row r="79" spans="1:6" s="1099" customFormat="1" ht="24">
      <c r="A79" s="1148">
        <v>19</v>
      </c>
      <c r="B79" s="3890"/>
      <c r="C79" s="1062" t="s">
        <v>1536</v>
      </c>
      <c r="D79" s="1062" t="s">
        <v>1537</v>
      </c>
      <c r="E79" s="1133">
        <v>0.5</v>
      </c>
      <c r="F79" s="1148">
        <v>80</v>
      </c>
    </row>
    <row r="80" spans="1:6" s="1099" customFormat="1" ht="36">
      <c r="A80" s="1148">
        <v>20</v>
      </c>
      <c r="B80" s="3890"/>
      <c r="C80" s="1062" t="s">
        <v>1538</v>
      </c>
      <c r="D80" s="1062" t="s">
        <v>1539</v>
      </c>
      <c r="E80" s="1133">
        <v>0.2</v>
      </c>
      <c r="F80" s="1148">
        <v>30</v>
      </c>
    </row>
    <row r="81" spans="1:6" s="1099" customFormat="1" ht="36">
      <c r="A81" s="1148">
        <v>21</v>
      </c>
      <c r="B81" s="3890"/>
      <c r="C81" s="1062" t="s">
        <v>1540</v>
      </c>
      <c r="D81" s="1062" t="s">
        <v>1541</v>
      </c>
      <c r="E81" s="1133">
        <v>0.2</v>
      </c>
      <c r="F81" s="1148">
        <v>30</v>
      </c>
    </row>
    <row r="82" spans="1:6" s="1099" customFormat="1" ht="48">
      <c r="A82" s="1148">
        <v>22</v>
      </c>
      <c r="B82" s="3890"/>
      <c r="C82" s="1062" t="s">
        <v>1542</v>
      </c>
      <c r="D82" s="1062" t="s">
        <v>1543</v>
      </c>
      <c r="E82" s="1133">
        <v>0.2</v>
      </c>
      <c r="F82" s="1148">
        <v>30</v>
      </c>
    </row>
    <row r="83" spans="1:6" s="1099" customFormat="1" ht="48">
      <c r="A83" s="1148">
        <v>23</v>
      </c>
      <c r="B83" s="3890"/>
      <c r="C83" s="1062" t="s">
        <v>1544</v>
      </c>
      <c r="D83" s="1062" t="s">
        <v>1545</v>
      </c>
      <c r="E83" s="1133">
        <v>0.2</v>
      </c>
      <c r="F83" s="1148">
        <v>30</v>
      </c>
    </row>
    <row r="84" spans="1:6" s="1099" customFormat="1" ht="36">
      <c r="A84" s="1148">
        <v>24</v>
      </c>
      <c r="B84" s="3890"/>
      <c r="C84" s="1062" t="s">
        <v>1546</v>
      </c>
      <c r="D84" s="1062" t="s">
        <v>1547</v>
      </c>
      <c r="E84" s="1133">
        <v>0.2</v>
      </c>
      <c r="F84" s="1148">
        <v>30</v>
      </c>
    </row>
    <row r="85" spans="1:6" s="1099" customFormat="1" ht="36">
      <c r="A85" s="1148">
        <v>25</v>
      </c>
      <c r="B85" s="3890"/>
      <c r="C85" s="1062" t="s">
        <v>1548</v>
      </c>
      <c r="D85" s="1062" t="s">
        <v>1549</v>
      </c>
      <c r="E85" s="1133">
        <v>0.5</v>
      </c>
      <c r="F85" s="1148">
        <v>80</v>
      </c>
    </row>
    <row r="86" spans="1:6" s="1099" customFormat="1" ht="36">
      <c r="A86" s="1148">
        <v>26</v>
      </c>
      <c r="B86" s="3890"/>
      <c r="C86" s="1062" t="s">
        <v>1550</v>
      </c>
      <c r="D86" s="1062" t="s">
        <v>1551</v>
      </c>
      <c r="E86" s="1133">
        <v>0.2</v>
      </c>
      <c r="F86" s="1148">
        <v>30</v>
      </c>
    </row>
    <row r="87" spans="1:6" s="1099" customFormat="1" ht="36">
      <c r="A87" s="1148">
        <v>27</v>
      </c>
      <c r="B87" s="3890"/>
      <c r="C87" s="1062" t="s">
        <v>1552</v>
      </c>
      <c r="D87" s="1062" t="s">
        <v>1553</v>
      </c>
      <c r="E87" s="1133">
        <v>0.2</v>
      </c>
      <c r="F87" s="1148">
        <v>30</v>
      </c>
    </row>
    <row r="88" spans="1:6" s="1099" customFormat="1" ht="36">
      <c r="A88" s="1148">
        <v>28</v>
      </c>
      <c r="B88" s="3890"/>
      <c r="C88" s="1062" t="s">
        <v>1554</v>
      </c>
      <c r="D88" s="1062" t="s">
        <v>1555</v>
      </c>
      <c r="E88" s="1133">
        <v>0.2</v>
      </c>
      <c r="F88" s="1148">
        <v>30</v>
      </c>
    </row>
    <row r="89" spans="1:6" s="1099" customFormat="1" ht="24">
      <c r="A89" s="1148">
        <v>29</v>
      </c>
      <c r="B89" s="3890"/>
      <c r="C89" s="1062" t="s">
        <v>1556</v>
      </c>
      <c r="D89" s="1062" t="s">
        <v>1557</v>
      </c>
      <c r="E89" s="1133">
        <v>0.2</v>
      </c>
      <c r="F89" s="1148">
        <v>30</v>
      </c>
    </row>
    <row r="90" spans="1:6" s="1099" customFormat="1" ht="24">
      <c r="A90" s="1148">
        <v>30</v>
      </c>
      <c r="B90" s="3890"/>
      <c r="C90" s="1062" t="s">
        <v>1558</v>
      </c>
      <c r="D90" s="1062" t="s">
        <v>1559</v>
      </c>
      <c r="E90" s="1133">
        <v>0.2</v>
      </c>
      <c r="F90" s="1148">
        <v>30</v>
      </c>
    </row>
    <row r="91" spans="1:6" s="1099" customFormat="1" ht="36">
      <c r="A91" s="1148">
        <v>31</v>
      </c>
      <c r="B91" s="3890"/>
      <c r="C91" s="1062" t="s">
        <v>1560</v>
      </c>
      <c r="D91" s="1062" t="s">
        <v>1561</v>
      </c>
      <c r="E91" s="1133">
        <v>0.2</v>
      </c>
      <c r="F91" s="1148">
        <v>30</v>
      </c>
    </row>
    <row r="92" spans="1:6" s="1099" customFormat="1" ht="24">
      <c r="A92" s="1148">
        <v>32</v>
      </c>
      <c r="B92" s="3890" t="s">
        <v>1562</v>
      </c>
      <c r="C92" s="1148" t="s">
        <v>1563</v>
      </c>
      <c r="D92" s="1062" t="s">
        <v>1564</v>
      </c>
      <c r="E92" s="1133">
        <v>0.2</v>
      </c>
      <c r="F92" s="1148">
        <v>30</v>
      </c>
    </row>
    <row r="93" spans="1:6" s="1099" customFormat="1" ht="36">
      <c r="A93" s="1148">
        <v>33</v>
      </c>
      <c r="B93" s="3890"/>
      <c r="C93" s="1148" t="s">
        <v>1565</v>
      </c>
      <c r="D93" s="1062" t="s">
        <v>1566</v>
      </c>
      <c r="E93" s="1133">
        <v>0.2</v>
      </c>
      <c r="F93" s="1148">
        <v>30</v>
      </c>
    </row>
    <row r="94" spans="1:6" s="1099" customFormat="1" ht="48">
      <c r="A94" s="1148">
        <v>34</v>
      </c>
      <c r="B94" s="3890"/>
      <c r="C94" s="1148" t="s">
        <v>1567</v>
      </c>
      <c r="D94" s="1062" t="s">
        <v>1568</v>
      </c>
      <c r="E94" s="1133">
        <v>0.2</v>
      </c>
      <c r="F94" s="1148">
        <v>30</v>
      </c>
    </row>
    <row r="95" spans="1:6" s="1099" customFormat="1" ht="36">
      <c r="A95" s="1148">
        <v>35</v>
      </c>
      <c r="B95" s="3890"/>
      <c r="C95" s="1148" t="s">
        <v>1569</v>
      </c>
      <c r="D95" s="1062" t="s">
        <v>1570</v>
      </c>
      <c r="E95" s="1133">
        <v>0.2</v>
      </c>
      <c r="F95" s="1148">
        <v>30</v>
      </c>
    </row>
    <row r="96" spans="1:6" s="1099" customFormat="1" ht="48">
      <c r="A96" s="1148">
        <v>36</v>
      </c>
      <c r="B96" s="3890"/>
      <c r="C96" s="1062" t="s">
        <v>1571</v>
      </c>
      <c r="D96" s="1062" t="s">
        <v>1572</v>
      </c>
      <c r="E96" s="1133">
        <v>0.2</v>
      </c>
      <c r="F96" s="1148">
        <v>30</v>
      </c>
    </row>
    <row r="97" spans="1:6" s="1099" customFormat="1" ht="36">
      <c r="A97" s="1148">
        <v>37</v>
      </c>
      <c r="B97" s="3890"/>
      <c r="C97" s="1148" t="s">
        <v>1573</v>
      </c>
      <c r="D97" s="1062" t="s">
        <v>1574</v>
      </c>
      <c r="E97" s="1133">
        <v>0.2</v>
      </c>
      <c r="F97" s="1148">
        <v>30</v>
      </c>
    </row>
    <row r="98" spans="1:6" s="1099" customFormat="1" ht="36">
      <c r="A98" s="1148">
        <v>38</v>
      </c>
      <c r="B98" s="3890"/>
      <c r="C98" s="1148" t="s">
        <v>1575</v>
      </c>
      <c r="D98" s="1062" t="s">
        <v>1576</v>
      </c>
      <c r="E98" s="1133">
        <v>0.2</v>
      </c>
      <c r="F98" s="1148">
        <v>30</v>
      </c>
    </row>
    <row r="99" spans="1:6" s="1099" customFormat="1" ht="36">
      <c r="A99" s="1148">
        <v>39</v>
      </c>
      <c r="B99" s="3890" t="s">
        <v>1577</v>
      </c>
      <c r="C99" s="1148" t="s">
        <v>1578</v>
      </c>
      <c r="D99" s="1062" t="s">
        <v>1579</v>
      </c>
      <c r="E99" s="1133">
        <v>0.3</v>
      </c>
      <c r="F99" s="1148">
        <v>50</v>
      </c>
    </row>
    <row r="100" spans="1:6" s="1099" customFormat="1" ht="24">
      <c r="A100" s="1148">
        <v>40</v>
      </c>
      <c r="B100" s="3890"/>
      <c r="C100" s="1148" t="s">
        <v>1580</v>
      </c>
      <c r="D100" s="1062" t="s">
        <v>1581</v>
      </c>
      <c r="E100" s="1133">
        <v>0.2</v>
      </c>
      <c r="F100" s="1148">
        <v>30</v>
      </c>
    </row>
    <row r="101" spans="1:6" s="1099" customFormat="1" ht="36">
      <c r="A101" s="1148">
        <v>41</v>
      </c>
      <c r="B101" s="3890"/>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890" t="s">
        <v>1592</v>
      </c>
      <c r="C105" s="1148" t="s">
        <v>1593</v>
      </c>
      <c r="D105" s="1062" t="s">
        <v>1594</v>
      </c>
      <c r="E105" s="1133">
        <v>0.2</v>
      </c>
      <c r="F105" s="1148">
        <v>30</v>
      </c>
    </row>
    <row r="106" spans="1:6" s="1099" customFormat="1" ht="36">
      <c r="A106" s="1148">
        <v>46</v>
      </c>
      <c r="B106" s="3890"/>
      <c r="C106" s="1148" t="s">
        <v>1595</v>
      </c>
      <c r="D106" s="1062" t="s">
        <v>1596</v>
      </c>
      <c r="E106" s="1133">
        <v>0.2</v>
      </c>
      <c r="F106" s="1148">
        <v>30</v>
      </c>
    </row>
    <row r="107" spans="1:6" s="1099" customFormat="1" ht="36">
      <c r="A107" s="1148">
        <v>47</v>
      </c>
      <c r="B107" s="3890" t="s">
        <v>1597</v>
      </c>
      <c r="C107" s="1148" t="s">
        <v>1598</v>
      </c>
      <c r="D107" s="1062" t="s">
        <v>1599</v>
      </c>
      <c r="E107" s="1133">
        <v>0.3</v>
      </c>
      <c r="F107" s="1148">
        <v>50</v>
      </c>
    </row>
    <row r="108" spans="1:6" s="1099" customFormat="1" ht="36">
      <c r="A108" s="1148">
        <v>48</v>
      </c>
      <c r="B108" s="3890"/>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890" t="s">
        <v>1608</v>
      </c>
      <c r="C111" s="1148" t="s">
        <v>1609</v>
      </c>
      <c r="D111" s="1062" t="s">
        <v>1610</v>
      </c>
      <c r="E111" s="1133">
        <v>0.2</v>
      </c>
      <c r="F111" s="1148">
        <v>30</v>
      </c>
    </row>
    <row r="112" spans="1:6" s="1099" customFormat="1" ht="24">
      <c r="A112" s="1148">
        <v>52</v>
      </c>
      <c r="B112" s="3890"/>
      <c r="C112" s="1148" t="s">
        <v>1611</v>
      </c>
      <c r="D112" s="1062" t="s">
        <v>1612</v>
      </c>
      <c r="E112" s="1133">
        <v>0.2</v>
      </c>
      <c r="F112" s="1148">
        <v>30</v>
      </c>
    </row>
    <row r="113" spans="1:14" s="1099" customFormat="1" ht="24">
      <c r="A113" s="1148">
        <v>53</v>
      </c>
      <c r="B113" s="3890"/>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890" t="s">
        <v>1621</v>
      </c>
      <c r="C116" s="1148" t="s">
        <v>1622</v>
      </c>
      <c r="D116" s="1062" t="s">
        <v>1623</v>
      </c>
      <c r="E116" s="1133">
        <v>0.2</v>
      </c>
      <c r="F116" s="1148">
        <v>30</v>
      </c>
    </row>
    <row r="117" spans="1:14" ht="36">
      <c r="A117" s="1148">
        <v>57</v>
      </c>
      <c r="B117" s="3890"/>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889" t="s">
        <v>1630</v>
      </c>
      <c r="B121" s="3889"/>
      <c r="C121" s="3889"/>
      <c r="D121" s="3889"/>
      <c r="E121" s="3889"/>
      <c r="F121" s="3889"/>
      <c r="G121" s="3889"/>
      <c r="H121" s="3889"/>
      <c r="I121" s="3889"/>
      <c r="J121" s="388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894" t="s">
        <v>1036</v>
      </c>
      <c r="B1" s="3894"/>
      <c r="C1" s="3894"/>
      <c r="D1" s="3894"/>
      <c r="E1" s="3894"/>
      <c r="F1" s="3894"/>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895" t="s">
        <v>1049</v>
      </c>
      <c r="B2" s="3895"/>
      <c r="C2" s="3895"/>
      <c r="D2" s="3895"/>
      <c r="E2" s="3895"/>
      <c r="F2" s="3895"/>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896"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897"/>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2417</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2418</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898" t="s">
        <v>2076</v>
      </c>
      <c r="B1" s="3898"/>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1093</v>
      </c>
      <c r="B6" s="1841" t="s">
        <v>2085</v>
      </c>
      <c r="C6" s="1842">
        <v>0.1</v>
      </c>
      <c r="D6" s="1842">
        <v>9.0999999999999998E-2</v>
      </c>
      <c r="E6" s="1842">
        <v>9.0999999999999998E-2</v>
      </c>
      <c r="F6" s="1843">
        <v>0.1</v>
      </c>
    </row>
    <row r="7" spans="1:6" ht="14.25" thickBot="1">
      <c r="A7" s="1837" t="s">
        <v>1093</v>
      </c>
      <c r="B7" s="1844" t="s">
        <v>1081</v>
      </c>
      <c r="C7" s="1842">
        <v>8.5999999999999993E-2</v>
      </c>
      <c r="D7" s="1842">
        <v>9.6000000000000002E-2</v>
      </c>
      <c r="E7" s="1842">
        <v>7.5999999999999998E-2</v>
      </c>
      <c r="F7" s="1843">
        <v>0.1</v>
      </c>
    </row>
    <row r="8" spans="1:6" ht="14.25" thickBot="1">
      <c r="A8" s="1837" t="s">
        <v>1093</v>
      </c>
      <c r="B8" s="1841" t="s">
        <v>1094</v>
      </c>
      <c r="C8" s="1842">
        <v>9.9000000000000005E-2</v>
      </c>
      <c r="D8" s="1842">
        <v>9.8000000000000004E-2</v>
      </c>
      <c r="E8" s="1842">
        <v>9.8000000000000004E-2</v>
      </c>
      <c r="F8" s="1843">
        <v>0.1</v>
      </c>
    </row>
    <row r="9" spans="1:6" ht="14.25" thickBot="1">
      <c r="A9" s="1845" t="s">
        <v>1093</v>
      </c>
      <c r="B9" s="1846" t="s">
        <v>1108</v>
      </c>
      <c r="C9" s="1847">
        <v>0.05</v>
      </c>
      <c r="D9" s="1848"/>
      <c r="E9" s="1848"/>
      <c r="F9" s="1849"/>
    </row>
    <row r="10" spans="1:6" ht="14.25" thickBot="1">
      <c r="A10" s="1837" t="s">
        <v>1152</v>
      </c>
      <c r="B10" s="1838" t="s">
        <v>2086</v>
      </c>
      <c r="C10" s="1839">
        <v>8.8999999999999996E-2</v>
      </c>
      <c r="D10" s="1839">
        <v>7.2999999999999995E-2</v>
      </c>
      <c r="E10" s="1839">
        <v>8.2000000000000003E-2</v>
      </c>
      <c r="F10" s="1840">
        <v>0.1</v>
      </c>
    </row>
    <row r="11" spans="1:6" ht="14.25" thickBot="1">
      <c r="A11" s="1837" t="s">
        <v>1152</v>
      </c>
      <c r="B11" s="1844" t="s">
        <v>1068</v>
      </c>
      <c r="C11" s="1842">
        <v>8.8999999999999996E-2</v>
      </c>
      <c r="D11" s="1842">
        <v>7.2999999999999995E-2</v>
      </c>
      <c r="E11" s="1842">
        <v>8.2000000000000003E-2</v>
      </c>
      <c r="F11" s="1843">
        <v>0.1</v>
      </c>
    </row>
    <row r="12" spans="1:6" ht="14.25" thickBot="1">
      <c r="A12" s="1837" t="s">
        <v>1152</v>
      </c>
      <c r="B12" s="1844" t="s">
        <v>1082</v>
      </c>
      <c r="C12" s="1842">
        <v>6.0999999999999999E-2</v>
      </c>
      <c r="D12" s="1842">
        <v>7.0999999999999994E-2</v>
      </c>
      <c r="E12" s="1842">
        <v>9.6000000000000002E-2</v>
      </c>
      <c r="F12" s="1843">
        <v>0.1</v>
      </c>
    </row>
    <row r="13" spans="1:6" ht="14.25" thickBot="1">
      <c r="A13" s="1837" t="s">
        <v>1152</v>
      </c>
      <c r="B13" s="1844" t="s">
        <v>1095</v>
      </c>
      <c r="C13" s="1842">
        <v>6.9000000000000006E-2</v>
      </c>
      <c r="D13" s="1842">
        <v>6.5000000000000002E-2</v>
      </c>
      <c r="E13" s="1842">
        <v>6.6000000000000003E-2</v>
      </c>
      <c r="F13" s="1843">
        <v>0.1</v>
      </c>
    </row>
    <row r="14" spans="1:6" ht="14.25" thickBot="1">
      <c r="A14" s="1837" t="s">
        <v>1152</v>
      </c>
      <c r="B14" s="1844" t="s">
        <v>1109</v>
      </c>
      <c r="C14" s="1842">
        <v>0.1</v>
      </c>
      <c r="D14" s="1842">
        <v>6.5000000000000002E-2</v>
      </c>
      <c r="E14" s="1842">
        <v>7.0000000000000007E-2</v>
      </c>
      <c r="F14" s="1843">
        <v>0.1</v>
      </c>
    </row>
    <row r="15" spans="1:6" ht="14.25" thickBot="1">
      <c r="A15" s="1837" t="s">
        <v>1152</v>
      </c>
      <c r="B15" s="1844" t="s">
        <v>1120</v>
      </c>
      <c r="C15" s="1842">
        <v>9.8000000000000004E-2</v>
      </c>
      <c r="D15" s="1842">
        <v>8.8999999999999996E-2</v>
      </c>
      <c r="E15" s="1842">
        <v>8.8999999999999996E-2</v>
      </c>
      <c r="F15" s="1843">
        <v>0.1</v>
      </c>
    </row>
    <row r="16" spans="1:6" ht="14.25" thickBot="1">
      <c r="A16" s="1837" t="s">
        <v>1152</v>
      </c>
      <c r="B16" s="1844" t="s">
        <v>1131</v>
      </c>
      <c r="C16" s="1842">
        <v>7.0000000000000007E-2</v>
      </c>
      <c r="D16" s="1842">
        <v>9.2999999999999999E-2</v>
      </c>
      <c r="E16" s="1842">
        <v>9.6000000000000002E-2</v>
      </c>
      <c r="F16" s="1843">
        <v>0.1</v>
      </c>
    </row>
    <row r="17" spans="1:6" ht="14.25" thickBot="1">
      <c r="A17" s="1837" t="s">
        <v>1152</v>
      </c>
      <c r="B17" s="1844" t="s">
        <v>1142</v>
      </c>
      <c r="C17" s="1842">
        <v>9.5000000000000001E-2</v>
      </c>
      <c r="D17" s="1842">
        <v>0.1</v>
      </c>
      <c r="E17" s="1842">
        <v>0.1</v>
      </c>
      <c r="F17" s="1850"/>
    </row>
    <row r="18" spans="1:6" ht="14.25" thickBot="1">
      <c r="A18" s="1837" t="s">
        <v>1152</v>
      </c>
      <c r="B18" s="1844" t="s">
        <v>1154</v>
      </c>
      <c r="C18" s="1842">
        <v>7.3999999999999996E-2</v>
      </c>
      <c r="D18" s="1842">
        <v>9.9000000000000005E-2</v>
      </c>
      <c r="E18" s="1842">
        <v>0.1</v>
      </c>
      <c r="F18" s="1850"/>
    </row>
    <row r="19" spans="1:6" ht="14.25" thickBot="1">
      <c r="A19" s="1837" t="s">
        <v>1152</v>
      </c>
      <c r="B19" s="1844" t="s">
        <v>1164</v>
      </c>
      <c r="C19" s="1842">
        <v>9.9000000000000005E-2</v>
      </c>
      <c r="D19" s="1842">
        <v>7.5999999999999998E-2</v>
      </c>
      <c r="E19" s="1842">
        <v>8.6999999999999994E-2</v>
      </c>
      <c r="F19" s="1850"/>
    </row>
    <row r="20" spans="1:6" ht="14.25" thickBot="1">
      <c r="A20" s="1837" t="s">
        <v>1152</v>
      </c>
      <c r="B20" s="1844" t="s">
        <v>1174</v>
      </c>
      <c r="C20" s="1842">
        <v>9.8000000000000004E-2</v>
      </c>
      <c r="D20" s="1842">
        <v>8.5000000000000006E-2</v>
      </c>
      <c r="E20" s="1842">
        <v>8.2000000000000003E-2</v>
      </c>
      <c r="F20" s="1850"/>
    </row>
    <row r="21" spans="1:6" ht="14.25" thickBot="1">
      <c r="A21" s="1837" t="s">
        <v>1152</v>
      </c>
      <c r="B21" s="1844" t="s">
        <v>1184</v>
      </c>
      <c r="C21" s="1842">
        <v>6.6000000000000003E-2</v>
      </c>
      <c r="D21" s="1842">
        <v>6.4000000000000001E-2</v>
      </c>
      <c r="E21" s="1842">
        <v>6.5000000000000002E-2</v>
      </c>
      <c r="F21" s="1850"/>
    </row>
    <row r="22" spans="1:6" ht="14.25" thickBot="1">
      <c r="A22" s="1837" t="s">
        <v>1152</v>
      </c>
      <c r="B22" s="1844" t="s">
        <v>2087</v>
      </c>
      <c r="C22" s="1842">
        <v>0.08</v>
      </c>
      <c r="D22" s="1842">
        <v>9.8000000000000004E-2</v>
      </c>
      <c r="E22" s="1842">
        <v>9.8000000000000004E-2</v>
      </c>
      <c r="F22" s="1850"/>
    </row>
    <row r="23" spans="1:6" ht="14.25" thickBot="1">
      <c r="A23" s="1837" t="s">
        <v>1152</v>
      </c>
      <c r="B23" s="1844" t="s">
        <v>1204</v>
      </c>
      <c r="C23" s="1842">
        <v>9.9000000000000005E-2</v>
      </c>
      <c r="D23" s="1842">
        <v>9.8000000000000004E-2</v>
      </c>
      <c r="E23" s="1842">
        <v>9.0999999999999998E-2</v>
      </c>
      <c r="F23" s="1850"/>
    </row>
    <row r="24" spans="1:6" ht="14.25" thickBot="1">
      <c r="A24" s="1837" t="s">
        <v>1152</v>
      </c>
      <c r="B24" s="1844" t="s">
        <v>1214</v>
      </c>
      <c r="C24" s="1842">
        <v>8.8999999999999996E-2</v>
      </c>
      <c r="D24" s="1842">
        <v>9.7000000000000003E-2</v>
      </c>
      <c r="E24" s="1842">
        <v>7.0000000000000007E-2</v>
      </c>
      <c r="F24" s="1850"/>
    </row>
    <row r="25" spans="1:6" ht="14.25" thickBot="1">
      <c r="A25" s="1837" t="s">
        <v>1152</v>
      </c>
      <c r="B25" s="1844" t="s">
        <v>1224</v>
      </c>
      <c r="C25" s="1842">
        <v>8.8999999999999996E-2</v>
      </c>
      <c r="D25" s="1842">
        <v>0.1</v>
      </c>
      <c r="E25" s="1842">
        <v>8.1000000000000003E-2</v>
      </c>
      <c r="F25" s="1850"/>
    </row>
    <row r="26" spans="1:6" ht="14.25" thickBot="1">
      <c r="A26" s="1837" t="s">
        <v>1152</v>
      </c>
      <c r="B26" s="1844" t="s">
        <v>1234</v>
      </c>
      <c r="C26" s="1851"/>
      <c r="D26" s="1842">
        <v>9.6000000000000002E-2</v>
      </c>
      <c r="E26" s="1842">
        <v>9.2999999999999999E-2</v>
      </c>
      <c r="F26" s="1850"/>
    </row>
    <row r="27" spans="1:6" ht="14.25" thickBot="1">
      <c r="A27" s="1837" t="s">
        <v>1152</v>
      </c>
      <c r="B27" s="1844" t="s">
        <v>1244</v>
      </c>
      <c r="C27" s="1851"/>
      <c r="D27" s="1842">
        <v>7.5999999999999998E-2</v>
      </c>
      <c r="E27" s="1842">
        <v>9.1999999999999998E-2</v>
      </c>
      <c r="F27" s="1850"/>
    </row>
    <row r="28" spans="1:6" ht="14.25" thickBot="1">
      <c r="A28" s="1845" t="s">
        <v>1152</v>
      </c>
      <c r="B28" s="1846" t="s">
        <v>1254</v>
      </c>
      <c r="C28" s="1848"/>
      <c r="D28" s="1847">
        <v>7.5999999999999998E-2</v>
      </c>
      <c r="E28" s="1847">
        <v>9.1999999999999998E-2</v>
      </c>
      <c r="F28" s="1849"/>
    </row>
    <row r="29" spans="1:6" ht="14.25" thickBot="1">
      <c r="A29" s="1837" t="s">
        <v>1323</v>
      </c>
      <c r="B29" s="1838" t="s">
        <v>2088</v>
      </c>
      <c r="C29" s="1839">
        <v>6.4000000000000001E-2</v>
      </c>
      <c r="D29" s="1839">
        <v>6.5000000000000002E-2</v>
      </c>
      <c r="E29" s="1839">
        <v>6.9000000000000006E-2</v>
      </c>
      <c r="F29" s="1840">
        <v>0.1</v>
      </c>
    </row>
    <row r="30" spans="1:6" ht="14.25" thickBot="1">
      <c r="A30" s="1837" t="s">
        <v>1323</v>
      </c>
      <c r="B30" s="1844" t="s">
        <v>1069</v>
      </c>
      <c r="C30" s="1842">
        <v>6.4000000000000001E-2</v>
      </c>
      <c r="D30" s="1842">
        <v>9.9000000000000005E-2</v>
      </c>
      <c r="E30" s="1842">
        <v>0.1</v>
      </c>
      <c r="F30" s="1843">
        <v>0.1</v>
      </c>
    </row>
    <row r="31" spans="1:6" ht="14.25" thickBot="1">
      <c r="A31" s="1837" t="s">
        <v>1323</v>
      </c>
      <c r="B31" s="1844" t="s">
        <v>1083</v>
      </c>
      <c r="C31" s="1842">
        <v>0.1</v>
      </c>
      <c r="D31" s="1842">
        <v>9.5000000000000001E-2</v>
      </c>
      <c r="E31" s="1842">
        <v>8.8999999999999996E-2</v>
      </c>
      <c r="F31" s="1843">
        <v>0.1</v>
      </c>
    </row>
    <row r="32" spans="1:6" ht="14.25" thickBot="1">
      <c r="A32" s="1837" t="s">
        <v>1323</v>
      </c>
      <c r="B32" s="1844" t="s">
        <v>1096</v>
      </c>
      <c r="C32" s="1842">
        <v>0.05</v>
      </c>
      <c r="D32" s="1842">
        <v>0.05</v>
      </c>
      <c r="E32" s="1842">
        <v>8.7999999999999995E-2</v>
      </c>
      <c r="F32" s="1843">
        <v>0.1</v>
      </c>
    </row>
    <row r="33" spans="1:6" ht="14.25" thickBot="1">
      <c r="A33" s="1837" t="s">
        <v>1323</v>
      </c>
      <c r="B33" s="1844" t="s">
        <v>1110</v>
      </c>
      <c r="C33" s="1842">
        <v>7.4999999999999997E-2</v>
      </c>
      <c r="D33" s="1842">
        <v>9.4E-2</v>
      </c>
      <c r="E33" s="1842">
        <v>9.7000000000000003E-2</v>
      </c>
      <c r="F33" s="1843">
        <v>0.1</v>
      </c>
    </row>
    <row r="34" spans="1:6" ht="14.25" thickBot="1">
      <c r="A34" s="1837" t="s">
        <v>1323</v>
      </c>
      <c r="B34" s="1844" t="s">
        <v>1121</v>
      </c>
      <c r="C34" s="1842">
        <v>9.8000000000000004E-2</v>
      </c>
      <c r="D34" s="1842">
        <v>8.5999999999999993E-2</v>
      </c>
      <c r="E34" s="1842">
        <v>9.7000000000000003E-2</v>
      </c>
      <c r="F34" s="1843">
        <v>0.1</v>
      </c>
    </row>
    <row r="35" spans="1:6" ht="14.25" thickBot="1">
      <c r="A35" s="1837" t="s">
        <v>1323</v>
      </c>
      <c r="B35" s="1844" t="s">
        <v>1132</v>
      </c>
      <c r="C35" s="1842">
        <v>5.8999999999999997E-2</v>
      </c>
      <c r="D35" s="1842">
        <v>6.5000000000000002E-2</v>
      </c>
      <c r="E35" s="1842">
        <v>7.0000000000000007E-2</v>
      </c>
      <c r="F35" s="1843">
        <v>0.1</v>
      </c>
    </row>
    <row r="36" spans="1:6" ht="14.25" thickBot="1">
      <c r="A36" s="1837" t="s">
        <v>1323</v>
      </c>
      <c r="B36" s="1844" t="s">
        <v>1143</v>
      </c>
      <c r="C36" s="1842">
        <v>6.3E-2</v>
      </c>
      <c r="D36" s="1842">
        <v>0.1</v>
      </c>
      <c r="E36" s="1842">
        <v>0.1</v>
      </c>
      <c r="F36" s="1843">
        <v>0.1</v>
      </c>
    </row>
    <row r="37" spans="1:6" ht="14.25" thickBot="1">
      <c r="A37" s="1837" t="s">
        <v>1323</v>
      </c>
      <c r="B37" s="1844" t="s">
        <v>1155</v>
      </c>
      <c r="C37" s="1842">
        <v>7.3999999999999996E-2</v>
      </c>
      <c r="D37" s="1842">
        <v>0.1</v>
      </c>
      <c r="E37" s="1842">
        <v>0.1</v>
      </c>
      <c r="F37" s="1843">
        <v>0.1</v>
      </c>
    </row>
    <row r="38" spans="1:6" ht="14.25" thickBot="1">
      <c r="A38" s="1837" t="s">
        <v>1323</v>
      </c>
      <c r="B38" s="1844" t="s">
        <v>1165</v>
      </c>
      <c r="C38" s="1842">
        <v>0.1</v>
      </c>
      <c r="D38" s="1842">
        <v>9.6000000000000002E-2</v>
      </c>
      <c r="E38" s="1842">
        <v>9.6000000000000002E-2</v>
      </c>
      <c r="F38" s="1850"/>
    </row>
    <row r="39" spans="1:6" ht="14.25" thickBot="1">
      <c r="A39" s="1837" t="s">
        <v>1323</v>
      </c>
      <c r="B39" s="1844" t="s">
        <v>1175</v>
      </c>
      <c r="C39" s="1842">
        <v>0.1</v>
      </c>
      <c r="D39" s="1842">
        <v>9.6000000000000002E-2</v>
      </c>
      <c r="E39" s="1842">
        <v>9.6000000000000002E-2</v>
      </c>
      <c r="F39" s="1850"/>
    </row>
    <row r="40" spans="1:6" ht="14.25" thickBot="1">
      <c r="A40" s="1837" t="s">
        <v>1323</v>
      </c>
      <c r="B40" s="1844" t="s">
        <v>1185</v>
      </c>
      <c r="C40" s="1842">
        <v>9.6000000000000002E-2</v>
      </c>
      <c r="D40" s="1842">
        <v>0.1</v>
      </c>
      <c r="E40" s="1842">
        <v>9.9000000000000005E-2</v>
      </c>
      <c r="F40" s="1850"/>
    </row>
    <row r="41" spans="1:6" ht="14.25" thickBot="1">
      <c r="A41" s="1837" t="s">
        <v>1323</v>
      </c>
      <c r="B41" s="1844" t="s">
        <v>1195</v>
      </c>
      <c r="C41" s="1842">
        <v>9.6000000000000002E-2</v>
      </c>
      <c r="D41" s="1842">
        <v>9.8000000000000004E-2</v>
      </c>
      <c r="E41" s="1842">
        <v>9.8000000000000004E-2</v>
      </c>
      <c r="F41" s="1850"/>
    </row>
    <row r="42" spans="1:6" ht="14.25" thickBot="1">
      <c r="A42" s="1837" t="s">
        <v>1323</v>
      </c>
      <c r="B42" s="1844" t="s">
        <v>1205</v>
      </c>
      <c r="C42" s="1842">
        <v>0.1</v>
      </c>
      <c r="D42" s="1842">
        <v>8.7999999999999995E-2</v>
      </c>
      <c r="E42" s="1842">
        <v>0.1</v>
      </c>
      <c r="F42" s="1850"/>
    </row>
    <row r="43" spans="1:6" ht="14.25" thickBot="1">
      <c r="A43" s="1837" t="s">
        <v>1323</v>
      </c>
      <c r="B43" s="1844" t="s">
        <v>1215</v>
      </c>
      <c r="C43" s="1842">
        <v>9.8000000000000004E-2</v>
      </c>
      <c r="D43" s="1842">
        <v>9.7000000000000003E-2</v>
      </c>
      <c r="E43" s="1842">
        <v>9.6000000000000002E-2</v>
      </c>
      <c r="F43" s="1850"/>
    </row>
    <row r="44" spans="1:6" ht="14.25" thickBot="1">
      <c r="A44" s="1837" t="s">
        <v>1323</v>
      </c>
      <c r="B44" s="1844" t="s">
        <v>1225</v>
      </c>
      <c r="C44" s="1842">
        <v>8.5999999999999993E-2</v>
      </c>
      <c r="D44" s="1842">
        <v>7.9000000000000001E-2</v>
      </c>
      <c r="E44" s="1842">
        <v>7.0999999999999994E-2</v>
      </c>
      <c r="F44" s="1850"/>
    </row>
    <row r="45" spans="1:6" ht="14.25" thickBot="1">
      <c r="A45" s="1837" t="s">
        <v>1323</v>
      </c>
      <c r="B45" s="1844" t="s">
        <v>1235</v>
      </c>
      <c r="C45" s="1842">
        <v>9.8000000000000004E-2</v>
      </c>
      <c r="D45" s="1842">
        <v>9.6000000000000002E-2</v>
      </c>
      <c r="E45" s="1842">
        <v>9.6000000000000002E-2</v>
      </c>
      <c r="F45" s="1850"/>
    </row>
    <row r="46" spans="1:6" ht="14.25" thickBot="1">
      <c r="A46" s="1837" t="s">
        <v>1323</v>
      </c>
      <c r="B46" s="1844" t="s">
        <v>1245</v>
      </c>
      <c r="C46" s="1842">
        <v>8.5999999999999993E-2</v>
      </c>
      <c r="D46" s="1842">
        <v>9.8000000000000004E-2</v>
      </c>
      <c r="E46" s="1842">
        <v>8.7999999999999995E-2</v>
      </c>
      <c r="F46" s="1850"/>
    </row>
    <row r="47" spans="1:6" ht="14.25" thickBot="1">
      <c r="A47" s="1837" t="s">
        <v>1323</v>
      </c>
      <c r="B47" s="1844" t="s">
        <v>1255</v>
      </c>
      <c r="C47" s="1842">
        <v>9.6000000000000002E-2</v>
      </c>
      <c r="D47" s="1851"/>
      <c r="E47" s="1842">
        <v>6.9000000000000006E-2</v>
      </c>
      <c r="F47" s="1850"/>
    </row>
    <row r="48" spans="1:6" ht="14.25" thickBot="1">
      <c r="A48" s="1845" t="s">
        <v>1323</v>
      </c>
      <c r="B48" s="1846" t="s">
        <v>1264</v>
      </c>
      <c r="C48" s="1847">
        <v>9.8000000000000004E-2</v>
      </c>
      <c r="D48" s="1848"/>
      <c r="E48" s="1847">
        <v>9.5000000000000001E-2</v>
      </c>
      <c r="F48" s="1849"/>
    </row>
    <row r="49" spans="1:6" ht="14.25" thickBot="1">
      <c r="A49" s="1837" t="s">
        <v>922</v>
      </c>
      <c r="B49" s="1838" t="s">
        <v>2089</v>
      </c>
      <c r="C49" s="1839">
        <v>9.7000000000000003E-2</v>
      </c>
      <c r="D49" s="1839">
        <v>9.5000000000000001E-2</v>
      </c>
      <c r="E49" s="1839">
        <v>9.7000000000000003E-2</v>
      </c>
      <c r="F49" s="1840">
        <v>0.1</v>
      </c>
    </row>
    <row r="50" spans="1:6" ht="14.25" thickBot="1">
      <c r="A50" s="1837" t="s">
        <v>922</v>
      </c>
      <c r="B50" s="1841" t="s">
        <v>1070</v>
      </c>
      <c r="C50" s="1842">
        <v>7.4999999999999997E-2</v>
      </c>
      <c r="D50" s="1842">
        <v>9.5000000000000001E-2</v>
      </c>
      <c r="E50" s="1842">
        <v>0.1</v>
      </c>
      <c r="F50" s="1843">
        <v>0.1</v>
      </c>
    </row>
    <row r="51" spans="1:6" ht="14.25" thickBot="1">
      <c r="A51" s="1837" t="s">
        <v>922</v>
      </c>
      <c r="B51" s="1841" t="s">
        <v>1084</v>
      </c>
      <c r="C51" s="1842">
        <v>9.8000000000000004E-2</v>
      </c>
      <c r="D51" s="1842">
        <v>8.8999999999999996E-2</v>
      </c>
      <c r="E51" s="1842">
        <v>0.1</v>
      </c>
      <c r="F51" s="1843">
        <v>0.1</v>
      </c>
    </row>
    <row r="52" spans="1:6" ht="14.25" thickBot="1">
      <c r="A52" s="1837" t="s">
        <v>922</v>
      </c>
      <c r="B52" s="1841" t="s">
        <v>1097</v>
      </c>
      <c r="C52" s="1842">
        <v>9.8000000000000004E-2</v>
      </c>
      <c r="D52" s="1842">
        <v>9.7000000000000003E-2</v>
      </c>
      <c r="E52" s="1842">
        <v>8.1000000000000003E-2</v>
      </c>
      <c r="F52" s="1843">
        <v>0.1</v>
      </c>
    </row>
    <row r="53" spans="1:6" ht="14.25" thickBot="1">
      <c r="A53" s="1837" t="s">
        <v>922</v>
      </c>
      <c r="B53" s="1841" t="s">
        <v>1111</v>
      </c>
      <c r="C53" s="1842">
        <v>9.7000000000000003E-2</v>
      </c>
      <c r="D53" s="1842">
        <v>7.5999999999999998E-2</v>
      </c>
      <c r="E53" s="1842">
        <v>7.0999999999999994E-2</v>
      </c>
      <c r="F53" s="1843">
        <v>0.1</v>
      </c>
    </row>
    <row r="54" spans="1:6" ht="14.25" thickBot="1">
      <c r="A54" s="1837" t="s">
        <v>922</v>
      </c>
      <c r="B54" s="1841" t="s">
        <v>1122</v>
      </c>
      <c r="C54" s="1842">
        <v>7.5999999999999998E-2</v>
      </c>
      <c r="D54" s="1842">
        <v>0.1</v>
      </c>
      <c r="E54" s="1842">
        <v>9.9000000000000005E-2</v>
      </c>
      <c r="F54" s="1843">
        <v>0.1</v>
      </c>
    </row>
    <row r="55" spans="1:6" ht="14.25" thickBot="1">
      <c r="A55" s="1837" t="s">
        <v>922</v>
      </c>
      <c r="B55" s="1841" t="s">
        <v>1133</v>
      </c>
      <c r="C55" s="1842">
        <v>0.1</v>
      </c>
      <c r="D55" s="1842">
        <v>0.1</v>
      </c>
      <c r="E55" s="1842">
        <v>9.6000000000000002E-2</v>
      </c>
      <c r="F55" s="1843">
        <v>0.1</v>
      </c>
    </row>
    <row r="56" spans="1:6" ht="14.25" thickBot="1">
      <c r="A56" s="1837" t="s">
        <v>922</v>
      </c>
      <c r="B56" s="1841" t="s">
        <v>1144</v>
      </c>
      <c r="C56" s="1842">
        <v>0.1</v>
      </c>
      <c r="D56" s="1842">
        <v>9.6000000000000002E-2</v>
      </c>
      <c r="E56" s="1842">
        <v>5.1999999999999998E-2</v>
      </c>
      <c r="F56" s="1843">
        <v>0.1</v>
      </c>
    </row>
    <row r="57" spans="1:6" ht="14.25" thickBot="1">
      <c r="A57" s="1837" t="s">
        <v>922</v>
      </c>
      <c r="B57" s="1841" t="s">
        <v>1156</v>
      </c>
      <c r="C57" s="1842">
        <v>9.7000000000000003E-2</v>
      </c>
      <c r="D57" s="1842">
        <v>9.6000000000000002E-2</v>
      </c>
      <c r="E57" s="1842">
        <v>9.6000000000000002E-2</v>
      </c>
      <c r="F57" s="1843">
        <v>0.1</v>
      </c>
    </row>
    <row r="58" spans="1:6" ht="14.25" thickBot="1">
      <c r="A58" s="1837" t="s">
        <v>922</v>
      </c>
      <c r="B58" s="1841" t="s">
        <v>1166</v>
      </c>
      <c r="C58" s="1842">
        <v>9.6000000000000002E-2</v>
      </c>
      <c r="D58" s="1842">
        <v>9.9000000000000005E-2</v>
      </c>
      <c r="E58" s="1842">
        <v>9.6000000000000002E-2</v>
      </c>
      <c r="F58" s="1843">
        <v>0.1</v>
      </c>
    </row>
    <row r="59" spans="1:6" ht="14.25" thickBot="1">
      <c r="A59" s="1837" t="s">
        <v>922</v>
      </c>
      <c r="B59" s="1841" t="s">
        <v>1176</v>
      </c>
      <c r="C59" s="1842">
        <v>7.1999999999999995E-2</v>
      </c>
      <c r="D59" s="1842">
        <v>9.6000000000000002E-2</v>
      </c>
      <c r="E59" s="1842">
        <v>7.0999999999999994E-2</v>
      </c>
      <c r="F59" s="1843">
        <v>0.1</v>
      </c>
    </row>
    <row r="60" spans="1:6" ht="14.25" thickBot="1">
      <c r="A60" s="1837" t="s">
        <v>922</v>
      </c>
      <c r="B60" s="1841" t="s">
        <v>1186</v>
      </c>
      <c r="C60" s="1842">
        <v>9.6000000000000002E-2</v>
      </c>
      <c r="D60" s="1842">
        <v>8.8999999999999996E-2</v>
      </c>
      <c r="E60" s="1842">
        <v>9.6000000000000002E-2</v>
      </c>
      <c r="F60" s="1843">
        <v>0.1</v>
      </c>
    </row>
    <row r="61" spans="1:6" ht="14.25" thickBot="1">
      <c r="A61" s="1837" t="s">
        <v>922</v>
      </c>
      <c r="B61" s="1841" t="s">
        <v>1196</v>
      </c>
      <c r="C61" s="1842">
        <v>8.8999999999999996E-2</v>
      </c>
      <c r="D61" s="1842">
        <v>9.8000000000000004E-2</v>
      </c>
      <c r="E61" s="1842">
        <v>8.7999999999999995E-2</v>
      </c>
      <c r="F61" s="1850"/>
    </row>
    <row r="62" spans="1:6" ht="14.25" thickBot="1">
      <c r="A62" s="1837" t="s">
        <v>922</v>
      </c>
      <c r="B62" s="1841" t="s">
        <v>1206</v>
      </c>
      <c r="C62" s="1842">
        <v>9.8000000000000004E-2</v>
      </c>
      <c r="D62" s="1842">
        <v>9.2999999999999999E-2</v>
      </c>
      <c r="E62" s="1842">
        <v>9.7000000000000003E-2</v>
      </c>
      <c r="F62" s="1850"/>
    </row>
    <row r="63" spans="1:6" ht="14.25" thickBot="1">
      <c r="A63" s="1837" t="s">
        <v>922</v>
      </c>
      <c r="B63" s="1841" t="s">
        <v>1216</v>
      </c>
      <c r="C63" s="1842">
        <v>9.6000000000000002E-2</v>
      </c>
      <c r="D63" s="1842">
        <v>9.8000000000000004E-2</v>
      </c>
      <c r="E63" s="1842">
        <v>0.09</v>
      </c>
      <c r="F63" s="1850"/>
    </row>
    <row r="64" spans="1:6" ht="14.25" thickBot="1">
      <c r="A64" s="1837" t="s">
        <v>922</v>
      </c>
      <c r="B64" s="1841" t="s">
        <v>1226</v>
      </c>
      <c r="C64" s="1842">
        <v>9.9000000000000005E-2</v>
      </c>
      <c r="D64" s="1842">
        <v>9.7000000000000003E-2</v>
      </c>
      <c r="E64" s="1842">
        <v>9.9000000000000005E-2</v>
      </c>
      <c r="F64" s="1850"/>
    </row>
    <row r="65" spans="1:6" ht="14.25" thickBot="1">
      <c r="A65" s="1837" t="s">
        <v>922</v>
      </c>
      <c r="B65" s="1841" t="s">
        <v>1236</v>
      </c>
      <c r="C65" s="1842">
        <v>9.8000000000000004E-2</v>
      </c>
      <c r="D65" s="1842">
        <v>9.6000000000000002E-2</v>
      </c>
      <c r="E65" s="1842">
        <v>9.6000000000000002E-2</v>
      </c>
      <c r="F65" s="1850"/>
    </row>
    <row r="66" spans="1:6" ht="14.25" thickBot="1">
      <c r="A66" s="1837" t="s">
        <v>922</v>
      </c>
      <c r="B66" s="1841" t="s">
        <v>1246</v>
      </c>
      <c r="C66" s="1842">
        <v>9.6000000000000002E-2</v>
      </c>
      <c r="D66" s="1842">
        <v>9.1999999999999998E-2</v>
      </c>
      <c r="E66" s="1842">
        <v>9.6000000000000002E-2</v>
      </c>
      <c r="F66" s="1850"/>
    </row>
    <row r="67" spans="1:6" ht="14.25" thickBot="1">
      <c r="A67" s="1837" t="s">
        <v>922</v>
      </c>
      <c r="B67" s="1841" t="s">
        <v>1256</v>
      </c>
      <c r="C67" s="1842">
        <v>9.4E-2</v>
      </c>
      <c r="D67" s="1842">
        <v>0.1</v>
      </c>
      <c r="E67" s="1842">
        <v>8.7999999999999995E-2</v>
      </c>
      <c r="F67" s="1850"/>
    </row>
    <row r="68" spans="1:6" ht="14.25" thickBot="1">
      <c r="A68" s="1837" t="s">
        <v>922</v>
      </c>
      <c r="B68" s="1841" t="s">
        <v>1265</v>
      </c>
      <c r="C68" s="1842">
        <v>0.1</v>
      </c>
      <c r="D68" s="1842">
        <v>8.7999999999999995E-2</v>
      </c>
      <c r="E68" s="1842">
        <v>9.7000000000000003E-2</v>
      </c>
      <c r="F68" s="1850"/>
    </row>
    <row r="69" spans="1:6" ht="14.25" thickBot="1">
      <c r="A69" s="1837" t="s">
        <v>922</v>
      </c>
      <c r="B69" s="1841" t="s">
        <v>1274</v>
      </c>
      <c r="C69" s="1842">
        <v>6.4000000000000001E-2</v>
      </c>
      <c r="D69" s="1842">
        <v>0.1</v>
      </c>
      <c r="E69" s="1842">
        <v>0.1</v>
      </c>
      <c r="F69" s="1850"/>
    </row>
    <row r="70" spans="1:6" ht="14.25" thickBot="1">
      <c r="A70" s="1837" t="s">
        <v>922</v>
      </c>
      <c r="B70" s="1841" t="s">
        <v>1282</v>
      </c>
      <c r="C70" s="1842">
        <v>9.0999999999999998E-2</v>
      </c>
      <c r="D70" s="1851"/>
      <c r="E70" s="1851"/>
      <c r="F70" s="1850"/>
    </row>
    <row r="71" spans="1:6" ht="14.25" thickBot="1">
      <c r="A71" s="1837" t="s">
        <v>922</v>
      </c>
      <c r="B71" s="1841" t="s">
        <v>1289</v>
      </c>
      <c r="C71" s="1842">
        <v>0.1</v>
      </c>
      <c r="D71" s="1851"/>
      <c r="E71" s="1851"/>
      <c r="F71" s="1850"/>
    </row>
    <row r="72" spans="1:6" ht="14.25" thickBot="1">
      <c r="A72" s="1837" t="s">
        <v>922</v>
      </c>
      <c r="B72" s="1841" t="s">
        <v>2090</v>
      </c>
      <c r="C72" s="1851"/>
      <c r="D72" s="1851"/>
      <c r="E72" s="1851"/>
      <c r="F72" s="1843">
        <v>0.05</v>
      </c>
    </row>
    <row r="73" spans="1:6" ht="14.25" thickBot="1">
      <c r="A73" s="1837" t="s">
        <v>922</v>
      </c>
      <c r="B73" s="1841" t="s">
        <v>2091</v>
      </c>
      <c r="C73" s="1851"/>
      <c r="D73" s="1851"/>
      <c r="E73" s="1851"/>
      <c r="F73" s="1843">
        <v>0.05</v>
      </c>
    </row>
    <row r="74" spans="1:6" ht="14.25" thickBot="1">
      <c r="A74" s="1837" t="s">
        <v>922</v>
      </c>
      <c r="B74" s="1841" t="s">
        <v>2092</v>
      </c>
      <c r="C74" s="1851"/>
      <c r="D74" s="1851"/>
      <c r="E74" s="1851"/>
      <c r="F74" s="1843">
        <v>0.05</v>
      </c>
    </row>
    <row r="75" spans="1:6" ht="14.25" thickBot="1">
      <c r="A75" s="1845" t="s">
        <v>922</v>
      </c>
      <c r="B75" s="1852" t="s">
        <v>2093</v>
      </c>
      <c r="C75" s="1848"/>
      <c r="D75" s="1848"/>
      <c r="E75" s="1848"/>
      <c r="F75" s="1853">
        <v>0.05</v>
      </c>
    </row>
    <row r="76" spans="1:6" ht="14.25" thickBot="1">
      <c r="A76" s="1837" t="s">
        <v>1404</v>
      </c>
      <c r="B76" s="1838" t="s">
        <v>2094</v>
      </c>
      <c r="C76" s="1839">
        <v>0.1</v>
      </c>
      <c r="D76" s="1839">
        <v>0.1</v>
      </c>
      <c r="E76" s="1839">
        <v>0.1</v>
      </c>
      <c r="F76" s="1840">
        <v>0.1</v>
      </c>
    </row>
    <row r="77" spans="1:6" ht="14.25" thickBot="1">
      <c r="A77" s="1837" t="s">
        <v>1404</v>
      </c>
      <c r="B77" s="1841" t="s">
        <v>1071</v>
      </c>
      <c r="C77" s="1842">
        <v>8.7999999999999995E-2</v>
      </c>
      <c r="D77" s="1842">
        <v>8.6999999999999994E-2</v>
      </c>
      <c r="E77" s="1842">
        <v>7.9000000000000001E-2</v>
      </c>
      <c r="F77" s="1843">
        <v>0.1</v>
      </c>
    </row>
    <row r="78" spans="1:6" ht="14.25" thickBot="1">
      <c r="A78" s="1837" t="s">
        <v>1404</v>
      </c>
      <c r="B78" s="1841" t="s">
        <v>1085</v>
      </c>
      <c r="C78" s="1842">
        <v>8.6999999999999994E-2</v>
      </c>
      <c r="D78" s="1842">
        <v>8.4000000000000005E-2</v>
      </c>
      <c r="E78" s="1842">
        <v>9.6000000000000002E-2</v>
      </c>
      <c r="F78" s="1843">
        <v>0.1</v>
      </c>
    </row>
    <row r="79" spans="1:6" ht="14.25" thickBot="1">
      <c r="A79" s="1837" t="s">
        <v>1404</v>
      </c>
      <c r="B79" s="1841" t="s">
        <v>1098</v>
      </c>
      <c r="C79" s="1842">
        <v>9.8000000000000004E-2</v>
      </c>
      <c r="D79" s="1842">
        <v>9.8000000000000004E-2</v>
      </c>
      <c r="E79" s="1842">
        <v>9.0999999999999998E-2</v>
      </c>
      <c r="F79" s="1843">
        <v>0.1</v>
      </c>
    </row>
    <row r="80" spans="1:6" ht="14.25" thickBot="1">
      <c r="A80" s="1837" t="s">
        <v>1404</v>
      </c>
      <c r="B80" s="1841" t="s">
        <v>1112</v>
      </c>
      <c r="C80" s="1842">
        <v>9.6000000000000002E-2</v>
      </c>
      <c r="D80" s="1842">
        <v>9.6000000000000002E-2</v>
      </c>
      <c r="E80" s="1842">
        <v>0.1</v>
      </c>
      <c r="F80" s="1843">
        <v>0.1</v>
      </c>
    </row>
    <row r="81" spans="1:6" ht="14.25" thickBot="1">
      <c r="A81" s="1837" t="s">
        <v>1404</v>
      </c>
      <c r="B81" s="1841" t="s">
        <v>1123</v>
      </c>
      <c r="C81" s="1842">
        <v>9.9000000000000005E-2</v>
      </c>
      <c r="D81" s="1842">
        <v>9.9000000000000005E-2</v>
      </c>
      <c r="E81" s="1842">
        <v>9.8000000000000004E-2</v>
      </c>
      <c r="F81" s="1843">
        <v>0.1</v>
      </c>
    </row>
    <row r="82" spans="1:6" ht="14.25" thickBot="1">
      <c r="A82" s="1837" t="s">
        <v>1404</v>
      </c>
      <c r="B82" s="1841" t="s">
        <v>1134</v>
      </c>
      <c r="C82" s="1842">
        <v>9.9000000000000005E-2</v>
      </c>
      <c r="D82" s="1842">
        <v>9.9000000000000005E-2</v>
      </c>
      <c r="E82" s="1842">
        <v>9.7000000000000003E-2</v>
      </c>
      <c r="F82" s="1843">
        <v>0.1</v>
      </c>
    </row>
    <row r="83" spans="1:6" ht="14.25" thickBot="1">
      <c r="A83" s="1837" t="s">
        <v>1404</v>
      </c>
      <c r="B83" s="1841" t="s">
        <v>1145</v>
      </c>
      <c r="C83" s="1842">
        <v>9.8000000000000004E-2</v>
      </c>
      <c r="D83" s="1842">
        <v>9.8000000000000004E-2</v>
      </c>
      <c r="E83" s="1842">
        <v>9.8000000000000004E-2</v>
      </c>
      <c r="F83" s="1843">
        <v>0.1</v>
      </c>
    </row>
    <row r="84" spans="1:6" ht="14.25" thickBot="1">
      <c r="A84" s="1837" t="s">
        <v>1404</v>
      </c>
      <c r="B84" s="1841" t="s">
        <v>1157</v>
      </c>
      <c r="C84" s="1842">
        <v>9.9000000000000005E-2</v>
      </c>
      <c r="D84" s="1842">
        <v>9.9000000000000005E-2</v>
      </c>
      <c r="E84" s="1842">
        <v>9.9000000000000005E-2</v>
      </c>
      <c r="F84" s="1843">
        <v>0.1</v>
      </c>
    </row>
    <row r="85" spans="1:6" ht="14.25" thickBot="1">
      <c r="A85" s="1837" t="s">
        <v>1404</v>
      </c>
      <c r="B85" s="1841" t="s">
        <v>1167</v>
      </c>
      <c r="C85" s="1842">
        <v>9.9000000000000005E-2</v>
      </c>
      <c r="D85" s="1842">
        <v>9.9000000000000005E-2</v>
      </c>
      <c r="E85" s="1842">
        <v>9.9000000000000005E-2</v>
      </c>
      <c r="F85" s="1843">
        <v>0.1</v>
      </c>
    </row>
    <row r="86" spans="1:6" ht="14.25" thickBot="1">
      <c r="A86" s="1837" t="s">
        <v>1404</v>
      </c>
      <c r="B86" s="1841" t="s">
        <v>1177</v>
      </c>
      <c r="C86" s="1842">
        <v>0.1</v>
      </c>
      <c r="D86" s="1842">
        <v>0.1</v>
      </c>
      <c r="E86" s="1842">
        <v>7.6999999999999999E-2</v>
      </c>
      <c r="F86" s="1843">
        <v>0.1</v>
      </c>
    </row>
    <row r="87" spans="1:6" ht="14.25" thickBot="1">
      <c r="A87" s="1837" t="s">
        <v>1404</v>
      </c>
      <c r="B87" s="1841" t="s">
        <v>1187</v>
      </c>
      <c r="C87" s="1842">
        <v>0.1</v>
      </c>
      <c r="D87" s="1842">
        <v>0.1</v>
      </c>
      <c r="E87" s="1842">
        <v>9.8000000000000004E-2</v>
      </c>
      <c r="F87" s="1850"/>
    </row>
    <row r="88" spans="1:6" ht="14.25" thickBot="1">
      <c r="A88" s="1837" t="s">
        <v>1404</v>
      </c>
      <c r="B88" s="1841" t="s">
        <v>1197</v>
      </c>
      <c r="C88" s="1842">
        <v>9.1999999999999998E-2</v>
      </c>
      <c r="D88" s="1842">
        <v>8.5000000000000006E-2</v>
      </c>
      <c r="E88" s="1842">
        <v>9.6000000000000002E-2</v>
      </c>
      <c r="F88" s="1850"/>
    </row>
    <row r="89" spans="1:6" ht="14.25" thickBot="1">
      <c r="A89" s="1837" t="s">
        <v>1404</v>
      </c>
      <c r="B89" s="1841" t="s">
        <v>1207</v>
      </c>
      <c r="C89" s="1842">
        <v>0.1</v>
      </c>
      <c r="D89" s="1842">
        <v>0.1</v>
      </c>
      <c r="E89" s="1842">
        <v>9.7000000000000003E-2</v>
      </c>
      <c r="F89" s="1850"/>
    </row>
    <row r="90" spans="1:6" ht="14.25" thickBot="1">
      <c r="A90" s="1837" t="s">
        <v>1404</v>
      </c>
      <c r="B90" s="1841" t="s">
        <v>1217</v>
      </c>
      <c r="C90" s="1842">
        <v>9.8000000000000004E-2</v>
      </c>
      <c r="D90" s="1842">
        <v>9.8000000000000004E-2</v>
      </c>
      <c r="E90" s="1842">
        <v>8.7999999999999995E-2</v>
      </c>
      <c r="F90" s="1850"/>
    </row>
    <row r="91" spans="1:6" ht="14.25" thickBot="1">
      <c r="A91" s="1837" t="s">
        <v>1404</v>
      </c>
      <c r="B91" s="1841" t="s">
        <v>1227</v>
      </c>
      <c r="C91" s="1842">
        <v>9.9000000000000005E-2</v>
      </c>
      <c r="D91" s="1842">
        <v>9.9000000000000005E-2</v>
      </c>
      <c r="E91" s="1842">
        <v>9.0999999999999998E-2</v>
      </c>
      <c r="F91" s="1850"/>
    </row>
    <row r="92" spans="1:6" ht="14.25" thickBot="1">
      <c r="A92" s="1837" t="s">
        <v>1404</v>
      </c>
      <c r="B92" s="1841" t="s">
        <v>1237</v>
      </c>
      <c r="C92" s="1842">
        <v>9.6000000000000002E-2</v>
      </c>
      <c r="D92" s="1842">
        <v>9.6000000000000002E-2</v>
      </c>
      <c r="E92" s="1842">
        <v>7.2999999999999995E-2</v>
      </c>
      <c r="F92" s="1850"/>
    </row>
    <row r="93" spans="1:6" ht="14.25" thickBot="1">
      <c r="A93" s="1837" t="s">
        <v>1404</v>
      </c>
      <c r="B93" s="1841" t="s">
        <v>1247</v>
      </c>
      <c r="C93" s="1842">
        <v>9.6000000000000002E-2</v>
      </c>
      <c r="D93" s="1842">
        <v>9.6000000000000002E-2</v>
      </c>
      <c r="E93" s="1842">
        <v>9.9000000000000005E-2</v>
      </c>
      <c r="F93" s="1850"/>
    </row>
    <row r="94" spans="1:6" ht="14.25" thickBot="1">
      <c r="A94" s="1837" t="s">
        <v>1404</v>
      </c>
      <c r="B94" s="1841" t="s">
        <v>1257</v>
      </c>
      <c r="C94" s="1842">
        <v>7.5999999999999998E-2</v>
      </c>
      <c r="D94" s="1842">
        <v>7.3999999999999996E-2</v>
      </c>
      <c r="E94" s="1842">
        <v>9.7000000000000003E-2</v>
      </c>
      <c r="F94" s="1850"/>
    </row>
    <row r="95" spans="1:6" ht="14.25" thickBot="1">
      <c r="A95" s="1837" t="s">
        <v>1404</v>
      </c>
      <c r="B95" s="1841" t="s">
        <v>1266</v>
      </c>
      <c r="C95" s="1842">
        <v>9.9000000000000005E-2</v>
      </c>
      <c r="D95" s="1842">
        <v>9.4E-2</v>
      </c>
      <c r="E95" s="1842">
        <v>9.6000000000000002E-2</v>
      </c>
      <c r="F95" s="1850"/>
    </row>
    <row r="96" spans="1:6" ht="14.25" thickBot="1">
      <c r="A96" s="1837" t="s">
        <v>1404</v>
      </c>
      <c r="B96" s="1841" t="s">
        <v>1275</v>
      </c>
      <c r="C96" s="1842">
        <v>9.9000000000000005E-2</v>
      </c>
      <c r="D96" s="1842">
        <v>9.9000000000000005E-2</v>
      </c>
      <c r="E96" s="1842">
        <v>9.9000000000000005E-2</v>
      </c>
      <c r="F96" s="1850"/>
    </row>
    <row r="97" spans="1:6" ht="14.25" thickBot="1">
      <c r="A97" s="1837" t="s">
        <v>1404</v>
      </c>
      <c r="B97" s="1841" t="s">
        <v>1283</v>
      </c>
      <c r="C97" s="1842">
        <v>9.8000000000000004E-2</v>
      </c>
      <c r="D97" s="1842">
        <v>9.8000000000000004E-2</v>
      </c>
      <c r="E97" s="1842">
        <v>9.7000000000000003E-2</v>
      </c>
      <c r="F97" s="1850"/>
    </row>
    <row r="98" spans="1:6" ht="14.25" thickBot="1">
      <c r="A98" s="1837" t="s">
        <v>1404</v>
      </c>
      <c r="B98" s="1841" t="s">
        <v>1290</v>
      </c>
      <c r="C98" s="1842">
        <v>0.1</v>
      </c>
      <c r="D98" s="1842">
        <v>0.1</v>
      </c>
      <c r="E98" s="1842">
        <v>9.7000000000000003E-2</v>
      </c>
      <c r="F98" s="1850"/>
    </row>
    <row r="99" spans="1:6" ht="14.25" thickBot="1">
      <c r="A99" s="1837" t="s">
        <v>1404</v>
      </c>
      <c r="B99" s="1841" t="s">
        <v>1297</v>
      </c>
      <c r="C99" s="1842">
        <v>0.1</v>
      </c>
      <c r="D99" s="1842">
        <v>0.1</v>
      </c>
      <c r="E99" s="1851"/>
      <c r="F99" s="1850"/>
    </row>
    <row r="100" spans="1:6" ht="14.25" thickBot="1">
      <c r="A100" s="1837" t="s">
        <v>1404</v>
      </c>
      <c r="B100" s="1841" t="s">
        <v>1304</v>
      </c>
      <c r="C100" s="1842">
        <v>0.09</v>
      </c>
      <c r="D100" s="1842">
        <v>8.8999999999999996E-2</v>
      </c>
      <c r="E100" s="1851"/>
      <c r="F100" s="1850"/>
    </row>
    <row r="101" spans="1:6" ht="14.25" thickBot="1">
      <c r="A101" s="1837" t="s">
        <v>1404</v>
      </c>
      <c r="B101" s="1841" t="s">
        <v>1311</v>
      </c>
      <c r="C101" s="1842">
        <v>9.8000000000000004E-2</v>
      </c>
      <c r="D101" s="1842">
        <v>9.7000000000000003E-2</v>
      </c>
      <c r="E101" s="1851"/>
      <c r="F101" s="1850"/>
    </row>
    <row r="102" spans="1:6" ht="14.25" thickBot="1">
      <c r="A102" s="1837" t="s">
        <v>1404</v>
      </c>
      <c r="B102" s="1841" t="s">
        <v>2095</v>
      </c>
      <c r="C102" s="1851"/>
      <c r="D102" s="1851"/>
      <c r="E102" s="1851"/>
      <c r="F102" s="1843">
        <v>0.05</v>
      </c>
    </row>
    <row r="103" spans="1:6" ht="24.75" thickBot="1">
      <c r="A103" s="1837" t="s">
        <v>1404</v>
      </c>
      <c r="B103" s="1841" t="s">
        <v>2096</v>
      </c>
      <c r="C103" s="1851"/>
      <c r="D103" s="1851"/>
      <c r="E103" s="1851"/>
      <c r="F103" s="1843">
        <v>0.05</v>
      </c>
    </row>
    <row r="104" spans="1:6" ht="14.25" thickBot="1">
      <c r="A104" s="1837" t="s">
        <v>1404</v>
      </c>
      <c r="B104" s="1841" t="s">
        <v>2097</v>
      </c>
      <c r="C104" s="1851"/>
      <c r="D104" s="1851"/>
      <c r="E104" s="1851"/>
      <c r="F104" s="1843">
        <v>0.05</v>
      </c>
    </row>
    <row r="105" spans="1:6" ht="14.25" thickBot="1">
      <c r="A105" s="1837" t="s">
        <v>1404</v>
      </c>
      <c r="B105" s="1841" t="s">
        <v>2098</v>
      </c>
      <c r="C105" s="1851"/>
      <c r="D105" s="1851"/>
      <c r="E105" s="1851"/>
      <c r="F105" s="1843">
        <v>0.05</v>
      </c>
    </row>
    <row r="106" spans="1:6" ht="14.25" thickBot="1">
      <c r="A106" s="1837" t="s">
        <v>1404</v>
      </c>
      <c r="B106" s="1841" t="s">
        <v>2099</v>
      </c>
      <c r="C106" s="1851"/>
      <c r="D106" s="1851"/>
      <c r="E106" s="1851"/>
      <c r="F106" s="1843">
        <v>0.05</v>
      </c>
    </row>
    <row r="107" spans="1:6" ht="24.75" thickBot="1">
      <c r="A107" s="1837" t="s">
        <v>1404</v>
      </c>
      <c r="B107" s="1841" t="s">
        <v>2100</v>
      </c>
      <c r="C107" s="1851"/>
      <c r="D107" s="1851"/>
      <c r="E107" s="1851"/>
      <c r="F107" s="1843">
        <v>0.05</v>
      </c>
    </row>
    <row r="108" spans="1:6" ht="24.75" thickBot="1">
      <c r="A108" s="1837" t="s">
        <v>1404</v>
      </c>
      <c r="B108" s="1841" t="s">
        <v>2101</v>
      </c>
      <c r="C108" s="1851"/>
      <c r="D108" s="1851"/>
      <c r="E108" s="1851"/>
      <c r="F108" s="1843">
        <v>0.05</v>
      </c>
    </row>
    <row r="109" spans="1:6" ht="24.75" thickBot="1">
      <c r="A109" s="1845" t="s">
        <v>1404</v>
      </c>
      <c r="B109" s="1852" t="s">
        <v>2102</v>
      </c>
      <c r="C109" s="1848"/>
      <c r="D109" s="1848"/>
      <c r="E109" s="1848"/>
      <c r="F109" s="1853">
        <v>0.05</v>
      </c>
    </row>
    <row r="110" spans="1:6" ht="14.25" thickBot="1">
      <c r="A110" s="1837" t="s">
        <v>1406</v>
      </c>
      <c r="B110" s="1838" t="s">
        <v>2103</v>
      </c>
      <c r="C110" s="1839">
        <v>0.129</v>
      </c>
      <c r="D110" s="1839">
        <v>0.129</v>
      </c>
      <c r="E110" s="1839">
        <v>0.126</v>
      </c>
      <c r="F110" s="1840">
        <v>0.13</v>
      </c>
    </row>
    <row r="111" spans="1:6" ht="14.25" thickBot="1">
      <c r="A111" s="1837" t="s">
        <v>1406</v>
      </c>
      <c r="B111" s="1841" t="s">
        <v>1072</v>
      </c>
      <c r="C111" s="1842">
        <v>0.11</v>
      </c>
      <c r="D111" s="1842">
        <v>0.11</v>
      </c>
      <c r="E111" s="1842">
        <v>9.9000000000000005E-2</v>
      </c>
      <c r="F111" s="1843">
        <v>0.128</v>
      </c>
    </row>
    <row r="112" spans="1:6" ht="14.25" thickBot="1">
      <c r="A112" s="1837" t="s">
        <v>1406</v>
      </c>
      <c r="B112" s="1841" t="s">
        <v>1086</v>
      </c>
      <c r="C112" s="1842">
        <v>0.125</v>
      </c>
      <c r="D112" s="1842">
        <v>0.125</v>
      </c>
      <c r="E112" s="1842">
        <v>0.12</v>
      </c>
      <c r="F112" s="1843">
        <v>0.125</v>
      </c>
    </row>
    <row r="113" spans="1:6" ht="14.25" thickBot="1">
      <c r="A113" s="1837" t="s">
        <v>1406</v>
      </c>
      <c r="B113" s="1841" t="s">
        <v>1099</v>
      </c>
      <c r="C113" s="1842">
        <v>0.13</v>
      </c>
      <c r="D113" s="1842">
        <v>0.13</v>
      </c>
      <c r="E113" s="1842">
        <v>0.13</v>
      </c>
      <c r="F113" s="1843">
        <v>0.13</v>
      </c>
    </row>
    <row r="114" spans="1:6" ht="14.25" thickBot="1">
      <c r="A114" s="1837" t="s">
        <v>1406</v>
      </c>
      <c r="B114" s="1841" t="s">
        <v>1113</v>
      </c>
      <c r="C114" s="1842">
        <v>0.123</v>
      </c>
      <c r="D114" s="1842">
        <v>0.123</v>
      </c>
      <c r="E114" s="1842">
        <v>0.12</v>
      </c>
      <c r="F114" s="1843">
        <v>0.13</v>
      </c>
    </row>
    <row r="115" spans="1:6" ht="14.25" thickBot="1">
      <c r="A115" s="1837" t="s">
        <v>1406</v>
      </c>
      <c r="B115" s="1841" t="s">
        <v>1124</v>
      </c>
      <c r="C115" s="1842">
        <v>0.125</v>
      </c>
      <c r="D115" s="1842">
        <v>0.125</v>
      </c>
      <c r="E115" s="1842">
        <v>0.11700000000000001</v>
      </c>
      <c r="F115" s="1843">
        <v>0.13</v>
      </c>
    </row>
    <row r="116" spans="1:6" ht="14.25" thickBot="1">
      <c r="A116" s="1837" t="s">
        <v>1406</v>
      </c>
      <c r="B116" s="1841" t="s">
        <v>1135</v>
      </c>
      <c r="C116" s="1842">
        <v>0.11700000000000001</v>
      </c>
      <c r="D116" s="1842">
        <v>0.11700000000000001</v>
      </c>
      <c r="E116" s="1842">
        <v>8.7999999999999995E-2</v>
      </c>
      <c r="F116" s="1843">
        <v>0.13</v>
      </c>
    </row>
    <row r="117" spans="1:6" ht="14.25" thickBot="1">
      <c r="A117" s="1837" t="s">
        <v>1406</v>
      </c>
      <c r="B117" s="1841" t="s">
        <v>1146</v>
      </c>
      <c r="C117" s="1842">
        <v>0.13</v>
      </c>
      <c r="D117" s="1842">
        <v>0.13</v>
      </c>
      <c r="E117" s="1842">
        <v>0.129</v>
      </c>
      <c r="F117" s="1843">
        <v>0.13</v>
      </c>
    </row>
    <row r="118" spans="1:6" ht="14.25" thickBot="1">
      <c r="A118" s="1837" t="s">
        <v>1406</v>
      </c>
      <c r="B118" s="1841" t="s">
        <v>1158</v>
      </c>
      <c r="C118" s="1842">
        <v>0.123</v>
      </c>
      <c r="D118" s="1842">
        <v>0.123</v>
      </c>
      <c r="E118" s="1842">
        <v>0.11600000000000001</v>
      </c>
      <c r="F118" s="1843">
        <v>0.13</v>
      </c>
    </row>
    <row r="119" spans="1:6" ht="14.25" thickBot="1">
      <c r="A119" s="1837" t="s">
        <v>1406</v>
      </c>
      <c r="B119" s="1841" t="s">
        <v>1168</v>
      </c>
      <c r="C119" s="1842">
        <v>0.127</v>
      </c>
      <c r="D119" s="1842">
        <v>0.127</v>
      </c>
      <c r="E119" s="1842">
        <v>0.124</v>
      </c>
      <c r="F119" s="1843">
        <v>0.13</v>
      </c>
    </row>
    <row r="120" spans="1:6" ht="14.25" thickBot="1">
      <c r="A120" s="1837" t="s">
        <v>1406</v>
      </c>
      <c r="B120" s="1841" t="s">
        <v>1178</v>
      </c>
      <c r="C120" s="1842">
        <v>0.125</v>
      </c>
      <c r="D120" s="1842">
        <v>0.125</v>
      </c>
      <c r="E120" s="1842">
        <v>0.122</v>
      </c>
      <c r="F120" s="1843">
        <v>0.13</v>
      </c>
    </row>
    <row r="121" spans="1:6" ht="14.25" thickBot="1">
      <c r="A121" s="1837" t="s">
        <v>1406</v>
      </c>
      <c r="B121" s="1841" t="s">
        <v>1188</v>
      </c>
      <c r="C121" s="1842">
        <v>0.13</v>
      </c>
      <c r="D121" s="1842">
        <v>0.13</v>
      </c>
      <c r="E121" s="1842">
        <v>0.13</v>
      </c>
      <c r="F121" s="1843">
        <v>0.13</v>
      </c>
    </row>
    <row r="122" spans="1:6" ht="14.25" thickBot="1">
      <c r="A122" s="1837" t="s">
        <v>1406</v>
      </c>
      <c r="B122" s="1841" t="s">
        <v>1198</v>
      </c>
      <c r="C122" s="1842">
        <v>0.13</v>
      </c>
      <c r="D122" s="1842">
        <v>0.13</v>
      </c>
      <c r="E122" s="1842">
        <v>0.125</v>
      </c>
      <c r="F122" s="1843">
        <v>0.13</v>
      </c>
    </row>
    <row r="123" spans="1:6" ht="14.25" thickBot="1">
      <c r="A123" s="1837" t="s">
        <v>1406</v>
      </c>
      <c r="B123" s="1841" t="s">
        <v>1208</v>
      </c>
      <c r="C123" s="1842">
        <v>0.129</v>
      </c>
      <c r="D123" s="1842">
        <v>0.129</v>
      </c>
      <c r="E123" s="1842">
        <v>0.123</v>
      </c>
      <c r="F123" s="1843">
        <v>0.13</v>
      </c>
    </row>
    <row r="124" spans="1:6" ht="14.25" thickBot="1">
      <c r="A124" s="1837" t="s">
        <v>1406</v>
      </c>
      <c r="B124" s="1841" t="s">
        <v>1218</v>
      </c>
      <c r="C124" s="1842">
        <v>0.10199999999999999</v>
      </c>
      <c r="D124" s="1842">
        <v>0.10100000000000001</v>
      </c>
      <c r="E124" s="1842">
        <v>0.08</v>
      </c>
      <c r="F124" s="1850"/>
    </row>
    <row r="125" spans="1:6" ht="14.25" thickBot="1">
      <c r="A125" s="1837" t="s">
        <v>1406</v>
      </c>
      <c r="B125" s="1841" t="s">
        <v>1228</v>
      </c>
      <c r="C125" s="1842">
        <v>0.13</v>
      </c>
      <c r="D125" s="1842">
        <v>0.13</v>
      </c>
      <c r="E125" s="1842">
        <v>0.129</v>
      </c>
      <c r="F125" s="1850"/>
    </row>
    <row r="126" spans="1:6" ht="14.25" thickBot="1">
      <c r="A126" s="1837" t="s">
        <v>1406</v>
      </c>
      <c r="B126" s="1841" t="s">
        <v>1238</v>
      </c>
      <c r="C126" s="1842">
        <v>0.13</v>
      </c>
      <c r="D126" s="1842">
        <v>0.13</v>
      </c>
      <c r="E126" s="1842">
        <v>0.126</v>
      </c>
      <c r="F126" s="1850"/>
    </row>
    <row r="127" spans="1:6" ht="14.25" thickBot="1">
      <c r="A127" s="1837" t="s">
        <v>1406</v>
      </c>
      <c r="B127" s="1841" t="s">
        <v>1248</v>
      </c>
      <c r="C127" s="1842">
        <v>0.125</v>
      </c>
      <c r="D127" s="1842">
        <v>0.125</v>
      </c>
      <c r="E127" s="1842">
        <v>0.121</v>
      </c>
      <c r="F127" s="1850"/>
    </row>
    <row r="128" spans="1:6" ht="14.25" thickBot="1">
      <c r="A128" s="1837" t="s">
        <v>1406</v>
      </c>
      <c r="B128" s="1841" t="s">
        <v>1258</v>
      </c>
      <c r="C128" s="1842">
        <v>0.12</v>
      </c>
      <c r="D128" s="1842">
        <v>0.12</v>
      </c>
      <c r="E128" s="1842">
        <v>0.105</v>
      </c>
      <c r="F128" s="1850"/>
    </row>
    <row r="129" spans="1:6" ht="14.25" thickBot="1">
      <c r="A129" s="1837" t="s">
        <v>1406</v>
      </c>
      <c r="B129" s="1841" t="s">
        <v>1267</v>
      </c>
      <c r="C129" s="1842">
        <v>0.13</v>
      </c>
      <c r="D129" s="1842">
        <v>0.13</v>
      </c>
      <c r="E129" s="1842">
        <v>0.126</v>
      </c>
      <c r="F129" s="1850"/>
    </row>
    <row r="130" spans="1:6" ht="14.25" thickBot="1">
      <c r="A130" s="1837" t="s">
        <v>1406</v>
      </c>
      <c r="B130" s="1841" t="s">
        <v>1276</v>
      </c>
      <c r="C130" s="1842">
        <v>0.125</v>
      </c>
      <c r="D130" s="1842">
        <v>0.125</v>
      </c>
      <c r="E130" s="1842">
        <v>0.122</v>
      </c>
      <c r="F130" s="1850"/>
    </row>
    <row r="131" spans="1:6" ht="14.25" thickBot="1">
      <c r="A131" s="1837" t="s">
        <v>1406</v>
      </c>
      <c r="B131" s="1841" t="s">
        <v>1284</v>
      </c>
      <c r="C131" s="1842">
        <v>0.127</v>
      </c>
      <c r="D131" s="1842">
        <v>0.126</v>
      </c>
      <c r="E131" s="1842">
        <v>0.123</v>
      </c>
      <c r="F131" s="1850"/>
    </row>
    <row r="132" spans="1:6" ht="14.25" thickBot="1">
      <c r="A132" s="1837" t="s">
        <v>1406</v>
      </c>
      <c r="B132" s="1841" t="s">
        <v>1291</v>
      </c>
      <c r="C132" s="1842">
        <v>9.0999999999999998E-2</v>
      </c>
      <c r="D132" s="1842">
        <v>0.121</v>
      </c>
      <c r="E132" s="1842">
        <v>9.9000000000000005E-2</v>
      </c>
      <c r="F132" s="1850"/>
    </row>
    <row r="133" spans="1:6" ht="14.25" thickBot="1">
      <c r="A133" s="1837" t="s">
        <v>1406</v>
      </c>
      <c r="B133" s="1841" t="s">
        <v>1298</v>
      </c>
      <c r="C133" s="1842">
        <v>0.13</v>
      </c>
      <c r="D133" s="1842">
        <v>0.13</v>
      </c>
      <c r="E133" s="1842">
        <v>0.129</v>
      </c>
      <c r="F133" s="1850"/>
    </row>
    <row r="134" spans="1:6" ht="14.25" thickBot="1">
      <c r="A134" s="1837" t="s">
        <v>1406</v>
      </c>
      <c r="B134" s="1841" t="s">
        <v>2104</v>
      </c>
      <c r="C134" s="1842">
        <v>6.8000000000000005E-2</v>
      </c>
      <c r="D134" s="1842">
        <v>6.5000000000000002E-2</v>
      </c>
      <c r="E134" s="1842">
        <v>6.5000000000000002E-2</v>
      </c>
      <c r="F134" s="1843">
        <v>0.13</v>
      </c>
    </row>
    <row r="135" spans="1:6" ht="14.25" thickBot="1">
      <c r="A135" s="1837" t="s">
        <v>1406</v>
      </c>
      <c r="B135" s="1841" t="s">
        <v>1312</v>
      </c>
      <c r="C135" s="1842">
        <v>0.123</v>
      </c>
      <c r="D135" s="1842">
        <v>0.123</v>
      </c>
      <c r="E135" s="1842">
        <v>0.11</v>
      </c>
      <c r="F135" s="1850"/>
    </row>
    <row r="136" spans="1:6" ht="14.25" thickBot="1">
      <c r="A136" s="1837" t="s">
        <v>1406</v>
      </c>
      <c r="B136" s="1841" t="s">
        <v>1319</v>
      </c>
      <c r="C136" s="1842">
        <v>0.13</v>
      </c>
      <c r="D136" s="1842">
        <v>0.13</v>
      </c>
      <c r="E136" s="1842">
        <v>0.125</v>
      </c>
      <c r="F136" s="1850"/>
    </row>
    <row r="137" spans="1:6" ht="14.25" thickBot="1">
      <c r="A137" s="1837" t="s">
        <v>1406</v>
      </c>
      <c r="B137" s="1841" t="s">
        <v>1326</v>
      </c>
      <c r="C137" s="1842">
        <v>0.121</v>
      </c>
      <c r="D137" s="1842">
        <v>0.122</v>
      </c>
      <c r="E137" s="1842">
        <v>0.115</v>
      </c>
      <c r="F137" s="1850"/>
    </row>
    <row r="138" spans="1:6" ht="14.25" thickBot="1">
      <c r="A138" s="1837" t="s">
        <v>1406</v>
      </c>
      <c r="B138" s="1841" t="s">
        <v>2105</v>
      </c>
      <c r="C138" s="1842">
        <v>0.105</v>
      </c>
      <c r="D138" s="1842">
        <v>0.125</v>
      </c>
      <c r="E138" s="1842">
        <v>0.112</v>
      </c>
      <c r="F138" s="1850"/>
    </row>
    <row r="139" spans="1:6" ht="14.25" thickBot="1">
      <c r="A139" s="1837" t="s">
        <v>1406</v>
      </c>
      <c r="B139" s="1841" t="s">
        <v>2106</v>
      </c>
      <c r="C139" s="1842">
        <v>0.127</v>
      </c>
      <c r="D139" s="1842">
        <v>0.127</v>
      </c>
      <c r="E139" s="1842">
        <v>0.122</v>
      </c>
      <c r="F139" s="1843">
        <v>0.13</v>
      </c>
    </row>
    <row r="140" spans="1:6" ht="14.25" thickBot="1">
      <c r="A140" s="1837" t="s">
        <v>1406</v>
      </c>
      <c r="B140" s="1841" t="s">
        <v>2107</v>
      </c>
      <c r="C140" s="1842">
        <v>0.125</v>
      </c>
      <c r="D140" s="1842">
        <v>0.125</v>
      </c>
      <c r="E140" s="1842">
        <v>0.11899999999999999</v>
      </c>
      <c r="F140" s="1843">
        <v>0.13</v>
      </c>
    </row>
    <row r="141" spans="1:6" ht="14.25" thickBot="1">
      <c r="A141" s="1837" t="s">
        <v>1406</v>
      </c>
      <c r="B141" s="1841" t="s">
        <v>1345</v>
      </c>
      <c r="C141" s="1842">
        <v>0.125</v>
      </c>
      <c r="D141" s="1842">
        <v>0.125</v>
      </c>
      <c r="E141" s="1842">
        <v>0.11700000000000001</v>
      </c>
      <c r="F141" s="1850"/>
    </row>
    <row r="142" spans="1:6" ht="14.25" thickBot="1">
      <c r="A142" s="1837" t="s">
        <v>1406</v>
      </c>
      <c r="B142" s="1841" t="s">
        <v>1350</v>
      </c>
      <c r="C142" s="1842">
        <v>0.125</v>
      </c>
      <c r="D142" s="1842">
        <v>0.125</v>
      </c>
      <c r="E142" s="1842">
        <v>0.115</v>
      </c>
      <c r="F142" s="1850"/>
    </row>
    <row r="143" spans="1:6" ht="14.25" thickBot="1">
      <c r="A143" s="1837" t="s">
        <v>1406</v>
      </c>
      <c r="B143" s="1841" t="s">
        <v>1355</v>
      </c>
      <c r="C143" s="1842">
        <v>0.121</v>
      </c>
      <c r="D143" s="1842">
        <v>0.121</v>
      </c>
      <c r="E143" s="1842">
        <v>0.108</v>
      </c>
      <c r="F143" s="1850"/>
    </row>
    <row r="144" spans="1:6" ht="14.25" thickBot="1">
      <c r="A144" s="1837" t="s">
        <v>1406</v>
      </c>
      <c r="B144" s="1854" t="s">
        <v>2108</v>
      </c>
      <c r="C144" s="1855">
        <v>0.126</v>
      </c>
      <c r="D144" s="1855">
        <v>0.126</v>
      </c>
      <c r="E144" s="1855">
        <v>0.121</v>
      </c>
      <c r="F144" s="1850"/>
    </row>
    <row r="145" spans="1:6" ht="14.25" thickBot="1">
      <c r="A145" s="1845" t="s">
        <v>1406</v>
      </c>
      <c r="B145" s="1856" t="s">
        <v>2109</v>
      </c>
      <c r="C145" s="1857"/>
      <c r="D145" s="1857"/>
      <c r="E145" s="1857"/>
      <c r="F145" s="1858">
        <v>0.05</v>
      </c>
    </row>
    <row r="146" spans="1:6" ht="24.75" thickBot="1">
      <c r="A146" s="1859" t="s">
        <v>1406</v>
      </c>
      <c r="B146" s="1844" t="s">
        <v>2110</v>
      </c>
      <c r="C146" s="1851"/>
      <c r="D146" s="1851"/>
      <c r="E146" s="1851"/>
      <c r="F146" s="1860">
        <v>0.05</v>
      </c>
    </row>
    <row r="147" spans="1:6" ht="24.75" thickBot="1">
      <c r="A147" s="1837" t="s">
        <v>1406</v>
      </c>
      <c r="B147" s="1841" t="s">
        <v>2111</v>
      </c>
      <c r="C147" s="1851"/>
      <c r="D147" s="1851"/>
      <c r="E147" s="1851"/>
      <c r="F147" s="1843">
        <v>0.05</v>
      </c>
    </row>
    <row r="148" spans="1:6" ht="24.75" thickBot="1">
      <c r="A148" s="1837" t="s">
        <v>1406</v>
      </c>
      <c r="B148" s="1841" t="s">
        <v>2112</v>
      </c>
      <c r="C148" s="1851"/>
      <c r="D148" s="1851"/>
      <c r="E148" s="1851"/>
      <c r="F148" s="1843">
        <v>0.05</v>
      </c>
    </row>
    <row r="149" spans="1:6" ht="24.75" thickBot="1">
      <c r="A149" s="1837" t="s">
        <v>1406</v>
      </c>
      <c r="B149" s="1841" t="s">
        <v>2113</v>
      </c>
      <c r="C149" s="1851"/>
      <c r="D149" s="1851"/>
      <c r="E149" s="1851"/>
      <c r="F149" s="1843">
        <v>0.05</v>
      </c>
    </row>
    <row r="150" spans="1:6" ht="24.75" thickBot="1">
      <c r="A150" s="1837" t="s">
        <v>1406</v>
      </c>
      <c r="B150" s="1841" t="s">
        <v>2114</v>
      </c>
      <c r="C150" s="1851"/>
      <c r="D150" s="1851"/>
      <c r="E150" s="1851"/>
      <c r="F150" s="1843">
        <v>0.05</v>
      </c>
    </row>
    <row r="151" spans="1:6" ht="24.75" thickBot="1">
      <c r="A151" s="1837" t="s">
        <v>1406</v>
      </c>
      <c r="B151" s="1841" t="s">
        <v>2115</v>
      </c>
      <c r="C151" s="1851"/>
      <c r="D151" s="1851"/>
      <c r="E151" s="1851"/>
      <c r="F151" s="1843">
        <v>0.05</v>
      </c>
    </row>
    <row r="152" spans="1:6" ht="24.75" thickBot="1">
      <c r="A152" s="1837" t="s">
        <v>1406</v>
      </c>
      <c r="B152" s="1841" t="s">
        <v>1388</v>
      </c>
      <c r="C152" s="1851"/>
      <c r="D152" s="1851"/>
      <c r="E152" s="1851"/>
      <c r="F152" s="1843">
        <v>0.05</v>
      </c>
    </row>
    <row r="153" spans="1:6" ht="14.25" thickBot="1">
      <c r="A153" s="1837" t="s">
        <v>1406</v>
      </c>
      <c r="B153" s="1841" t="s">
        <v>2116</v>
      </c>
      <c r="C153" s="1851"/>
      <c r="D153" s="1851"/>
      <c r="E153" s="1851"/>
      <c r="F153" s="1843">
        <v>0.05</v>
      </c>
    </row>
    <row r="154" spans="1:6" ht="14.25" thickBot="1">
      <c r="A154" s="1837" t="s">
        <v>1406</v>
      </c>
      <c r="B154" s="1841" t="s">
        <v>2117</v>
      </c>
      <c r="C154" s="1851"/>
      <c r="D154" s="1851"/>
      <c r="E154" s="1851"/>
      <c r="F154" s="1843">
        <v>0.05</v>
      </c>
    </row>
    <row r="155" spans="1:6" ht="24.75" thickBot="1">
      <c r="A155" s="1837" t="s">
        <v>1406</v>
      </c>
      <c r="B155" s="1841" t="s">
        <v>2118</v>
      </c>
      <c r="C155" s="1851"/>
      <c r="D155" s="1851"/>
      <c r="E155" s="1851"/>
      <c r="F155" s="1843">
        <v>0.05</v>
      </c>
    </row>
    <row r="156" spans="1:6" ht="24.75" thickBot="1">
      <c r="A156" s="1837" t="s">
        <v>1406</v>
      </c>
      <c r="B156" s="1841" t="s">
        <v>2119</v>
      </c>
      <c r="C156" s="1851"/>
      <c r="D156" s="1851"/>
      <c r="E156" s="1851"/>
      <c r="F156" s="1843">
        <v>0.05</v>
      </c>
    </row>
    <row r="157" spans="1:6" ht="14.25" thickBot="1">
      <c r="A157" s="1845" t="s">
        <v>1406</v>
      </c>
      <c r="B157" s="1852" t="s">
        <v>2120</v>
      </c>
      <c r="C157" s="1848"/>
      <c r="D157" s="1848"/>
      <c r="E157" s="1848"/>
      <c r="F157" s="1853">
        <v>0.05</v>
      </c>
    </row>
    <row r="158" spans="1:6" ht="14.25" thickBot="1">
      <c r="A158" s="1837" t="s">
        <v>1408</v>
      </c>
      <c r="B158" s="1838" t="s">
        <v>2121</v>
      </c>
      <c r="C158" s="1839">
        <v>0.13</v>
      </c>
      <c r="D158" s="1839">
        <v>0.13</v>
      </c>
      <c r="E158" s="1839">
        <v>0.13</v>
      </c>
      <c r="F158" s="1840">
        <v>0.13</v>
      </c>
    </row>
    <row r="159" spans="1:6" ht="14.25" thickBot="1">
      <c r="A159" s="1837" t="s">
        <v>1408</v>
      </c>
      <c r="B159" s="1841" t="s">
        <v>1073</v>
      </c>
      <c r="C159" s="1842">
        <v>0.13</v>
      </c>
      <c r="D159" s="1842">
        <v>0.13</v>
      </c>
      <c r="E159" s="1842">
        <v>0.13</v>
      </c>
      <c r="F159" s="1843">
        <v>0.13</v>
      </c>
    </row>
    <row r="160" spans="1:6" ht="14.25" thickBot="1">
      <c r="A160" s="1837" t="s">
        <v>1408</v>
      </c>
      <c r="B160" s="1841" t="s">
        <v>1087</v>
      </c>
      <c r="C160" s="1842">
        <v>0.13</v>
      </c>
      <c r="D160" s="1842">
        <v>0.13</v>
      </c>
      <c r="E160" s="1842">
        <v>0.129</v>
      </c>
      <c r="F160" s="1843">
        <v>0.13</v>
      </c>
    </row>
    <row r="161" spans="1:6" ht="14.25" thickBot="1">
      <c r="A161" s="1837" t="s">
        <v>1408</v>
      </c>
      <c r="B161" s="1841" t="s">
        <v>1100</v>
      </c>
      <c r="C161" s="1842">
        <v>0.128</v>
      </c>
      <c r="D161" s="1842">
        <v>0.128</v>
      </c>
      <c r="E161" s="1842">
        <v>0.125</v>
      </c>
      <c r="F161" s="1843">
        <v>0.13</v>
      </c>
    </row>
    <row r="162" spans="1:6" ht="14.25" thickBot="1">
      <c r="A162" s="1837" t="s">
        <v>1408</v>
      </c>
      <c r="B162" s="1841" t="s">
        <v>1114</v>
      </c>
      <c r="C162" s="1842">
        <v>0.122</v>
      </c>
      <c r="D162" s="1842">
        <v>0.122</v>
      </c>
      <c r="E162" s="1842">
        <v>0.126</v>
      </c>
      <c r="F162" s="1843">
        <v>0.122</v>
      </c>
    </row>
    <row r="163" spans="1:6" ht="14.25" thickBot="1">
      <c r="A163" s="1837" t="s">
        <v>1408</v>
      </c>
      <c r="B163" s="1841" t="s">
        <v>1125</v>
      </c>
      <c r="C163" s="1842">
        <v>0.13</v>
      </c>
      <c r="D163" s="1842">
        <v>0.13</v>
      </c>
      <c r="E163" s="1842">
        <v>0.125</v>
      </c>
      <c r="F163" s="1843">
        <v>0.13</v>
      </c>
    </row>
    <row r="164" spans="1:6" ht="14.25" thickBot="1">
      <c r="A164" s="1837" t="s">
        <v>1408</v>
      </c>
      <c r="B164" s="1841" t="s">
        <v>1136</v>
      </c>
      <c r="C164" s="1842">
        <v>0.13</v>
      </c>
      <c r="D164" s="1842">
        <v>0.13</v>
      </c>
      <c r="E164" s="1842">
        <v>0.13</v>
      </c>
      <c r="F164" s="1843">
        <v>0.13</v>
      </c>
    </row>
    <row r="165" spans="1:6" ht="14.25" thickBot="1">
      <c r="A165" s="1837" t="s">
        <v>1408</v>
      </c>
      <c r="B165" s="1841" t="s">
        <v>1147</v>
      </c>
      <c r="C165" s="1842">
        <v>0.13</v>
      </c>
      <c r="D165" s="1842">
        <v>0.13</v>
      </c>
      <c r="E165" s="1842">
        <v>0.124</v>
      </c>
      <c r="F165" s="1843">
        <v>0.13</v>
      </c>
    </row>
    <row r="166" spans="1:6" ht="14.25" thickBot="1">
      <c r="A166" s="1837" t="s">
        <v>1408</v>
      </c>
      <c r="B166" s="1841" t="s">
        <v>1159</v>
      </c>
      <c r="C166" s="1842">
        <v>0.13</v>
      </c>
      <c r="D166" s="1842">
        <v>0.13</v>
      </c>
      <c r="E166" s="1842">
        <v>0.13</v>
      </c>
      <c r="F166" s="1843">
        <v>0.13</v>
      </c>
    </row>
    <row r="167" spans="1:6" ht="14.25" thickBot="1">
      <c r="A167" s="1837" t="s">
        <v>1408</v>
      </c>
      <c r="B167" s="1841" t="s">
        <v>1169</v>
      </c>
      <c r="C167" s="1842">
        <v>0.125</v>
      </c>
      <c r="D167" s="1842">
        <v>0.125</v>
      </c>
      <c r="E167" s="1842">
        <v>0.121</v>
      </c>
      <c r="F167" s="1850"/>
    </row>
    <row r="168" spans="1:6" ht="14.25" thickBot="1">
      <c r="A168" s="1837" t="s">
        <v>1408</v>
      </c>
      <c r="B168" s="1841" t="s">
        <v>1179</v>
      </c>
      <c r="C168" s="1842">
        <v>0.13</v>
      </c>
      <c r="D168" s="1842">
        <v>0.13</v>
      </c>
      <c r="E168" s="1842">
        <v>0.126</v>
      </c>
      <c r="F168" s="1850"/>
    </row>
    <row r="169" spans="1:6" ht="14.25" thickBot="1">
      <c r="A169" s="1837" t="s">
        <v>1408</v>
      </c>
      <c r="B169" s="1841" t="s">
        <v>1189</v>
      </c>
      <c r="C169" s="1842">
        <v>0.128</v>
      </c>
      <c r="D169" s="1842">
        <v>0.129</v>
      </c>
      <c r="E169" s="1842">
        <v>0.13</v>
      </c>
      <c r="F169" s="1850"/>
    </row>
    <row r="170" spans="1:6" ht="14.25" thickBot="1">
      <c r="A170" s="1837" t="s">
        <v>1408</v>
      </c>
      <c r="B170" s="1841" t="s">
        <v>1199</v>
      </c>
      <c r="C170" s="1842">
        <v>0.14099999999999999</v>
      </c>
      <c r="D170" s="1842">
        <v>0.13</v>
      </c>
      <c r="E170" s="1842">
        <v>0.125</v>
      </c>
      <c r="F170" s="1850"/>
    </row>
    <row r="171" spans="1:6" ht="14.25" thickBot="1">
      <c r="A171" s="1837" t="s">
        <v>1408</v>
      </c>
      <c r="B171" s="1841" t="s">
        <v>2122</v>
      </c>
      <c r="C171" s="1842">
        <v>0.127</v>
      </c>
      <c r="D171" s="1842">
        <v>0.126</v>
      </c>
      <c r="E171" s="1842">
        <v>0.126</v>
      </c>
      <c r="F171" s="1843">
        <v>0.11799999999999999</v>
      </c>
    </row>
    <row r="172" spans="1:6" ht="14.25" thickBot="1">
      <c r="A172" s="1837" t="s">
        <v>1408</v>
      </c>
      <c r="B172" s="1841" t="s">
        <v>2123</v>
      </c>
      <c r="C172" s="1842">
        <v>0.13</v>
      </c>
      <c r="D172" s="1842">
        <v>0.13</v>
      </c>
      <c r="E172" s="1842">
        <v>0.13</v>
      </c>
      <c r="F172" s="1850"/>
    </row>
    <row r="173" spans="1:6" ht="14.25" thickBot="1">
      <c r="A173" s="1837" t="s">
        <v>1408</v>
      </c>
      <c r="B173" s="1841" t="s">
        <v>1229</v>
      </c>
      <c r="C173" s="1842">
        <v>0.13</v>
      </c>
      <c r="D173" s="1842">
        <v>0.13</v>
      </c>
      <c r="E173" s="1842">
        <v>0.13</v>
      </c>
      <c r="F173" s="1850"/>
    </row>
    <row r="174" spans="1:6" ht="14.25" thickBot="1">
      <c r="A174" s="1837" t="s">
        <v>1408</v>
      </c>
      <c r="B174" s="1841" t="s">
        <v>2124</v>
      </c>
      <c r="C174" s="1842">
        <v>0.13</v>
      </c>
      <c r="D174" s="1842">
        <v>0.13</v>
      </c>
      <c r="E174" s="1842">
        <v>0.13</v>
      </c>
      <c r="F174" s="1843">
        <v>0.13</v>
      </c>
    </row>
    <row r="175" spans="1:6" ht="14.25" thickBot="1">
      <c r="A175" s="1837" t="s">
        <v>1408</v>
      </c>
      <c r="B175" s="1841" t="s">
        <v>2125</v>
      </c>
      <c r="C175" s="1842">
        <v>0.13</v>
      </c>
      <c r="D175" s="1842">
        <v>0.13</v>
      </c>
      <c r="E175" s="1842">
        <v>0.13</v>
      </c>
      <c r="F175" s="1843">
        <v>0.13</v>
      </c>
    </row>
    <row r="176" spans="1:6" ht="14.25" thickBot="1">
      <c r="A176" s="1837" t="s">
        <v>1408</v>
      </c>
      <c r="B176" s="1841" t="s">
        <v>1259</v>
      </c>
      <c r="C176" s="1842">
        <v>0.13</v>
      </c>
      <c r="D176" s="1842">
        <v>0.13</v>
      </c>
      <c r="E176" s="1842">
        <v>0.13</v>
      </c>
      <c r="F176" s="1843">
        <v>0.13</v>
      </c>
    </row>
    <row r="177" spans="1:6" ht="14.25" thickBot="1">
      <c r="A177" s="1837" t="s">
        <v>1408</v>
      </c>
      <c r="B177" s="1841" t="s">
        <v>2126</v>
      </c>
      <c r="C177" s="1842">
        <v>0.13</v>
      </c>
      <c r="D177" s="1842">
        <v>0.13</v>
      </c>
      <c r="E177" s="1842">
        <v>0.13</v>
      </c>
      <c r="F177" s="1843">
        <v>0.13</v>
      </c>
    </row>
    <row r="178" spans="1:6" ht="14.25" thickBot="1">
      <c r="A178" s="1837" t="s">
        <v>1408</v>
      </c>
      <c r="B178" s="1841" t="s">
        <v>1277</v>
      </c>
      <c r="C178" s="1842">
        <v>0.13</v>
      </c>
      <c r="D178" s="1842">
        <v>0.13</v>
      </c>
      <c r="E178" s="1842">
        <v>0.13</v>
      </c>
      <c r="F178" s="1843">
        <v>0.127</v>
      </c>
    </row>
    <row r="179" spans="1:6" ht="14.25" thickBot="1">
      <c r="A179" s="1837" t="s">
        <v>1408</v>
      </c>
      <c r="B179" s="1841" t="s">
        <v>1285</v>
      </c>
      <c r="C179" s="1842">
        <v>0.13</v>
      </c>
      <c r="D179" s="1842">
        <v>0.13</v>
      </c>
      <c r="E179" s="1842">
        <v>0.13</v>
      </c>
      <c r="F179" s="1850"/>
    </row>
    <row r="180" spans="1:6" ht="14.25" thickBot="1">
      <c r="A180" s="1837" t="s">
        <v>1408</v>
      </c>
      <c r="B180" s="1841" t="s">
        <v>2127</v>
      </c>
      <c r="C180" s="1842">
        <v>0.13</v>
      </c>
      <c r="D180" s="1842">
        <v>0.13</v>
      </c>
      <c r="E180" s="1842">
        <v>0.125</v>
      </c>
      <c r="F180" s="1843">
        <v>0.13</v>
      </c>
    </row>
    <row r="181" spans="1:6" ht="14.25" thickBot="1">
      <c r="A181" s="1837" t="s">
        <v>1408</v>
      </c>
      <c r="B181" s="1841" t="s">
        <v>1299</v>
      </c>
      <c r="C181" s="1842">
        <v>0.122</v>
      </c>
      <c r="D181" s="1842">
        <v>0.123</v>
      </c>
      <c r="E181" s="1842">
        <v>0.126</v>
      </c>
      <c r="F181" s="1843">
        <v>0.121</v>
      </c>
    </row>
    <row r="182" spans="1:6" ht="14.25" thickBot="1">
      <c r="A182" s="1837" t="s">
        <v>1408</v>
      </c>
      <c r="B182" s="1841" t="s">
        <v>1306</v>
      </c>
      <c r="C182" s="1842">
        <v>0.125</v>
      </c>
      <c r="D182" s="1842">
        <v>0.125</v>
      </c>
      <c r="E182" s="1842">
        <v>0.11700000000000001</v>
      </c>
      <c r="F182" s="1843">
        <v>0.13</v>
      </c>
    </row>
    <row r="183" spans="1:6" ht="14.25" thickBot="1">
      <c r="A183" s="1837" t="s">
        <v>1408</v>
      </c>
      <c r="B183" s="1841" t="s">
        <v>1313</v>
      </c>
      <c r="C183" s="1842">
        <v>0.127</v>
      </c>
      <c r="D183" s="1842">
        <v>0.127</v>
      </c>
      <c r="E183" s="1842">
        <v>0.128</v>
      </c>
      <c r="F183" s="1850"/>
    </row>
    <row r="184" spans="1:6" ht="14.25" thickBot="1">
      <c r="A184" s="1837" t="s">
        <v>1408</v>
      </c>
      <c r="B184" s="1841" t="s">
        <v>1320</v>
      </c>
      <c r="C184" s="1842">
        <v>0.125</v>
      </c>
      <c r="D184" s="1842">
        <v>0.125</v>
      </c>
      <c r="E184" s="1842">
        <v>0.127</v>
      </c>
      <c r="F184" s="1850"/>
    </row>
    <row r="185" spans="1:6" ht="14.25" thickBot="1">
      <c r="A185" s="1837" t="s">
        <v>1408</v>
      </c>
      <c r="B185" s="1841" t="s">
        <v>2128</v>
      </c>
      <c r="C185" s="1842">
        <v>0.127</v>
      </c>
      <c r="D185" s="1842">
        <v>0.127</v>
      </c>
      <c r="E185" s="1842">
        <v>0.128</v>
      </c>
      <c r="F185" s="1843">
        <v>0.13</v>
      </c>
    </row>
    <row r="186" spans="1:6" ht="24.75" thickBot="1">
      <c r="A186" s="1837" t="s">
        <v>1408</v>
      </c>
      <c r="B186" s="1841" t="s">
        <v>2129</v>
      </c>
      <c r="C186" s="1851"/>
      <c r="D186" s="1851"/>
      <c r="E186" s="1851"/>
      <c r="F186" s="1843">
        <v>0.05</v>
      </c>
    </row>
    <row r="187" spans="1:6" ht="14.25" thickBot="1">
      <c r="A187" s="1837" t="s">
        <v>1408</v>
      </c>
      <c r="B187" s="1841" t="s">
        <v>2130</v>
      </c>
      <c r="C187" s="1851"/>
      <c r="D187" s="1851"/>
      <c r="E187" s="1851"/>
      <c r="F187" s="1843">
        <v>0.05</v>
      </c>
    </row>
    <row r="188" spans="1:6" ht="14.25" thickBot="1">
      <c r="A188" s="1837" t="s">
        <v>1408</v>
      </c>
      <c r="B188" s="1841" t="s">
        <v>2131</v>
      </c>
      <c r="C188" s="1851"/>
      <c r="D188" s="1851"/>
      <c r="E188" s="1851"/>
      <c r="F188" s="1843">
        <v>0.05</v>
      </c>
    </row>
    <row r="189" spans="1:6" ht="24.75" thickBot="1">
      <c r="A189" s="1837" t="s">
        <v>1408</v>
      </c>
      <c r="B189" s="1841" t="s">
        <v>2132</v>
      </c>
      <c r="C189" s="1851"/>
      <c r="D189" s="1851"/>
      <c r="E189" s="1851"/>
      <c r="F189" s="1843">
        <v>0.05</v>
      </c>
    </row>
    <row r="190" spans="1:6" ht="24.75" thickBot="1">
      <c r="A190" s="1837" t="s">
        <v>1408</v>
      </c>
      <c r="B190" s="1841" t="s">
        <v>2133</v>
      </c>
      <c r="C190" s="1851"/>
      <c r="D190" s="1851"/>
      <c r="E190" s="1851"/>
      <c r="F190" s="1843">
        <v>0.05</v>
      </c>
    </row>
    <row r="191" spans="1:6" ht="24.75" thickBot="1">
      <c r="A191" s="1837" t="s">
        <v>1408</v>
      </c>
      <c r="B191" s="1841" t="s">
        <v>2134</v>
      </c>
      <c r="C191" s="1851"/>
      <c r="D191" s="1851"/>
      <c r="E191" s="1851"/>
      <c r="F191" s="1843">
        <v>0.05</v>
      </c>
    </row>
    <row r="192" spans="1:6" ht="24.75" thickBot="1">
      <c r="A192" s="1837" t="s">
        <v>1408</v>
      </c>
      <c r="B192" s="1841" t="s">
        <v>2135</v>
      </c>
      <c r="C192" s="1851"/>
      <c r="D192" s="1851"/>
      <c r="E192" s="1851"/>
      <c r="F192" s="1843">
        <v>0.05</v>
      </c>
    </row>
    <row r="193" spans="1:6" ht="24.75" thickBot="1">
      <c r="A193" s="1837" t="s">
        <v>1408</v>
      </c>
      <c r="B193" s="1841" t="s">
        <v>2136</v>
      </c>
      <c r="C193" s="1851"/>
      <c r="D193" s="1851"/>
      <c r="E193" s="1851"/>
      <c r="F193" s="1843">
        <v>0.05</v>
      </c>
    </row>
    <row r="194" spans="1:6" ht="24.75" thickBot="1">
      <c r="A194" s="1837" t="s">
        <v>1408</v>
      </c>
      <c r="B194" s="1841" t="s">
        <v>2137</v>
      </c>
      <c r="C194" s="1851"/>
      <c r="D194" s="1851"/>
      <c r="E194" s="1851"/>
      <c r="F194" s="1843">
        <v>0.05</v>
      </c>
    </row>
    <row r="195" spans="1:6" ht="14.25" thickBot="1">
      <c r="A195" s="1837" t="s">
        <v>1408</v>
      </c>
      <c r="B195" s="1841" t="s">
        <v>2138</v>
      </c>
      <c r="C195" s="1851"/>
      <c r="D195" s="1851"/>
      <c r="E195" s="1851"/>
      <c r="F195" s="1843">
        <v>0.05</v>
      </c>
    </row>
    <row r="196" spans="1:6" ht="24.75" thickBot="1">
      <c r="A196" s="1837" t="s">
        <v>1408</v>
      </c>
      <c r="B196" s="1841" t="s">
        <v>2139</v>
      </c>
      <c r="C196" s="1851"/>
      <c r="D196" s="1851"/>
      <c r="E196" s="1851"/>
      <c r="F196" s="1843">
        <v>0.05</v>
      </c>
    </row>
    <row r="197" spans="1:6" ht="24.75" thickBot="1">
      <c r="A197" s="1837" t="s">
        <v>1408</v>
      </c>
      <c r="B197" s="1841" t="s">
        <v>2140</v>
      </c>
      <c r="C197" s="1851"/>
      <c r="D197" s="1851"/>
      <c r="E197" s="1851"/>
      <c r="F197" s="1843">
        <v>0.05</v>
      </c>
    </row>
    <row r="198" spans="1:6" ht="24.75" thickBot="1">
      <c r="A198" s="1837" t="s">
        <v>1408</v>
      </c>
      <c r="B198" s="1841" t="s">
        <v>2141</v>
      </c>
      <c r="C198" s="1851"/>
      <c r="D198" s="1851"/>
      <c r="E198" s="1851"/>
      <c r="F198" s="1843">
        <v>0.05</v>
      </c>
    </row>
    <row r="199" spans="1:6" ht="24.75" thickBot="1">
      <c r="A199" s="1837" t="s">
        <v>1408</v>
      </c>
      <c r="B199" s="1841" t="s">
        <v>2142</v>
      </c>
      <c r="C199" s="1851"/>
      <c r="D199" s="1851"/>
      <c r="E199" s="1851"/>
      <c r="F199" s="1843">
        <v>0.05</v>
      </c>
    </row>
    <row r="200" spans="1:6" ht="24.75" thickBot="1">
      <c r="A200" s="1837" t="s">
        <v>1408</v>
      </c>
      <c r="B200" s="1841" t="s">
        <v>2143</v>
      </c>
      <c r="C200" s="1851"/>
      <c r="D200" s="1851"/>
      <c r="E200" s="1851"/>
      <c r="F200" s="1843">
        <v>0.05</v>
      </c>
    </row>
    <row r="201" spans="1:6" ht="24.75" thickBot="1">
      <c r="A201" s="1837" t="s">
        <v>1408</v>
      </c>
      <c r="B201" s="1841" t="s">
        <v>2144</v>
      </c>
      <c r="C201" s="1851"/>
      <c r="D201" s="1851"/>
      <c r="E201" s="1851"/>
      <c r="F201" s="1843">
        <v>0.05</v>
      </c>
    </row>
    <row r="202" spans="1:6" ht="24.75" thickBot="1">
      <c r="A202" s="1837" t="s">
        <v>1408</v>
      </c>
      <c r="B202" s="1841" t="s">
        <v>2145</v>
      </c>
      <c r="C202" s="1851"/>
      <c r="D202" s="1851"/>
      <c r="E202" s="1851"/>
      <c r="F202" s="1843">
        <v>0.05</v>
      </c>
    </row>
    <row r="203" spans="1:6" ht="24.75" thickBot="1">
      <c r="A203" s="1837" t="s">
        <v>1408</v>
      </c>
      <c r="B203" s="1841" t="s">
        <v>2146</v>
      </c>
      <c r="C203" s="1851"/>
      <c r="D203" s="1851"/>
      <c r="E203" s="1851"/>
      <c r="F203" s="1843">
        <v>0.05</v>
      </c>
    </row>
    <row r="204" spans="1:6" ht="14.25" thickBot="1">
      <c r="A204" s="1837" t="s">
        <v>1408</v>
      </c>
      <c r="B204" s="1841" t="s">
        <v>2147</v>
      </c>
      <c r="C204" s="1851"/>
      <c r="D204" s="1851"/>
      <c r="E204" s="1851"/>
      <c r="F204" s="1843">
        <v>0.05</v>
      </c>
    </row>
    <row r="205" spans="1:6" ht="14.25" thickBot="1">
      <c r="A205" s="1845" t="s">
        <v>1408</v>
      </c>
      <c r="B205" s="1852" t="s">
        <v>2148</v>
      </c>
      <c r="C205" s="1848"/>
      <c r="D205" s="1848"/>
      <c r="E205" s="1848"/>
      <c r="F205" s="1853">
        <v>0.05</v>
      </c>
    </row>
    <row r="206" spans="1:6" ht="14.25" thickBot="1">
      <c r="A206" s="1837" t="s">
        <v>1410</v>
      </c>
      <c r="B206" s="1838" t="s">
        <v>2149</v>
      </c>
      <c r="C206" s="1839">
        <v>0.15</v>
      </c>
      <c r="D206" s="1839">
        <v>0.15</v>
      </c>
      <c r="E206" s="1839">
        <v>0.15</v>
      </c>
      <c r="F206" s="1840">
        <v>0.15</v>
      </c>
    </row>
    <row r="207" spans="1:6" ht="14.25" thickBot="1">
      <c r="A207" s="1837" t="s">
        <v>1410</v>
      </c>
      <c r="B207" s="1841" t="s">
        <v>1074</v>
      </c>
      <c r="C207" s="1842">
        <v>0.15</v>
      </c>
      <c r="D207" s="1842">
        <v>0.15</v>
      </c>
      <c r="E207" s="1842">
        <v>0.15</v>
      </c>
      <c r="F207" s="1843">
        <v>0.14399999999999999</v>
      </c>
    </row>
    <row r="208" spans="1:6" ht="14.25" thickBot="1">
      <c r="A208" s="1837" t="s">
        <v>1410</v>
      </c>
      <c r="B208" s="1841" t="s">
        <v>1088</v>
      </c>
      <c r="C208" s="1842">
        <v>0.15</v>
      </c>
      <c r="D208" s="1842">
        <v>0.15</v>
      </c>
      <c r="E208" s="1842">
        <v>0.15</v>
      </c>
      <c r="F208" s="1843">
        <v>0.15</v>
      </c>
    </row>
    <row r="209" spans="1:6" ht="14.25" thickBot="1">
      <c r="A209" s="1837" t="s">
        <v>1410</v>
      </c>
      <c r="B209" s="1841" t="s">
        <v>1101</v>
      </c>
      <c r="C209" s="1842">
        <v>0.13700000000000001</v>
      </c>
      <c r="D209" s="1842">
        <v>0.13700000000000001</v>
      </c>
      <c r="E209" s="1842">
        <v>0.14000000000000001</v>
      </c>
      <c r="F209" s="1843">
        <v>0.11700000000000001</v>
      </c>
    </row>
    <row r="210" spans="1:6" ht="14.25" thickBot="1">
      <c r="A210" s="1837" t="s">
        <v>1410</v>
      </c>
      <c r="B210" s="1841" t="s">
        <v>2150</v>
      </c>
      <c r="C210" s="1842">
        <v>0.15</v>
      </c>
      <c r="D210" s="1842">
        <v>0.15</v>
      </c>
      <c r="E210" s="1842">
        <v>0.15</v>
      </c>
      <c r="F210" s="1843">
        <v>0.13800000000000001</v>
      </c>
    </row>
    <row r="211" spans="1:6" ht="14.25" thickBot="1">
      <c r="A211" s="1837" t="s">
        <v>1410</v>
      </c>
      <c r="B211" s="1841" t="s">
        <v>2151</v>
      </c>
      <c r="C211" s="1842">
        <v>0.13700000000000001</v>
      </c>
      <c r="D211" s="1842">
        <v>0.13500000000000001</v>
      </c>
      <c r="E211" s="1842">
        <v>0.13600000000000001</v>
      </c>
      <c r="F211" s="1843">
        <v>0.1</v>
      </c>
    </row>
    <row r="212" spans="1:6" ht="14.25" thickBot="1">
      <c r="A212" s="1837" t="s">
        <v>1410</v>
      </c>
      <c r="B212" s="1841" t="s">
        <v>2152</v>
      </c>
      <c r="C212" s="1842">
        <v>0.15</v>
      </c>
      <c r="D212" s="1842">
        <v>0.15</v>
      </c>
      <c r="E212" s="1842">
        <v>0.14799999999999999</v>
      </c>
      <c r="F212" s="1843">
        <v>0.13600000000000001</v>
      </c>
    </row>
    <row r="213" spans="1:6" ht="14.25" thickBot="1">
      <c r="A213" s="1837" t="s">
        <v>1410</v>
      </c>
      <c r="B213" s="1841" t="s">
        <v>1148</v>
      </c>
      <c r="C213" s="1842">
        <v>0.15</v>
      </c>
      <c r="D213" s="1842">
        <v>0.15</v>
      </c>
      <c r="E213" s="1842">
        <v>0.15</v>
      </c>
      <c r="F213" s="1843">
        <v>0.13800000000000001</v>
      </c>
    </row>
    <row r="214" spans="1:6" ht="14.25" thickBot="1">
      <c r="A214" s="1837" t="s">
        <v>1410</v>
      </c>
      <c r="B214" s="1841" t="s">
        <v>1160</v>
      </c>
      <c r="C214" s="1842">
        <v>9.0999999999999998E-2</v>
      </c>
      <c r="D214" s="1842">
        <v>0.09</v>
      </c>
      <c r="E214" s="1842">
        <v>9.1999999999999998E-2</v>
      </c>
      <c r="F214" s="1850"/>
    </row>
    <row r="215" spans="1:6" ht="14.25" thickBot="1">
      <c r="A215" s="1837" t="s">
        <v>1410</v>
      </c>
      <c r="B215" s="1841" t="s">
        <v>2153</v>
      </c>
      <c r="C215" s="1842">
        <v>0.15</v>
      </c>
      <c r="D215" s="1842">
        <v>0.15</v>
      </c>
      <c r="E215" s="1842">
        <v>0.15</v>
      </c>
      <c r="F215" s="1843">
        <v>0.15</v>
      </c>
    </row>
    <row r="216" spans="1:6" ht="14.25" thickBot="1">
      <c r="A216" s="1837" t="s">
        <v>1410</v>
      </c>
      <c r="B216" s="1841" t="s">
        <v>1180</v>
      </c>
      <c r="C216" s="1842">
        <v>0.14699999999999999</v>
      </c>
      <c r="D216" s="1842">
        <v>0.14699999999999999</v>
      </c>
      <c r="E216" s="1842">
        <v>0.15</v>
      </c>
      <c r="F216" s="1843">
        <v>0.14000000000000001</v>
      </c>
    </row>
    <row r="217" spans="1:6" ht="14.25" thickBot="1">
      <c r="A217" s="1837" t="s">
        <v>1410</v>
      </c>
      <c r="B217" s="1841" t="s">
        <v>1190</v>
      </c>
      <c r="C217" s="1842">
        <v>0.15</v>
      </c>
      <c r="D217" s="1842">
        <v>0.15</v>
      </c>
      <c r="E217" s="1842">
        <v>0.15</v>
      </c>
      <c r="F217" s="1843">
        <v>0.15</v>
      </c>
    </row>
    <row r="218" spans="1:6" ht="14.25" thickBot="1">
      <c r="A218" s="1837" t="s">
        <v>1410</v>
      </c>
      <c r="B218" s="1841" t="s">
        <v>2154</v>
      </c>
      <c r="C218" s="1842">
        <v>0.15</v>
      </c>
      <c r="D218" s="1842">
        <v>0.15</v>
      </c>
      <c r="E218" s="1842">
        <v>0.15</v>
      </c>
      <c r="F218" s="1843">
        <v>0.15</v>
      </c>
    </row>
    <row r="219" spans="1:6" ht="14.25" thickBot="1">
      <c r="A219" s="1837" t="s">
        <v>1410</v>
      </c>
      <c r="B219" s="1841" t="s">
        <v>1210</v>
      </c>
      <c r="C219" s="1842">
        <v>0.15</v>
      </c>
      <c r="D219" s="1842">
        <v>0.15</v>
      </c>
      <c r="E219" s="1842">
        <v>0.15</v>
      </c>
      <c r="F219" s="1843">
        <v>0.14799999999999999</v>
      </c>
    </row>
    <row r="220" spans="1:6" ht="14.25" thickBot="1">
      <c r="A220" s="1837" t="s">
        <v>1410</v>
      </c>
      <c r="B220" s="1841" t="s">
        <v>2155</v>
      </c>
      <c r="C220" s="1842">
        <v>0.15</v>
      </c>
      <c r="D220" s="1842">
        <v>0.15</v>
      </c>
      <c r="E220" s="1842">
        <v>0.15</v>
      </c>
      <c r="F220" s="1843">
        <v>0.15</v>
      </c>
    </row>
    <row r="221" spans="1:6" ht="14.25" thickBot="1">
      <c r="A221" s="1837" t="s">
        <v>1410</v>
      </c>
      <c r="B221" s="1841" t="s">
        <v>1230</v>
      </c>
      <c r="C221" s="1842"/>
      <c r="D221" s="1851"/>
      <c r="E221" s="1851"/>
      <c r="F221" s="1843">
        <v>0.14799999999999999</v>
      </c>
    </row>
    <row r="222" spans="1:6" ht="14.25" thickBot="1">
      <c r="A222" s="1837" t="s">
        <v>1410</v>
      </c>
      <c r="B222" s="1841" t="s">
        <v>1240</v>
      </c>
      <c r="C222" s="1842"/>
      <c r="D222" s="1851"/>
      <c r="E222" s="1851"/>
      <c r="F222" s="1843">
        <v>0.1</v>
      </c>
    </row>
    <row r="223" spans="1:6" ht="14.25" thickBot="1">
      <c r="A223" s="1837" t="s">
        <v>1410</v>
      </c>
      <c r="B223" s="1841" t="s">
        <v>1250</v>
      </c>
      <c r="C223" s="1842"/>
      <c r="D223" s="1851"/>
      <c r="E223" s="1851"/>
      <c r="F223" s="1843">
        <v>0.15</v>
      </c>
    </row>
    <row r="224" spans="1:6" ht="14.25" thickBot="1">
      <c r="A224" s="1837" t="s">
        <v>1410</v>
      </c>
      <c r="B224" s="1841" t="s">
        <v>1260</v>
      </c>
      <c r="C224" s="1842"/>
      <c r="D224" s="1851"/>
      <c r="E224" s="1851"/>
      <c r="F224" s="1843">
        <v>0.15</v>
      </c>
    </row>
    <row r="225" spans="1:6" ht="14.25" thickBot="1">
      <c r="A225" s="1837" t="s">
        <v>1410</v>
      </c>
      <c r="B225" s="1841" t="s">
        <v>2156</v>
      </c>
      <c r="C225" s="1842">
        <v>0.15</v>
      </c>
      <c r="D225" s="1842">
        <v>0.15</v>
      </c>
      <c r="E225" s="1842">
        <v>0.15</v>
      </c>
      <c r="F225" s="1843">
        <v>0.15</v>
      </c>
    </row>
    <row r="226" spans="1:6" ht="14.25" thickBot="1">
      <c r="A226" s="1837" t="s">
        <v>1410</v>
      </c>
      <c r="B226" s="1841" t="s">
        <v>1278</v>
      </c>
      <c r="C226" s="1842">
        <v>0.15</v>
      </c>
      <c r="D226" s="1842">
        <v>0.15</v>
      </c>
      <c r="E226" s="1842">
        <v>0.15</v>
      </c>
      <c r="F226" s="1843">
        <v>0.14799999999999999</v>
      </c>
    </row>
    <row r="227" spans="1:6" ht="14.25" thickBot="1">
      <c r="A227" s="1837" t="s">
        <v>1410</v>
      </c>
      <c r="B227" s="1841" t="s">
        <v>2157</v>
      </c>
      <c r="C227" s="1842">
        <v>0.15</v>
      </c>
      <c r="D227" s="1842">
        <v>0.15</v>
      </c>
      <c r="E227" s="1842">
        <v>0.15</v>
      </c>
      <c r="F227" s="1843">
        <v>0.15</v>
      </c>
    </row>
    <row r="228" spans="1:6" ht="14.25" thickBot="1">
      <c r="A228" s="1837" t="s">
        <v>1410</v>
      </c>
      <c r="B228" s="1841" t="s">
        <v>1293</v>
      </c>
      <c r="C228" s="1842">
        <v>0.15</v>
      </c>
      <c r="D228" s="1842">
        <v>0.15</v>
      </c>
      <c r="E228" s="1842">
        <v>0.15</v>
      </c>
      <c r="F228" s="1843">
        <v>0.15</v>
      </c>
    </row>
    <row r="229" spans="1:6" ht="14.25" thickBot="1">
      <c r="A229" s="1837" t="s">
        <v>1410</v>
      </c>
      <c r="B229" s="1841" t="s">
        <v>1300</v>
      </c>
      <c r="C229" s="1842">
        <v>0.15</v>
      </c>
      <c r="D229" s="1842">
        <v>0.15</v>
      </c>
      <c r="E229" s="1842">
        <v>0.15</v>
      </c>
      <c r="F229" s="1850"/>
    </row>
    <row r="230" spans="1:6" ht="14.25" thickBot="1">
      <c r="A230" s="1837" t="s">
        <v>1410</v>
      </c>
      <c r="B230" s="1841" t="s">
        <v>1307</v>
      </c>
      <c r="C230" s="1842">
        <v>0.14499999999999999</v>
      </c>
      <c r="D230" s="1842">
        <v>0.14499999999999999</v>
      </c>
      <c r="E230" s="1842">
        <v>0.14399999999999999</v>
      </c>
      <c r="F230" s="1850"/>
    </row>
    <row r="231" spans="1:6" ht="14.25" thickBot="1">
      <c r="A231" s="1837" t="s">
        <v>1410</v>
      </c>
      <c r="B231" s="1841" t="s">
        <v>2158</v>
      </c>
      <c r="C231" s="1842">
        <v>0.128</v>
      </c>
      <c r="D231" s="1842">
        <v>0.125</v>
      </c>
      <c r="E231" s="1842">
        <v>0.13200000000000001</v>
      </c>
      <c r="F231" s="1850"/>
    </row>
    <row r="232" spans="1:6" ht="14.25" thickBot="1">
      <c r="A232" s="1837" t="s">
        <v>1410</v>
      </c>
      <c r="B232" s="1841" t="s">
        <v>2159</v>
      </c>
      <c r="C232" s="1842">
        <v>0.14499999999999999</v>
      </c>
      <c r="D232" s="1842">
        <v>0.14399999999999999</v>
      </c>
      <c r="E232" s="1842">
        <v>0.14599999999999999</v>
      </c>
      <c r="F232" s="1843">
        <v>0.13800000000000001</v>
      </c>
    </row>
    <row r="233" spans="1:6" ht="14.25" thickBot="1">
      <c r="A233" s="1837" t="s">
        <v>1410</v>
      </c>
      <c r="B233" s="1841" t="s">
        <v>2160</v>
      </c>
      <c r="C233" s="1842">
        <v>0.14499999999999999</v>
      </c>
      <c r="D233" s="1842">
        <v>0.14299999999999999</v>
      </c>
      <c r="E233" s="1842">
        <v>0.14199999999999999</v>
      </c>
      <c r="F233" s="1850"/>
    </row>
    <row r="234" spans="1:6" ht="14.25" thickBot="1">
      <c r="A234" s="1837" t="s">
        <v>1410</v>
      </c>
      <c r="B234" s="1841" t="s">
        <v>2161</v>
      </c>
      <c r="C234" s="1842">
        <v>0.14000000000000001</v>
      </c>
      <c r="D234" s="1842">
        <v>0.14000000000000001</v>
      </c>
      <c r="E234" s="1842">
        <v>0.14399999999999999</v>
      </c>
      <c r="F234" s="1850"/>
    </row>
    <row r="235" spans="1:6" ht="14.25" thickBot="1">
      <c r="A235" s="1837" t="s">
        <v>1410</v>
      </c>
      <c r="B235" s="1841" t="s">
        <v>2162</v>
      </c>
      <c r="C235" s="1842">
        <v>0.14099999999999999</v>
      </c>
      <c r="D235" s="1842">
        <v>0.14199999999999999</v>
      </c>
      <c r="E235" s="1842">
        <v>0.14499999999999999</v>
      </c>
      <c r="F235" s="1843">
        <v>0.15</v>
      </c>
    </row>
    <row r="236" spans="1:6" ht="14.25" thickBot="1">
      <c r="A236" s="1837" t="s">
        <v>1410</v>
      </c>
      <c r="B236" s="1841" t="s">
        <v>1342</v>
      </c>
      <c r="C236" s="1851"/>
      <c r="D236" s="1851"/>
      <c r="E236" s="1851"/>
      <c r="F236" s="1843">
        <v>0.14299999999999999</v>
      </c>
    </row>
    <row r="237" spans="1:6" ht="24.75" thickBot="1">
      <c r="A237" s="1837" t="s">
        <v>1410</v>
      </c>
      <c r="B237" s="1841" t="s">
        <v>2163</v>
      </c>
      <c r="C237" s="1851"/>
      <c r="D237" s="1851"/>
      <c r="E237" s="1851"/>
      <c r="F237" s="1843">
        <v>0.05</v>
      </c>
    </row>
    <row r="238" spans="1:6" ht="24.75" thickBot="1">
      <c r="A238" s="1837" t="s">
        <v>1410</v>
      </c>
      <c r="B238" s="1841" t="s">
        <v>2164</v>
      </c>
      <c r="C238" s="1851"/>
      <c r="D238" s="1851"/>
      <c r="E238" s="1851"/>
      <c r="F238" s="1843">
        <v>0.05</v>
      </c>
    </row>
    <row r="239" spans="1:6" ht="24.75" thickBot="1">
      <c r="A239" s="1837" t="s">
        <v>1410</v>
      </c>
      <c r="B239" s="1841" t="s">
        <v>2165</v>
      </c>
      <c r="C239" s="1851"/>
      <c r="D239" s="1851"/>
      <c r="E239" s="1851"/>
      <c r="F239" s="1843">
        <v>0.05</v>
      </c>
    </row>
    <row r="240" spans="1:6" ht="24.75" thickBot="1">
      <c r="A240" s="1837" t="s">
        <v>1410</v>
      </c>
      <c r="B240" s="1841" t="s">
        <v>2166</v>
      </c>
      <c r="C240" s="1851"/>
      <c r="D240" s="1851"/>
      <c r="E240" s="1851"/>
      <c r="F240" s="1843">
        <v>0.05</v>
      </c>
    </row>
    <row r="241" spans="1:6" ht="24.75" thickBot="1">
      <c r="A241" s="1837" t="s">
        <v>1410</v>
      </c>
      <c r="B241" s="1841" t="s">
        <v>2167</v>
      </c>
      <c r="C241" s="1851"/>
      <c r="D241" s="1851"/>
      <c r="E241" s="1851"/>
      <c r="F241" s="1843">
        <v>0.05</v>
      </c>
    </row>
    <row r="242" spans="1:6" ht="24.75" thickBot="1">
      <c r="A242" s="1837" t="s">
        <v>1410</v>
      </c>
      <c r="B242" s="1841" t="s">
        <v>2168</v>
      </c>
      <c r="C242" s="1851"/>
      <c r="D242" s="1851"/>
      <c r="E242" s="1851"/>
      <c r="F242" s="1843">
        <v>0.05</v>
      </c>
    </row>
    <row r="243" spans="1:6" ht="24.75" thickBot="1">
      <c r="A243" s="1837" t="s">
        <v>1410</v>
      </c>
      <c r="B243" s="1841" t="s">
        <v>2169</v>
      </c>
      <c r="C243" s="1851"/>
      <c r="D243" s="1851"/>
      <c r="E243" s="1851"/>
      <c r="F243" s="1843">
        <v>0.05</v>
      </c>
    </row>
    <row r="244" spans="1:6" ht="24.75" thickBot="1">
      <c r="A244" s="1845" t="s">
        <v>1410</v>
      </c>
      <c r="B244" s="1852" t="s">
        <v>2170</v>
      </c>
      <c r="C244" s="1848"/>
      <c r="D244" s="1848"/>
      <c r="E244" s="1848"/>
      <c r="F244" s="1853">
        <v>0.05</v>
      </c>
    </row>
    <row r="245" spans="1:6" ht="14.25" thickBot="1">
      <c r="A245" s="1837" t="s">
        <v>1412</v>
      </c>
      <c r="B245" s="1838" t="s">
        <v>2171</v>
      </c>
      <c r="C245" s="1839">
        <v>0.15</v>
      </c>
      <c r="D245" s="1839">
        <v>0.15</v>
      </c>
      <c r="E245" s="1839">
        <v>0.15</v>
      </c>
      <c r="F245" s="1840">
        <v>0.14299999999999999</v>
      </c>
    </row>
    <row r="246" spans="1:6" ht="14.25" thickBot="1">
      <c r="A246" s="1837" t="s">
        <v>1412</v>
      </c>
      <c r="B246" s="1841" t="s">
        <v>1075</v>
      </c>
      <c r="C246" s="1842">
        <v>0.15</v>
      </c>
      <c r="D246" s="1842">
        <v>0.15</v>
      </c>
      <c r="E246" s="1842">
        <v>0.15</v>
      </c>
      <c r="F246" s="1843">
        <v>0.114</v>
      </c>
    </row>
    <row r="247" spans="1:6" ht="14.25" thickBot="1">
      <c r="A247" s="1837" t="s">
        <v>1412</v>
      </c>
      <c r="B247" s="1841" t="s">
        <v>2172</v>
      </c>
      <c r="C247" s="1842">
        <v>0.15</v>
      </c>
      <c r="D247" s="1842">
        <v>0.15</v>
      </c>
      <c r="E247" s="1842">
        <v>0.15</v>
      </c>
      <c r="F247" s="1843">
        <v>0.15</v>
      </c>
    </row>
    <row r="248" spans="1:6" ht="14.25" thickBot="1">
      <c r="A248" s="1837" t="s">
        <v>1412</v>
      </c>
      <c r="B248" s="1841" t="s">
        <v>2173</v>
      </c>
      <c r="C248" s="1842">
        <v>0.15</v>
      </c>
      <c r="D248" s="1842">
        <v>0.15</v>
      </c>
      <c r="E248" s="1842">
        <v>0.15</v>
      </c>
      <c r="F248" s="1843">
        <v>0.14000000000000001</v>
      </c>
    </row>
    <row r="249" spans="1:6" ht="14.25" thickBot="1">
      <c r="A249" s="1837" t="s">
        <v>1412</v>
      </c>
      <c r="B249" s="1841" t="s">
        <v>2174</v>
      </c>
      <c r="C249" s="1842">
        <v>0.15</v>
      </c>
      <c r="D249" s="1842">
        <v>0.14899999999999999</v>
      </c>
      <c r="E249" s="1842">
        <v>0.15</v>
      </c>
      <c r="F249" s="1843">
        <v>0.1</v>
      </c>
    </row>
    <row r="250" spans="1:6" ht="14.25" thickBot="1">
      <c r="A250" s="1837" t="s">
        <v>1412</v>
      </c>
      <c r="B250" s="1841" t="s">
        <v>2175</v>
      </c>
      <c r="C250" s="1842">
        <v>0.15</v>
      </c>
      <c r="D250" s="1842">
        <v>0.15</v>
      </c>
      <c r="E250" s="1842">
        <v>0.15</v>
      </c>
      <c r="F250" s="1843">
        <v>0.14399999999999999</v>
      </c>
    </row>
    <row r="251" spans="1:6" ht="14.25" thickBot="1">
      <c r="A251" s="1837" t="s">
        <v>1412</v>
      </c>
      <c r="B251" s="1841" t="s">
        <v>1138</v>
      </c>
      <c r="C251" s="1842">
        <v>0.15</v>
      </c>
      <c r="D251" s="1842">
        <v>0.15</v>
      </c>
      <c r="E251" s="1842">
        <v>0.15</v>
      </c>
      <c r="F251" s="1843">
        <v>0.14299999999999999</v>
      </c>
    </row>
    <row r="252" spans="1:6" ht="14.25" thickBot="1">
      <c r="A252" s="1837" t="s">
        <v>1412</v>
      </c>
      <c r="B252" s="1841" t="s">
        <v>1149</v>
      </c>
      <c r="C252" s="1842">
        <v>0.15</v>
      </c>
      <c r="D252" s="1842">
        <v>0.15</v>
      </c>
      <c r="E252" s="1842">
        <v>0.15</v>
      </c>
      <c r="F252" s="1843">
        <v>0.1</v>
      </c>
    </row>
    <row r="253" spans="1:6" ht="14.25" thickBot="1">
      <c r="A253" s="1837" t="s">
        <v>1412</v>
      </c>
      <c r="B253" s="1841" t="s">
        <v>1161</v>
      </c>
      <c r="C253" s="1842">
        <v>0.15</v>
      </c>
      <c r="D253" s="1842">
        <v>0.15</v>
      </c>
      <c r="E253" s="1842">
        <v>0.15</v>
      </c>
      <c r="F253" s="1843">
        <v>0.1</v>
      </c>
    </row>
    <row r="254" spans="1:6" ht="14.25" thickBot="1">
      <c r="A254" s="1837" t="s">
        <v>1412</v>
      </c>
      <c r="B254" s="1841" t="s">
        <v>1171</v>
      </c>
      <c r="C254" s="1851"/>
      <c r="D254" s="1851"/>
      <c r="E254" s="1851"/>
      <c r="F254" s="1843">
        <v>0.15</v>
      </c>
    </row>
    <row r="255" spans="1:6" ht="14.25" thickBot="1">
      <c r="A255" s="1837" t="s">
        <v>1412</v>
      </c>
      <c r="B255" s="1841" t="s">
        <v>1181</v>
      </c>
      <c r="C255" s="1851"/>
      <c r="D255" s="1851"/>
      <c r="E255" s="1851"/>
      <c r="F255" s="1843">
        <v>0.14299999999999999</v>
      </c>
    </row>
    <row r="256" spans="1:6" ht="14.25" thickBot="1">
      <c r="A256" s="1837" t="s">
        <v>1412</v>
      </c>
      <c r="B256" s="1841" t="s">
        <v>2176</v>
      </c>
      <c r="C256" s="1842">
        <v>0.14599999999999999</v>
      </c>
      <c r="D256" s="1842">
        <v>0.14699999999999999</v>
      </c>
      <c r="E256" s="1842">
        <v>0.15</v>
      </c>
      <c r="F256" s="1843">
        <v>0.13200000000000001</v>
      </c>
    </row>
    <row r="257" spans="1:6" ht="14.25" thickBot="1">
      <c r="A257" s="1837" t="s">
        <v>1412</v>
      </c>
      <c r="B257" s="1841" t="s">
        <v>1201</v>
      </c>
      <c r="C257" s="1842">
        <v>0.15</v>
      </c>
      <c r="D257" s="1842">
        <v>0.15</v>
      </c>
      <c r="E257" s="1842">
        <v>0.15</v>
      </c>
      <c r="F257" s="1843">
        <v>0.13900000000000001</v>
      </c>
    </row>
    <row r="258" spans="1:6" ht="14.25" thickBot="1">
      <c r="A258" s="1837" t="s">
        <v>1412</v>
      </c>
      <c r="B258" s="1841" t="s">
        <v>1211</v>
      </c>
      <c r="C258" s="1842">
        <v>0.15</v>
      </c>
      <c r="D258" s="1842">
        <v>0.15</v>
      </c>
      <c r="E258" s="1842">
        <v>0.15</v>
      </c>
      <c r="F258" s="1843">
        <v>0.13</v>
      </c>
    </row>
    <row r="259" spans="1:6" ht="14.25" thickBot="1">
      <c r="A259" s="1837" t="s">
        <v>1412</v>
      </c>
      <c r="B259" s="1841" t="s">
        <v>2177</v>
      </c>
      <c r="C259" s="1842">
        <v>0.14799999999999999</v>
      </c>
      <c r="D259" s="1842">
        <v>0.14899999999999999</v>
      </c>
      <c r="E259" s="1842">
        <v>0.15</v>
      </c>
      <c r="F259" s="1843">
        <v>0.13700000000000001</v>
      </c>
    </row>
    <row r="260" spans="1:6" ht="14.25" thickBot="1">
      <c r="A260" s="1837" t="s">
        <v>1412</v>
      </c>
      <c r="B260" s="1841" t="s">
        <v>1231</v>
      </c>
      <c r="C260" s="1842">
        <v>0.15</v>
      </c>
      <c r="D260" s="1842">
        <v>0.15</v>
      </c>
      <c r="E260" s="1842">
        <v>0.15</v>
      </c>
      <c r="F260" s="1843">
        <v>0.14199999999999999</v>
      </c>
    </row>
    <row r="261" spans="1:6" ht="14.25" thickBot="1">
      <c r="A261" s="1837" t="s">
        <v>1412</v>
      </c>
      <c r="B261" s="1841" t="s">
        <v>1241</v>
      </c>
      <c r="C261" s="1842">
        <v>0.15</v>
      </c>
      <c r="D261" s="1842">
        <v>0.15</v>
      </c>
      <c r="E261" s="1842">
        <v>0.14899999999999999</v>
      </c>
      <c r="F261" s="1843">
        <v>0.14799999999999999</v>
      </c>
    </row>
    <row r="262" spans="1:6" ht="14.25" thickBot="1">
      <c r="A262" s="1837" t="s">
        <v>1412</v>
      </c>
      <c r="B262" s="1841" t="s">
        <v>1251</v>
      </c>
      <c r="C262" s="1842">
        <v>0.15</v>
      </c>
      <c r="D262" s="1842">
        <v>0.15</v>
      </c>
      <c r="E262" s="1842">
        <v>0.15</v>
      </c>
      <c r="F262" s="1850"/>
    </row>
    <row r="263" spans="1:6" ht="14.25" thickBot="1">
      <c r="A263" s="1837" t="s">
        <v>1412</v>
      </c>
      <c r="B263" s="1841" t="s">
        <v>2178</v>
      </c>
      <c r="C263" s="1842">
        <v>0.14899999999999999</v>
      </c>
      <c r="D263" s="1842">
        <v>0.14899999999999999</v>
      </c>
      <c r="E263" s="1842">
        <v>0.15</v>
      </c>
      <c r="F263" s="1843">
        <v>0.13</v>
      </c>
    </row>
    <row r="264" spans="1:6" ht="14.25" thickBot="1">
      <c r="A264" s="1837" t="s">
        <v>1412</v>
      </c>
      <c r="B264" s="1841" t="s">
        <v>1270</v>
      </c>
      <c r="C264" s="1842">
        <v>0.14799999999999999</v>
      </c>
      <c r="D264" s="1842">
        <v>0.14699999999999999</v>
      </c>
      <c r="E264" s="1842">
        <v>0.15</v>
      </c>
      <c r="F264" s="1843">
        <v>7.8E-2</v>
      </c>
    </row>
    <row r="265" spans="1:6" ht="14.25" thickBot="1">
      <c r="A265" s="1837" t="s">
        <v>1412</v>
      </c>
      <c r="B265" s="1841" t="s">
        <v>1279</v>
      </c>
      <c r="C265" s="1842">
        <v>0.15</v>
      </c>
      <c r="D265" s="1842">
        <v>0.15</v>
      </c>
      <c r="E265" s="1842">
        <v>0.15</v>
      </c>
      <c r="F265" s="1843">
        <v>7.3999999999999996E-2</v>
      </c>
    </row>
    <row r="266" spans="1:6" ht="14.25" thickBot="1">
      <c r="A266" s="1837" t="s">
        <v>1412</v>
      </c>
      <c r="B266" s="1841" t="s">
        <v>1287</v>
      </c>
      <c r="C266" s="1842">
        <v>0.14699999999999999</v>
      </c>
      <c r="D266" s="1842">
        <v>0.14699999999999999</v>
      </c>
      <c r="E266" s="1842">
        <v>0.15</v>
      </c>
      <c r="F266" s="1843">
        <v>0.14299999999999999</v>
      </c>
    </row>
    <row r="267" spans="1:6" ht="14.25" thickBot="1">
      <c r="A267" s="1837" t="s">
        <v>1412</v>
      </c>
      <c r="B267" s="1841" t="s">
        <v>1294</v>
      </c>
      <c r="C267" s="1842">
        <v>0.14199999999999999</v>
      </c>
      <c r="D267" s="1842">
        <v>0.14299999999999999</v>
      </c>
      <c r="E267" s="1842">
        <v>0.15</v>
      </c>
      <c r="F267" s="1850"/>
    </row>
    <row r="268" spans="1:6" ht="14.25" thickBot="1">
      <c r="A268" s="1837" t="s">
        <v>1412</v>
      </c>
      <c r="B268" s="1841" t="s">
        <v>2179</v>
      </c>
      <c r="C268" s="1842">
        <v>0.15</v>
      </c>
      <c r="D268" s="1842">
        <v>0.15</v>
      </c>
      <c r="E268" s="1842">
        <v>0.15</v>
      </c>
      <c r="F268" s="1843">
        <v>0.13</v>
      </c>
    </row>
    <row r="269" spans="1:6" ht="14.25" thickBot="1">
      <c r="A269" s="1837" t="s">
        <v>1412</v>
      </c>
      <c r="B269" s="1841" t="s">
        <v>1308</v>
      </c>
      <c r="C269" s="1842">
        <v>0.15</v>
      </c>
      <c r="D269" s="1842">
        <v>0.15</v>
      </c>
      <c r="E269" s="1842">
        <v>0.15</v>
      </c>
      <c r="F269" s="1843">
        <v>0.14299999999999999</v>
      </c>
    </row>
    <row r="270" spans="1:6" ht="14.25" thickBot="1">
      <c r="A270" s="1837" t="s">
        <v>1412</v>
      </c>
      <c r="B270" s="1841" t="s">
        <v>1315</v>
      </c>
      <c r="C270" s="1842">
        <v>0.14499999999999999</v>
      </c>
      <c r="D270" s="1842">
        <v>0.14499999999999999</v>
      </c>
      <c r="E270" s="1842">
        <v>0.15</v>
      </c>
      <c r="F270" s="1843">
        <v>0.14699999999999999</v>
      </c>
    </row>
    <row r="271" spans="1:6" ht="14.25" thickBot="1">
      <c r="A271" s="1837" t="s">
        <v>1412</v>
      </c>
      <c r="B271" s="1841" t="s">
        <v>1322</v>
      </c>
      <c r="C271" s="1842">
        <v>0.15</v>
      </c>
      <c r="D271" s="1842">
        <v>0.15</v>
      </c>
      <c r="E271" s="1842">
        <v>0.15</v>
      </c>
      <c r="F271" s="1843">
        <v>0.13800000000000001</v>
      </c>
    </row>
    <row r="272" spans="1:6" ht="14.25" thickBot="1">
      <c r="A272" s="1837" t="s">
        <v>1412</v>
      </c>
      <c r="B272" s="1841" t="s">
        <v>1329</v>
      </c>
      <c r="C272" s="1851"/>
      <c r="D272" s="1851"/>
      <c r="E272" s="1851"/>
      <c r="F272" s="1843">
        <v>0.14000000000000001</v>
      </c>
    </row>
    <row r="273" spans="1:6" ht="14.25" thickBot="1">
      <c r="A273" s="1837" t="s">
        <v>1412</v>
      </c>
      <c r="B273" s="1841" t="s">
        <v>2180</v>
      </c>
      <c r="C273" s="1842">
        <v>0.14199999999999999</v>
      </c>
      <c r="D273" s="1842">
        <v>0.14299999999999999</v>
      </c>
      <c r="E273" s="1842">
        <v>0.15</v>
      </c>
      <c r="F273" s="1843">
        <v>0.1</v>
      </c>
    </row>
    <row r="274" spans="1:6" ht="14.25" thickBot="1">
      <c r="A274" s="1837" t="s">
        <v>1412</v>
      </c>
      <c r="B274" s="1841" t="s">
        <v>2181</v>
      </c>
      <c r="C274" s="1842">
        <v>0.14799999999999999</v>
      </c>
      <c r="D274" s="1842">
        <v>0.14799999999999999</v>
      </c>
      <c r="E274" s="1842">
        <v>0.15</v>
      </c>
      <c r="F274" s="1843">
        <v>6.7000000000000004E-2</v>
      </c>
    </row>
    <row r="275" spans="1:6" ht="14.25" thickBot="1">
      <c r="A275" s="1837" t="s">
        <v>1412</v>
      </c>
      <c r="B275" s="1841" t="s">
        <v>2182</v>
      </c>
      <c r="C275" s="1842">
        <v>0.15</v>
      </c>
      <c r="D275" s="1842">
        <v>0.15</v>
      </c>
      <c r="E275" s="1842">
        <v>0.15</v>
      </c>
      <c r="F275" s="1843">
        <v>0.15</v>
      </c>
    </row>
    <row r="276" spans="1:6" ht="14.25" thickBot="1">
      <c r="A276" s="1837" t="s">
        <v>1412</v>
      </c>
      <c r="B276" s="1841" t="s">
        <v>2183</v>
      </c>
      <c r="C276" s="1842">
        <v>0.14499999999999999</v>
      </c>
      <c r="D276" s="1842">
        <v>0.14299999999999999</v>
      </c>
      <c r="E276" s="1842">
        <v>0.15</v>
      </c>
      <c r="F276" s="1843">
        <v>5.8999999999999997E-2</v>
      </c>
    </row>
    <row r="277" spans="1:6" ht="14.25" thickBot="1">
      <c r="A277" s="1837" t="s">
        <v>1412</v>
      </c>
      <c r="B277" s="1841" t="s">
        <v>2184</v>
      </c>
      <c r="C277" s="1842">
        <v>0.15</v>
      </c>
      <c r="D277" s="1842">
        <v>0.15</v>
      </c>
      <c r="E277" s="1842">
        <v>0.15</v>
      </c>
      <c r="F277" s="1843">
        <v>0.121</v>
      </c>
    </row>
    <row r="278" spans="1:6" ht="14.25" thickBot="1">
      <c r="A278" s="1837" t="s">
        <v>1412</v>
      </c>
      <c r="B278" s="1841" t="s">
        <v>2185</v>
      </c>
      <c r="C278" s="1842">
        <v>0.15</v>
      </c>
      <c r="D278" s="1842">
        <v>0.15</v>
      </c>
      <c r="E278" s="1842">
        <v>0.15</v>
      </c>
      <c r="F278" s="1843">
        <v>0.13800000000000001</v>
      </c>
    </row>
    <row r="279" spans="1:6" ht="24.75" thickBot="1">
      <c r="A279" s="1837" t="s">
        <v>1412</v>
      </c>
      <c r="B279" s="1841" t="s">
        <v>2186</v>
      </c>
      <c r="C279" s="1851"/>
      <c r="D279" s="1851"/>
      <c r="E279" s="1851"/>
      <c r="F279" s="1843">
        <v>0.05</v>
      </c>
    </row>
    <row r="280" spans="1:6" ht="24.75" thickBot="1">
      <c r="A280" s="1837" t="s">
        <v>1412</v>
      </c>
      <c r="B280" s="1841" t="s">
        <v>2187</v>
      </c>
      <c r="C280" s="1851"/>
      <c r="D280" s="1851"/>
      <c r="E280" s="1851"/>
      <c r="F280" s="1843">
        <v>0.05</v>
      </c>
    </row>
    <row r="281" spans="1:6" ht="24.75" thickBot="1">
      <c r="A281" s="1837" t="s">
        <v>1412</v>
      </c>
      <c r="B281" s="1841" t="s">
        <v>2188</v>
      </c>
      <c r="C281" s="1851"/>
      <c r="D281" s="1851"/>
      <c r="E281" s="1851"/>
      <c r="F281" s="1843">
        <v>0.05</v>
      </c>
    </row>
    <row r="282" spans="1:6" ht="24.75" thickBot="1">
      <c r="A282" s="1837" t="s">
        <v>1412</v>
      </c>
      <c r="B282" s="1841" t="s">
        <v>2189</v>
      </c>
      <c r="C282" s="1851"/>
      <c r="D282" s="1851"/>
      <c r="E282" s="1851"/>
      <c r="F282" s="1843">
        <v>0.05</v>
      </c>
    </row>
    <row r="283" spans="1:6" ht="24.75" thickBot="1">
      <c r="A283" s="1837" t="s">
        <v>1412</v>
      </c>
      <c r="B283" s="1841" t="s">
        <v>2190</v>
      </c>
      <c r="C283" s="1851"/>
      <c r="D283" s="1851"/>
      <c r="E283" s="1851"/>
      <c r="F283" s="1843">
        <v>0.05</v>
      </c>
    </row>
    <row r="284" spans="1:6" ht="24.75" thickBot="1">
      <c r="A284" s="1837" t="s">
        <v>1412</v>
      </c>
      <c r="B284" s="1841" t="s">
        <v>2191</v>
      </c>
      <c r="C284" s="1851"/>
      <c r="D284" s="1851"/>
      <c r="E284" s="1851"/>
      <c r="F284" s="1843">
        <v>0.05</v>
      </c>
    </row>
    <row r="285" spans="1:6" ht="24.75" thickBot="1">
      <c r="A285" s="1837" t="s">
        <v>1412</v>
      </c>
      <c r="B285" s="1841" t="s">
        <v>2192</v>
      </c>
      <c r="C285" s="1851"/>
      <c r="D285" s="1851"/>
      <c r="E285" s="1851"/>
      <c r="F285" s="1843">
        <v>0.05</v>
      </c>
    </row>
    <row r="286" spans="1:6" ht="24.75" thickBot="1">
      <c r="A286" s="1837" t="s">
        <v>1412</v>
      </c>
      <c r="B286" s="1841" t="s">
        <v>2193</v>
      </c>
      <c r="C286" s="1851"/>
      <c r="D286" s="1851"/>
      <c r="E286" s="1851"/>
      <c r="F286" s="1843">
        <v>0.05</v>
      </c>
    </row>
    <row r="287" spans="1:6" ht="24.75" thickBot="1">
      <c r="A287" s="1837" t="s">
        <v>1412</v>
      </c>
      <c r="B287" s="1841" t="s">
        <v>2194</v>
      </c>
      <c r="C287" s="1851"/>
      <c r="D287" s="1851"/>
      <c r="E287" s="1851"/>
      <c r="F287" s="1843">
        <v>0.05</v>
      </c>
    </row>
    <row r="288" spans="1:6" ht="24.75" thickBot="1">
      <c r="A288" s="1837" t="s">
        <v>1412</v>
      </c>
      <c r="B288" s="1841" t="s">
        <v>2195</v>
      </c>
      <c r="C288" s="1851"/>
      <c r="D288" s="1851"/>
      <c r="E288" s="1851"/>
      <c r="F288" s="1843">
        <v>0.05</v>
      </c>
    </row>
    <row r="289" spans="1:6" ht="24.75" thickBot="1">
      <c r="A289" s="1845" t="s">
        <v>1412</v>
      </c>
      <c r="B289" s="1852" t="s">
        <v>2196</v>
      </c>
      <c r="C289" s="1848"/>
      <c r="D289" s="1848"/>
      <c r="E289" s="1848"/>
      <c r="F289" s="1853">
        <v>0.05</v>
      </c>
    </row>
    <row r="290" spans="1:6" ht="14.25" thickBot="1">
      <c r="A290" s="1837" t="s">
        <v>1416</v>
      </c>
      <c r="B290" s="1838" t="s">
        <v>2197</v>
      </c>
      <c r="C290" s="1839">
        <v>0.15</v>
      </c>
      <c r="D290" s="1839">
        <v>0.15</v>
      </c>
      <c r="E290" s="1839">
        <v>0.15</v>
      </c>
      <c r="F290" s="1861"/>
    </row>
    <row r="291" spans="1:6" ht="14.25" thickBot="1">
      <c r="A291" s="1837" t="s">
        <v>1416</v>
      </c>
      <c r="B291" s="1841" t="s">
        <v>1076</v>
      </c>
      <c r="C291" s="1842">
        <v>0.15</v>
      </c>
      <c r="D291" s="1842">
        <v>0.15</v>
      </c>
      <c r="E291" s="1842">
        <v>0.15</v>
      </c>
      <c r="F291" s="1850"/>
    </row>
    <row r="292" spans="1:6" ht="14.25" thickBot="1">
      <c r="A292" s="1837" t="s">
        <v>1416</v>
      </c>
      <c r="B292" s="1841" t="s">
        <v>2198</v>
      </c>
      <c r="C292" s="1842">
        <v>0.15</v>
      </c>
      <c r="D292" s="1842">
        <v>0.15</v>
      </c>
      <c r="E292" s="1842">
        <v>0.15</v>
      </c>
      <c r="F292" s="1843">
        <v>0.14699999999999999</v>
      </c>
    </row>
    <row r="293" spans="1:6" ht="14.25" thickBot="1">
      <c r="A293" s="1837" t="s">
        <v>1416</v>
      </c>
      <c r="B293" s="1841" t="s">
        <v>2199</v>
      </c>
      <c r="C293" s="1851"/>
      <c r="D293" s="1851"/>
      <c r="E293" s="1851"/>
      <c r="F293" s="1843">
        <v>0.1</v>
      </c>
    </row>
    <row r="294" spans="1:6" ht="14.25" thickBot="1">
      <c r="A294" s="1837" t="s">
        <v>1416</v>
      </c>
      <c r="B294" s="1841" t="s">
        <v>2200</v>
      </c>
      <c r="C294" s="1842">
        <v>0.15</v>
      </c>
      <c r="D294" s="1842">
        <v>0.15</v>
      </c>
      <c r="E294" s="1842">
        <v>0.15</v>
      </c>
      <c r="F294" s="1843">
        <v>0.15</v>
      </c>
    </row>
    <row r="295" spans="1:6" ht="14.25" thickBot="1">
      <c r="A295" s="1837" t="s">
        <v>1416</v>
      </c>
      <c r="B295" s="1841" t="s">
        <v>1117</v>
      </c>
      <c r="C295" s="1842">
        <v>0.15</v>
      </c>
      <c r="D295" s="1842">
        <v>0.15</v>
      </c>
      <c r="E295" s="1842">
        <v>0.15</v>
      </c>
      <c r="F295" s="1843">
        <v>0.15</v>
      </c>
    </row>
    <row r="296" spans="1:6" ht="14.25" thickBot="1">
      <c r="A296" s="1837" t="s">
        <v>1416</v>
      </c>
      <c r="B296" s="1841" t="s">
        <v>2201</v>
      </c>
      <c r="C296" s="1842">
        <v>0.15</v>
      </c>
      <c r="D296" s="1842">
        <v>0.15</v>
      </c>
      <c r="E296" s="1842">
        <v>0.15</v>
      </c>
      <c r="F296" s="1843">
        <v>0.15</v>
      </c>
    </row>
    <row r="297" spans="1:6" ht="14.25" thickBot="1">
      <c r="A297" s="1837" t="s">
        <v>1416</v>
      </c>
      <c r="B297" s="1841" t="s">
        <v>2202</v>
      </c>
      <c r="C297" s="1842">
        <v>0.14799999999999999</v>
      </c>
      <c r="D297" s="1842">
        <v>0.14899999999999999</v>
      </c>
      <c r="E297" s="1842">
        <v>0.15</v>
      </c>
      <c r="F297" s="1843">
        <v>0.13700000000000001</v>
      </c>
    </row>
    <row r="298" spans="1:6" ht="14.25" thickBot="1">
      <c r="A298" s="1837" t="s">
        <v>1416</v>
      </c>
      <c r="B298" s="1841" t="s">
        <v>1150</v>
      </c>
      <c r="C298" s="1842">
        <v>0.13400000000000001</v>
      </c>
      <c r="D298" s="1842">
        <v>0.13400000000000001</v>
      </c>
      <c r="E298" s="1842">
        <v>0.14499999999999999</v>
      </c>
      <c r="F298" s="1843">
        <v>0.14799999999999999</v>
      </c>
    </row>
    <row r="299" spans="1:6" ht="14.25" thickBot="1">
      <c r="A299" s="1837" t="s">
        <v>1416</v>
      </c>
      <c r="B299" s="1841" t="s">
        <v>1162</v>
      </c>
      <c r="C299" s="1842">
        <v>0.15</v>
      </c>
      <c r="D299" s="1842">
        <v>0.15</v>
      </c>
      <c r="E299" s="1842">
        <v>0.15</v>
      </c>
      <c r="F299" s="1850"/>
    </row>
    <row r="300" spans="1:6" ht="14.25" thickBot="1">
      <c r="A300" s="1837" t="s">
        <v>1416</v>
      </c>
      <c r="B300" s="1841" t="s">
        <v>2203</v>
      </c>
      <c r="C300" s="1842">
        <v>0.15</v>
      </c>
      <c r="D300" s="1842">
        <v>0.15</v>
      </c>
      <c r="E300" s="1842">
        <v>0.15</v>
      </c>
      <c r="F300" s="1843">
        <v>0.15</v>
      </c>
    </row>
    <row r="301" spans="1:6" ht="14.25" thickBot="1">
      <c r="A301" s="1837" t="s">
        <v>1416</v>
      </c>
      <c r="B301" s="1841" t="s">
        <v>1182</v>
      </c>
      <c r="C301" s="1842">
        <v>0.15</v>
      </c>
      <c r="D301" s="1842">
        <v>0.15</v>
      </c>
      <c r="E301" s="1842">
        <v>0.15</v>
      </c>
      <c r="F301" s="1850"/>
    </row>
    <row r="302" spans="1:6" ht="14.25" thickBot="1">
      <c r="A302" s="1837" t="s">
        <v>1416</v>
      </c>
      <c r="B302" s="1841" t="s">
        <v>2204</v>
      </c>
      <c r="C302" s="1842">
        <v>0.15</v>
      </c>
      <c r="D302" s="1842">
        <v>0.15</v>
      </c>
      <c r="E302" s="1842">
        <v>0.15</v>
      </c>
      <c r="F302" s="1843">
        <v>0.15</v>
      </c>
    </row>
    <row r="303" spans="1:6" ht="14.25" thickBot="1">
      <c r="A303" s="1837" t="s">
        <v>1416</v>
      </c>
      <c r="B303" s="1841" t="s">
        <v>1202</v>
      </c>
      <c r="C303" s="1842">
        <v>0.15</v>
      </c>
      <c r="D303" s="1842">
        <v>0.15</v>
      </c>
      <c r="E303" s="1842">
        <v>0.15</v>
      </c>
      <c r="F303" s="1843">
        <v>0.15</v>
      </c>
    </row>
    <row r="304" spans="1:6" ht="14.25" thickBot="1">
      <c r="A304" s="1837" t="s">
        <v>1416</v>
      </c>
      <c r="B304" s="1841" t="s">
        <v>1212</v>
      </c>
      <c r="C304" s="1842">
        <v>0.15</v>
      </c>
      <c r="D304" s="1842">
        <v>0.15</v>
      </c>
      <c r="E304" s="1842">
        <v>0.15</v>
      </c>
      <c r="F304" s="1850"/>
    </row>
    <row r="305" spans="1:6" ht="14.25" thickBot="1">
      <c r="A305" s="1837" t="s">
        <v>1416</v>
      </c>
      <c r="B305" s="1841" t="s">
        <v>2205</v>
      </c>
      <c r="C305" s="1842">
        <v>0.15</v>
      </c>
      <c r="D305" s="1842">
        <v>0.15</v>
      </c>
      <c r="E305" s="1842">
        <v>0.15</v>
      </c>
      <c r="F305" s="1843">
        <v>0.14000000000000001</v>
      </c>
    </row>
    <row r="306" spans="1:6" ht="14.25" thickBot="1">
      <c r="A306" s="1837" t="s">
        <v>1416</v>
      </c>
      <c r="B306" s="1841" t="s">
        <v>1232</v>
      </c>
      <c r="C306" s="1842">
        <v>0.15</v>
      </c>
      <c r="D306" s="1842">
        <v>0.15</v>
      </c>
      <c r="E306" s="1842">
        <v>0.15</v>
      </c>
      <c r="F306" s="1850"/>
    </row>
    <row r="307" spans="1:6" ht="14.25" thickBot="1">
      <c r="A307" s="1837" t="s">
        <v>1416</v>
      </c>
      <c r="B307" s="1841" t="s">
        <v>2206</v>
      </c>
      <c r="C307" s="1842">
        <v>0.15</v>
      </c>
      <c r="D307" s="1842">
        <v>0.15</v>
      </c>
      <c r="E307" s="1842">
        <v>0.15</v>
      </c>
      <c r="F307" s="1843">
        <v>0.14299999999999999</v>
      </c>
    </row>
    <row r="308" spans="1:6" ht="14.25" thickBot="1">
      <c r="A308" s="1837" t="s">
        <v>1416</v>
      </c>
      <c r="B308" s="1841" t="s">
        <v>1252</v>
      </c>
      <c r="C308" s="1842">
        <v>0.15</v>
      </c>
      <c r="D308" s="1842">
        <v>0.15</v>
      </c>
      <c r="E308" s="1842">
        <v>0.15</v>
      </c>
      <c r="F308" s="1843">
        <v>0.15</v>
      </c>
    </row>
    <row r="309" spans="1:6" ht="14.25" thickBot="1">
      <c r="A309" s="1837" t="s">
        <v>1416</v>
      </c>
      <c r="B309" s="1841" t="s">
        <v>1262</v>
      </c>
      <c r="C309" s="1842">
        <v>0.15</v>
      </c>
      <c r="D309" s="1842">
        <v>0.15</v>
      </c>
      <c r="E309" s="1842">
        <v>0.15</v>
      </c>
      <c r="F309" s="1850"/>
    </row>
    <row r="310" spans="1:6" ht="14.25" thickBot="1">
      <c r="A310" s="1837" t="s">
        <v>1416</v>
      </c>
      <c r="B310" s="1841" t="s">
        <v>2207</v>
      </c>
      <c r="C310" s="1842">
        <v>0.15</v>
      </c>
      <c r="D310" s="1842">
        <v>0.15</v>
      </c>
      <c r="E310" s="1842">
        <v>0.15</v>
      </c>
      <c r="F310" s="1843">
        <v>0.13700000000000001</v>
      </c>
    </row>
    <row r="311" spans="1:6" ht="14.25" thickBot="1">
      <c r="A311" s="1837" t="s">
        <v>1416</v>
      </c>
      <c r="B311" s="1841" t="s">
        <v>2208</v>
      </c>
      <c r="C311" s="1842">
        <v>0.15</v>
      </c>
      <c r="D311" s="1842">
        <v>0.15</v>
      </c>
      <c r="E311" s="1842">
        <v>0.15</v>
      </c>
      <c r="F311" s="1843">
        <v>0.15</v>
      </c>
    </row>
    <row r="312" spans="1:6" ht="14.25" thickBot="1">
      <c r="A312" s="1837" t="s">
        <v>1416</v>
      </c>
      <c r="B312" s="1841" t="s">
        <v>1288</v>
      </c>
      <c r="C312" s="1842">
        <v>0.15</v>
      </c>
      <c r="D312" s="1842">
        <v>0.15</v>
      </c>
      <c r="E312" s="1842">
        <v>0.15</v>
      </c>
      <c r="F312" s="1843">
        <v>0.1</v>
      </c>
    </row>
    <row r="313" spans="1:6" ht="14.25" thickBot="1">
      <c r="A313" s="1837" t="s">
        <v>1416</v>
      </c>
      <c r="B313" s="1841" t="s">
        <v>2209</v>
      </c>
      <c r="C313" s="1842">
        <v>0.15</v>
      </c>
      <c r="D313" s="1842">
        <v>0.15</v>
      </c>
      <c r="E313" s="1842">
        <v>0.15</v>
      </c>
      <c r="F313" s="1843">
        <v>0.15</v>
      </c>
    </row>
    <row r="314" spans="1:6" ht="24.75" thickBot="1">
      <c r="A314" s="1837" t="s">
        <v>1416</v>
      </c>
      <c r="B314" s="1841" t="s">
        <v>2210</v>
      </c>
      <c r="C314" s="1851"/>
      <c r="D314" s="1851"/>
      <c r="E314" s="1851"/>
      <c r="F314" s="1843">
        <v>0.05</v>
      </c>
    </row>
    <row r="315" spans="1:6" ht="24.75" thickBot="1">
      <c r="A315" s="1837" t="s">
        <v>1416</v>
      </c>
      <c r="B315" s="1841" t="s">
        <v>2211</v>
      </c>
      <c r="C315" s="1851"/>
      <c r="D315" s="1851"/>
      <c r="E315" s="1851"/>
      <c r="F315" s="1843">
        <v>0.05</v>
      </c>
    </row>
    <row r="316" spans="1:6" ht="24.75" thickBot="1">
      <c r="A316" s="1845" t="s">
        <v>1416</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1104</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1173</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1193</v>
      </c>
      <c r="C328" s="1842">
        <v>0.15</v>
      </c>
      <c r="D328" s="1842">
        <v>0.15</v>
      </c>
      <c r="E328" s="1842">
        <v>0.15</v>
      </c>
      <c r="F328" s="1843">
        <v>0.14099999999999999</v>
      </c>
    </row>
    <row r="329" spans="1:6" ht="14.25" thickBot="1">
      <c r="A329" s="1837" t="s">
        <v>2213</v>
      </c>
      <c r="B329" s="1841" t="s">
        <v>1203</v>
      </c>
      <c r="C329" s="1842">
        <v>0.15</v>
      </c>
      <c r="D329" s="1842">
        <v>0.15</v>
      </c>
      <c r="E329" s="1842">
        <v>0.15</v>
      </c>
      <c r="F329" s="1843">
        <v>0.15</v>
      </c>
    </row>
    <row r="330" spans="1:6" ht="14.25" thickBot="1">
      <c r="A330" s="1837" t="s">
        <v>2213</v>
      </c>
      <c r="B330" s="1841" t="s">
        <v>1213</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1233</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1253</v>
      </c>
      <c r="C334" s="1842">
        <v>0.15</v>
      </c>
      <c r="D334" s="1842">
        <v>0.15</v>
      </c>
      <c r="E334" s="1842">
        <v>0.15</v>
      </c>
      <c r="F334" s="1843">
        <v>0.15</v>
      </c>
    </row>
    <row r="335" spans="1:6" ht="14.25" thickBot="1">
      <c r="A335" s="1837" t="s">
        <v>2213</v>
      </c>
      <c r="B335" s="1841" t="s">
        <v>1263</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1281</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906" t="s">
        <v>2570</v>
      </c>
      <c r="C1" s="3906"/>
      <c r="D1" s="3906"/>
      <c r="E1" s="3906"/>
      <c r="F1" s="3906"/>
      <c r="G1" s="3905" t="s">
        <v>2571</v>
      </c>
      <c r="H1" s="3905"/>
      <c r="I1" s="3905"/>
      <c r="J1" s="3905"/>
      <c r="K1" s="3905"/>
      <c r="L1" s="3905"/>
      <c r="N1" s="3905" t="s">
        <v>2572</v>
      </c>
      <c r="O1" s="3905"/>
      <c r="P1" s="3905"/>
      <c r="Q1" s="3905"/>
      <c r="R1" s="2614"/>
      <c r="S1" s="3905" t="s">
        <v>2573</v>
      </c>
      <c r="T1" s="3905"/>
      <c r="U1" s="3905"/>
      <c r="V1" s="3905"/>
      <c r="X1" s="3904" t="s">
        <v>2633</v>
      </c>
      <c r="Y1" s="3905"/>
      <c r="Z1" s="3905"/>
      <c r="AA1" s="3905"/>
      <c r="AB1" s="3905"/>
      <c r="AD1" s="3904" t="s">
        <v>2637</v>
      </c>
      <c r="AE1" s="3905"/>
      <c r="AF1" s="3905"/>
      <c r="AG1" s="3905"/>
      <c r="AH1" s="3905"/>
    </row>
    <row r="2" spans="1:34" s="2715" customFormat="1" ht="14.25" thickBot="1">
      <c r="B2" s="2723" t="s">
        <v>2574</v>
      </c>
      <c r="C2" s="2723" t="s">
        <v>2635</v>
      </c>
      <c r="D2" s="2716" t="s">
        <v>1641</v>
      </c>
      <c r="E2" s="2716" t="s">
        <v>1946</v>
      </c>
      <c r="F2" s="2723" t="s">
        <v>2636</v>
      </c>
      <c r="G2" s="2719"/>
      <c r="H2" s="2718"/>
      <c r="I2" s="2723" t="s">
        <v>2950</v>
      </c>
      <c r="J2" s="2716" t="s">
        <v>2952</v>
      </c>
      <c r="K2" s="2716" t="s">
        <v>2953</v>
      </c>
      <c r="L2" s="2723" t="s">
        <v>2954</v>
      </c>
      <c r="N2" s="2723" t="s">
        <v>2574</v>
      </c>
      <c r="O2" s="2716" t="s">
        <v>2951</v>
      </c>
      <c r="P2" s="2716" t="s">
        <v>1946</v>
      </c>
      <c r="Q2" s="2723" t="s">
        <v>2636</v>
      </c>
      <c r="R2" s="2717"/>
      <c r="S2" s="2723" t="s">
        <v>2574</v>
      </c>
      <c r="T2" s="2716" t="s">
        <v>2951</v>
      </c>
      <c r="U2" s="2716" t="s">
        <v>1946</v>
      </c>
      <c r="V2" s="2723" t="s">
        <v>2636</v>
      </c>
      <c r="X2" s="2723" t="s">
        <v>2574</v>
      </c>
      <c r="Y2" s="2723" t="s">
        <v>2635</v>
      </c>
      <c r="Z2" s="2716" t="s">
        <v>1641</v>
      </c>
      <c r="AA2" s="2716" t="s">
        <v>1946</v>
      </c>
      <c r="AB2" s="2723" t="s">
        <v>2636</v>
      </c>
      <c r="AD2" s="2723" t="s">
        <v>2574</v>
      </c>
      <c r="AE2" s="2723" t="s">
        <v>2635</v>
      </c>
      <c r="AF2" s="2716" t="s">
        <v>1641</v>
      </c>
      <c r="AG2" s="2716" t="s">
        <v>1946</v>
      </c>
      <c r="AH2" s="2723" t="s">
        <v>2636</v>
      </c>
    </row>
    <row r="3" spans="1:34" s="3078" customFormat="1" ht="14.25">
      <c r="A3" s="3090" t="s">
        <v>2963</v>
      </c>
      <c r="B3" s="3079"/>
      <c r="C3" s="3079"/>
      <c r="D3" s="3080"/>
      <c r="E3" s="3080"/>
      <c r="F3" s="3079"/>
      <c r="G3" s="3081"/>
      <c r="H3" s="3082"/>
      <c r="I3" s="3089">
        <f>ROUND(AVERAGE($I4:$I28),2)</f>
        <v>1.98</v>
      </c>
      <c r="J3" s="3089">
        <f>ROUND(AVERAGE($J4:$J28),2)</f>
        <v>1.41</v>
      </c>
      <c r="K3" s="3089">
        <f>ROUND(AVERAGE($K4:$K28),2)</f>
        <v>2.16</v>
      </c>
      <c r="L3" s="3089">
        <f>ROUND(AVERAGE($L4:$L28),2)</f>
        <v>1.38</v>
      </c>
      <c r="N3" s="3081"/>
      <c r="O3" s="3083"/>
      <c r="P3" s="3083"/>
      <c r="Q3" s="3083"/>
      <c r="R3" s="3083"/>
      <c r="S3" s="3081"/>
      <c r="T3" s="3083"/>
      <c r="U3" s="3083"/>
      <c r="V3" s="3083"/>
      <c r="W3" s="3086"/>
      <c r="X3" s="3084">
        <f>ROUND(SUMPRODUCT(PRODUCT(1+N3:N$27)),4)</f>
        <v>1.5516000000000001</v>
      </c>
      <c r="Y3" s="3084">
        <f>ROUND(SUMPRODUCT(PRODUCT(1+O3:O$27)),4)</f>
        <v>1.3649</v>
      </c>
      <c r="Z3" s="3084">
        <f t="shared" ref="Z3:Z25" si="0">Y3</f>
        <v>1.3649</v>
      </c>
      <c r="AA3" s="3084">
        <f>ROUND(SUMPRODUCT(PRODUCT(1+P3:P$27)),4)</f>
        <v>1.6133999999999999</v>
      </c>
      <c r="AB3" s="3084">
        <f>ROUND(SUMPRODUCT(PRODUCT(1+Q3:Q$27)),4)</f>
        <v>1.3713</v>
      </c>
      <c r="AD3" s="3085">
        <f>ROUND(AVERAGE(I3:I$28)/100,4)</f>
        <v>1.9800000000000002E-2</v>
      </c>
      <c r="AE3" s="3085">
        <f>ROUND(AVERAGE(J3:J$28)/100,4)</f>
        <v>1.41E-2</v>
      </c>
      <c r="AF3" s="3085">
        <f t="shared" ref="AF3:AF26" si="1">AE3</f>
        <v>1.41E-2</v>
      </c>
      <c r="AG3" s="3085">
        <f>ROUND(AVERAGE(K3:K$28)/100,4)</f>
        <v>2.1600000000000001E-2</v>
      </c>
      <c r="AH3" s="3085">
        <f>ROUND(AVERAGE(L3:L$28)/100,4)</f>
        <v>1.38E-2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c r="A5" s="3060" t="s">
        <v>2992</v>
      </c>
      <c r="B5" s="2747">
        <f t="shared" ref="B5" si="2">B6*(1+N5)</f>
        <v>477.19997390765138</v>
      </c>
      <c r="C5" s="2747">
        <f t="shared" ref="C5" si="3">C6*(1+O5)</f>
        <v>351.84874729536665</v>
      </c>
      <c r="D5" s="2747">
        <f t="shared" ref="D5" si="4">C5</f>
        <v>351.84874729536665</v>
      </c>
      <c r="E5" s="2747">
        <f t="shared" ref="E5" si="5">E6*(1+P5)</f>
        <v>682.29768951465201</v>
      </c>
      <c r="F5" s="2747">
        <f t="shared" ref="F5" si="6">F6*(1+Q5)</f>
        <v>315.26985675409043</v>
      </c>
      <c r="G5" s="2714">
        <v>2019</v>
      </c>
      <c r="H5" s="3061">
        <v>4</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2964</v>
      </c>
      <c r="X5" s="3065">
        <f>ROUND(IF(项目基本情况!B7="出让",SUMPRODUCT(PRODUCT(1+N5:N$28)),SUMPRODUCT(PRODUCT(1+N5:N$27))),4)</f>
        <v>1.5516000000000001</v>
      </c>
      <c r="Y5" s="3065">
        <f>ROUND(IF(项目基本情况!B7="出让",SUMPRODUCT(PRODUCT(1+O5:O$28)),SUMPRODUCT(PRODUCT(1+O5:O$27))),4)</f>
        <v>1.3649</v>
      </c>
      <c r="Z5" s="3065">
        <f t="shared" ref="Z5" si="11">Y5</f>
        <v>1.3649</v>
      </c>
      <c r="AA5" s="3065">
        <f>ROUND(IF(项目基本情况!B7="出让",SUMPRODUCT(PRODUCT(1+P5:P$28)),SUMPRODUCT(PRODUCT(1+P5:P$27))),4)</f>
        <v>1.6133999999999999</v>
      </c>
      <c r="AB5" s="3065">
        <f>ROUND(IF(项目基本情况!B7="出让",SUMPRODUCT(PRODUCT(1+Q5:Q$28)),SUMPRODUCT(PRODUCT(1+Q5:Q$27))),4)</f>
        <v>1.3713</v>
      </c>
      <c r="AD5" s="3066">
        <f>ROUND(AVERAGE(I5:I$28)/100,4)</f>
        <v>1.9800000000000002E-2</v>
      </c>
      <c r="AE5" s="3066">
        <f>ROUND(AVERAGE(J5:J$28)/100,4)</f>
        <v>1.41E-2</v>
      </c>
      <c r="AF5" s="3066">
        <f t="shared" ref="AF5" si="12">AE5</f>
        <v>1.41E-2</v>
      </c>
      <c r="AG5" s="3066">
        <f>ROUND(AVERAGE(K5:K$28)/100,4)</f>
        <v>2.1600000000000001E-2</v>
      </c>
      <c r="AH5" s="3066">
        <f>ROUND(AVERAGE(L5:L$28)/100,4)</f>
        <v>1.38E-2</v>
      </c>
    </row>
    <row r="6" spans="1:34" s="2720" customFormat="1" ht="13.5" thickBot="1">
      <c r="A6" s="2615" t="s">
        <v>2991</v>
      </c>
      <c r="B6" s="2628">
        <f t="shared" ref="B6" si="13">B7*(1+N6)</f>
        <v>477.19997390765138</v>
      </c>
      <c r="C6" s="2628">
        <f t="shared" ref="C6" si="14">C7*(1+O6)</f>
        <v>351.84874729536665</v>
      </c>
      <c r="D6" s="2628">
        <f t="shared" ref="D6" si="15">C6</f>
        <v>351.84874729536665</v>
      </c>
      <c r="E6" s="2628">
        <f t="shared" ref="E6" si="16">E7*(1+P6)</f>
        <v>682.29768951465201</v>
      </c>
      <c r="F6" s="2628">
        <f t="shared" ref="F6" si="17">F7*(1+Q6)</f>
        <v>315.26985675409043</v>
      </c>
      <c r="G6" s="2714">
        <v>2019</v>
      </c>
      <c r="H6" s="2618">
        <v>3</v>
      </c>
      <c r="I6" s="2618">
        <v>0.61</v>
      </c>
      <c r="J6" s="2618">
        <v>0.67</v>
      </c>
      <c r="K6" s="2618">
        <v>0.6</v>
      </c>
      <c r="L6" s="2629">
        <v>1.03</v>
      </c>
      <c r="M6" s="2622"/>
      <c r="N6" s="2623">
        <f t="shared" ref="N6" si="18">I6/100</f>
        <v>6.0999999999999995E-3</v>
      </c>
      <c r="O6" s="2624">
        <f t="shared" ref="O6" si="19">J6/100</f>
        <v>6.7000000000000002E-3</v>
      </c>
      <c r="P6" s="2624">
        <f t="shared" ref="P6" si="20">K6/100</f>
        <v>6.0000000000000001E-3</v>
      </c>
      <c r="Q6" s="2624">
        <f t="shared" ref="Q6" si="21">L6/100</f>
        <v>1.03E-2</v>
      </c>
      <c r="R6" s="2625"/>
      <c r="S6" s="2631"/>
      <c r="T6" s="2632"/>
      <c r="U6" s="2632"/>
      <c r="V6" s="2632"/>
      <c r="W6" s="2622"/>
      <c r="X6" s="2713">
        <f>ROUND(IF(项目基本情况!B8="出让",SUMPRODUCT(PRODUCT(1+N6:N$28)),SUMPRODUCT(PRODUCT(1+N6:N$27))),4)</f>
        <v>1.5516000000000001</v>
      </c>
      <c r="Y6" s="2713">
        <f>ROUND(IF(项目基本情况!B8="出让",SUMPRODUCT(PRODUCT(1+O6:O$28)),SUMPRODUCT(PRODUCT(1+O6:O$27))),4)</f>
        <v>1.3649</v>
      </c>
      <c r="Z6" s="2713">
        <f t="shared" ref="Z6" si="22">Y6</f>
        <v>1.3649</v>
      </c>
      <c r="AA6" s="2713">
        <f>ROUND(IF(项目基本情况!B8="出让",SUMPRODUCT(PRODUCT(1+P6:P$28)),SUMPRODUCT(PRODUCT(1+P6:P$27))),4)</f>
        <v>1.6133999999999999</v>
      </c>
      <c r="AB6" s="2713">
        <f>ROUND(IF(项目基本情况!B8="出让",SUMPRODUCT(PRODUCT(1+Q6:Q$28)),SUMPRODUCT(PRODUCT(1+Q6:Q$27))),4)</f>
        <v>1.3713</v>
      </c>
      <c r="AC6" s="2622"/>
      <c r="AD6" s="2633">
        <f>ROUND(AVERAGE(I6:I$28)/100,4)</f>
        <v>2.07E-2</v>
      </c>
      <c r="AE6" s="2633">
        <f>ROUND(AVERAGE(J6:J$28)/100,4)</f>
        <v>1.47E-2</v>
      </c>
      <c r="AF6" s="2633">
        <f t="shared" ref="AF6" si="23">AE6</f>
        <v>1.47E-2</v>
      </c>
      <c r="AG6" s="2633">
        <f>ROUND(AVERAGE(K6:K$28)/100,4)</f>
        <v>2.2599999999999999E-2</v>
      </c>
      <c r="AH6" s="2633">
        <f>ROUND(AVERAGE(L6:L$28)/100,4)</f>
        <v>1.44E-2</v>
      </c>
    </row>
    <row r="7" spans="1:34" s="2720" customFormat="1">
      <c r="A7" s="2615" t="s">
        <v>2988</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2616">
        <v>1.53</v>
      </c>
      <c r="J7" s="2616">
        <v>1.01</v>
      </c>
      <c r="K7" s="2616">
        <v>1.62</v>
      </c>
      <c r="L7" s="2617">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2986</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2983</v>
      </c>
      <c r="B9" s="3174">
        <f t="shared" si="24"/>
        <v>464.37293017158942</v>
      </c>
      <c r="C9" s="3174">
        <f t="shared" ref="C9" si="45">C10*(1+O9)</f>
        <v>344.73679941385956</v>
      </c>
      <c r="D9" s="3174">
        <f t="shared" ref="D9" si="46">C9</f>
        <v>344.73679941385956</v>
      </c>
      <c r="E9" s="3174">
        <f t="shared" ref="E9" si="47">E10*(1+P9)</f>
        <v>663.2377795103107</v>
      </c>
      <c r="F9" s="3175">
        <f t="shared" ref="F9" si="48">F10*(1+Q9)</f>
        <v>304.75936311478398</v>
      </c>
      <c r="G9" s="3900">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2973</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900"/>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2974</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900"/>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2970</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901"/>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2961</v>
      </c>
      <c r="B13" s="3092">
        <v>439</v>
      </c>
      <c r="C13" s="3092">
        <v>327</v>
      </c>
      <c r="D13" s="3092">
        <f t="shared" si="76"/>
        <v>327</v>
      </c>
      <c r="E13" s="3092">
        <v>627</v>
      </c>
      <c r="F13" s="3093">
        <v>283</v>
      </c>
      <c r="G13" s="3899">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2965</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900"/>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2575</v>
      </c>
      <c r="B15" s="2628">
        <f t="shared" si="88"/>
        <v>419.31181600000002</v>
      </c>
      <c r="C15" s="2628">
        <f t="shared" si="88"/>
        <v>313.95436800000004</v>
      </c>
      <c r="D15" s="2628">
        <f t="shared" si="76"/>
        <v>313.95436800000004</v>
      </c>
      <c r="E15" s="2628">
        <f t="shared" si="89"/>
        <v>596.63028431999999</v>
      </c>
      <c r="F15" s="2628">
        <f t="shared" si="89"/>
        <v>274.74220703999998</v>
      </c>
      <c r="G15" s="3900"/>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2576</v>
      </c>
      <c r="B16" s="2628">
        <f t="shared" si="88"/>
        <v>405.524</v>
      </c>
      <c r="C16" s="2628">
        <f t="shared" si="88"/>
        <v>307.79840000000002</v>
      </c>
      <c r="D16" s="2628">
        <f t="shared" si="76"/>
        <v>307.79840000000002</v>
      </c>
      <c r="E16" s="2628">
        <f t="shared" si="89"/>
        <v>574.67759999999998</v>
      </c>
      <c r="F16" s="2628">
        <f t="shared" si="89"/>
        <v>270.20280000000002</v>
      </c>
      <c r="G16" s="3901"/>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967</v>
      </c>
      <c r="B17" s="2620">
        <v>392</v>
      </c>
      <c r="C17" s="2620">
        <v>302</v>
      </c>
      <c r="D17" s="2620">
        <f t="shared" si="76"/>
        <v>302</v>
      </c>
      <c r="E17" s="2620">
        <v>553</v>
      </c>
      <c r="F17" s="2621">
        <v>266</v>
      </c>
      <c r="G17" s="3899">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966</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900"/>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956</v>
      </c>
      <c r="B19" s="2628">
        <f t="shared" si="97"/>
        <v>360.06949782209392</v>
      </c>
      <c r="C19" s="2628">
        <f t="shared" si="97"/>
        <v>289.84672674747821</v>
      </c>
      <c r="D19" s="2628">
        <f t="shared" si="98"/>
        <v>289.84672674747821</v>
      </c>
      <c r="E19" s="2628">
        <f t="shared" si="99"/>
        <v>501.06543001181495</v>
      </c>
      <c r="F19" s="2628">
        <f t="shared" si="99"/>
        <v>256.82882500744967</v>
      </c>
      <c r="G19" s="3900"/>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965</v>
      </c>
      <c r="B20" s="2628">
        <f t="shared" si="97"/>
        <v>346.720748986128</v>
      </c>
      <c r="C20" s="2628">
        <f t="shared" si="97"/>
        <v>284.30282172386285</v>
      </c>
      <c r="D20" s="2628">
        <f t="shared" si="98"/>
        <v>284.30282172386285</v>
      </c>
      <c r="E20" s="2628">
        <f t="shared" si="99"/>
        <v>479.58023546306947</v>
      </c>
      <c r="F20" s="2628">
        <f t="shared" si="99"/>
        <v>253.25788877571213</v>
      </c>
      <c r="G20" s="3903"/>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964</v>
      </c>
      <c r="B21" s="2620">
        <v>333</v>
      </c>
      <c r="C21" s="2620">
        <v>277</v>
      </c>
      <c r="D21" s="2620">
        <f t="shared" si="98"/>
        <v>277</v>
      </c>
      <c r="E21" s="2620">
        <v>459</v>
      </c>
      <c r="F21" s="2621">
        <v>249</v>
      </c>
      <c r="G21" s="3902">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963</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900"/>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962</v>
      </c>
      <c r="B23" s="2628">
        <f t="shared" si="101"/>
        <v>322.34053690220776</v>
      </c>
      <c r="C23" s="2628">
        <f t="shared" si="101"/>
        <v>271.46160770422546</v>
      </c>
      <c r="D23" s="2628">
        <f t="shared" si="98"/>
        <v>271.46160770422546</v>
      </c>
      <c r="E23" s="2628">
        <f t="shared" si="102"/>
        <v>442.69434542172456</v>
      </c>
      <c r="F23" s="2628">
        <f t="shared" si="102"/>
        <v>241.34030753190925</v>
      </c>
      <c r="G23" s="3900"/>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961</v>
      </c>
      <c r="B24" s="2628">
        <f t="shared" si="101"/>
        <v>319.87748030386797</v>
      </c>
      <c r="C24" s="2628">
        <f t="shared" si="101"/>
        <v>269.60135833173649</v>
      </c>
      <c r="D24" s="2628">
        <f t="shared" si="98"/>
        <v>269.60135833173649</v>
      </c>
      <c r="E24" s="2628">
        <f t="shared" si="102"/>
        <v>439.18089823583784</v>
      </c>
      <c r="F24" s="2628">
        <f t="shared" si="102"/>
        <v>239.23503918706311</v>
      </c>
      <c r="G24" s="3903"/>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960</v>
      </c>
      <c r="B25" s="2642">
        <v>318</v>
      </c>
      <c r="C25" s="2642">
        <v>268</v>
      </c>
      <c r="D25" s="2642">
        <f t="shared" si="98"/>
        <v>268</v>
      </c>
      <c r="E25" s="2642">
        <v>437</v>
      </c>
      <c r="F25" s="2643">
        <v>237</v>
      </c>
      <c r="G25" s="3902">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959</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900"/>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958</v>
      </c>
      <c r="B27" s="2628">
        <f t="shared" si="103"/>
        <v>314.72141172386546</v>
      </c>
      <c r="C27" s="2628">
        <f t="shared" si="103"/>
        <v>263.03901319069001</v>
      </c>
      <c r="D27" s="2628">
        <f t="shared" si="98"/>
        <v>263.03901319069001</v>
      </c>
      <c r="E27" s="2628">
        <f t="shared" si="104"/>
        <v>433.65745506782821</v>
      </c>
      <c r="F27" s="2628">
        <f t="shared" si="104"/>
        <v>233.23005080045735</v>
      </c>
      <c r="G27" s="3900"/>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957</v>
      </c>
      <c r="B28" s="2647">
        <f t="shared" si="103"/>
        <v>307.34512863658733</v>
      </c>
      <c r="C28" s="2647">
        <f t="shared" si="103"/>
        <v>257.80556031626975</v>
      </c>
      <c r="D28" s="2647">
        <f t="shared" si="98"/>
        <v>257.80556031626975</v>
      </c>
      <c r="E28" s="2647">
        <f t="shared" si="104"/>
        <v>422.70928459677179</v>
      </c>
      <c r="F28" s="2647">
        <f t="shared" si="104"/>
        <v>229.73803270336617</v>
      </c>
      <c r="G28" s="3903"/>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2634</v>
      </c>
      <c r="X28" s="2724">
        <v>1</v>
      </c>
      <c r="Y28" s="2724">
        <v>1</v>
      </c>
      <c r="Z28" s="2724">
        <v>1</v>
      </c>
      <c r="AA28" s="2724">
        <v>1</v>
      </c>
      <c r="AB28" s="2724">
        <v>1</v>
      </c>
      <c r="AD28" s="2957">
        <f>I28/100</f>
        <v>2.9700000000000001E-2</v>
      </c>
      <c r="AE28" s="2957">
        <f>J28/100</f>
        <v>2.3399999999999997E-2</v>
      </c>
      <c r="AF28" s="2957">
        <f>AE28</f>
        <v>2.3399999999999997E-2</v>
      </c>
      <c r="AG28" s="2957">
        <f>K28/100</f>
        <v>3.2799999999999996E-2</v>
      </c>
      <c r="AH28" s="2957">
        <f>L28/100</f>
        <v>1.3600000000000001E-2</v>
      </c>
    </row>
    <row r="29" spans="1:34" ht="13.5" thickBot="1">
      <c r="A29" s="2615" t="s">
        <v>2577</v>
      </c>
      <c r="B29" s="2620">
        <v>299</v>
      </c>
      <c r="C29" s="2620">
        <v>252</v>
      </c>
      <c r="D29" s="2620">
        <f t="shared" si="98"/>
        <v>252</v>
      </c>
      <c r="E29" s="2620">
        <v>409</v>
      </c>
      <c r="F29" s="2621">
        <v>227</v>
      </c>
      <c r="G29" s="3907">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2578</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908"/>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2579</v>
      </c>
      <c r="B31" s="2628">
        <f t="shared" si="107"/>
        <v>288.2649053828776</v>
      </c>
      <c r="C31" s="2628">
        <f t="shared" si="107"/>
        <v>243.64564425013293</v>
      </c>
      <c r="D31" s="2628">
        <f t="shared" si="98"/>
        <v>243.64564425013293</v>
      </c>
      <c r="E31" s="2628">
        <f t="shared" si="108"/>
        <v>393.31080825986544</v>
      </c>
      <c r="F31" s="2628">
        <f t="shared" si="108"/>
        <v>223.07903790551154</v>
      </c>
      <c r="G31" s="3908"/>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2580</v>
      </c>
      <c r="B32" s="2628">
        <f t="shared" si="107"/>
        <v>282.50186729015837</v>
      </c>
      <c r="C32" s="2628">
        <f t="shared" si="107"/>
        <v>238.09796174155468</v>
      </c>
      <c r="D32" s="2628">
        <f t="shared" si="98"/>
        <v>238.09796174155468</v>
      </c>
      <c r="E32" s="2628">
        <f t="shared" si="108"/>
        <v>385.33438646014054</v>
      </c>
      <c r="F32" s="2628">
        <f t="shared" si="108"/>
        <v>221.55034055567739</v>
      </c>
      <c r="G32" s="3909"/>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2581</v>
      </c>
      <c r="B33" s="2658">
        <v>278</v>
      </c>
      <c r="C33" s="2658">
        <v>234</v>
      </c>
      <c r="D33" s="2658">
        <f t="shared" si="98"/>
        <v>234</v>
      </c>
      <c r="E33" s="2658">
        <v>379</v>
      </c>
      <c r="F33" s="2659">
        <v>220</v>
      </c>
      <c r="G33" s="3902">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2582</v>
      </c>
      <c r="B34" s="2628">
        <f>B33/(1+N33)</f>
        <v>275.49301357645425</v>
      </c>
      <c r="C34" s="2628">
        <f>C33/(1+O33)</f>
        <v>232.41954707985698</v>
      </c>
      <c r="D34" s="2628">
        <f t="shared" si="98"/>
        <v>232.41954707985698</v>
      </c>
      <c r="E34" s="2628">
        <f t="shared" ref="E34:F36" si="109">E33/(1+P33)</f>
        <v>375.32184591008121</v>
      </c>
      <c r="F34" s="2628">
        <f t="shared" si="109"/>
        <v>218.03766105054513</v>
      </c>
      <c r="G34" s="3900"/>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2583</v>
      </c>
      <c r="B35" s="2628">
        <f>B34/(1+N34)</f>
        <v>275.24529281292263</v>
      </c>
      <c r="C35" s="2628">
        <f>C34/(1+O34)</f>
        <v>231.74747938962707</v>
      </c>
      <c r="D35" s="2628">
        <f t="shared" si="98"/>
        <v>231.74747938962707</v>
      </c>
      <c r="E35" s="2628">
        <f t="shared" si="109"/>
        <v>375.35938184826603</v>
      </c>
      <c r="F35" s="2628">
        <f t="shared" si="109"/>
        <v>216.78033510692495</v>
      </c>
      <c r="G35" s="3900"/>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2584</v>
      </c>
      <c r="B36" s="2628">
        <f>B35/(1+N35)</f>
        <v>275.19025476197027</v>
      </c>
      <c r="C36" s="2660">
        <v>232</v>
      </c>
      <c r="D36" s="2660">
        <f t="shared" si="98"/>
        <v>232</v>
      </c>
      <c r="E36" s="2628">
        <f t="shared" si="109"/>
        <v>375.65990977608692</v>
      </c>
      <c r="F36" s="2628">
        <f t="shared" si="109"/>
        <v>214.12518283971252</v>
      </c>
      <c r="G36" s="3903"/>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2585</v>
      </c>
      <c r="B37" s="2620">
        <v>275</v>
      </c>
      <c r="C37" s="2620">
        <v>232</v>
      </c>
      <c r="D37" s="2620">
        <f t="shared" si="98"/>
        <v>232</v>
      </c>
      <c r="E37" s="2620">
        <v>376</v>
      </c>
      <c r="F37" s="2621">
        <v>213</v>
      </c>
      <c r="G37" s="3902">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2586</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900">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2587</v>
      </c>
      <c r="B39" s="2628">
        <f t="shared" si="110"/>
        <v>275.19335084830601</v>
      </c>
      <c r="C39" s="2628">
        <f t="shared" si="110"/>
        <v>230.18088050139744</v>
      </c>
      <c r="D39" s="2628">
        <f t="shared" si="98"/>
        <v>230.18088050139744</v>
      </c>
      <c r="E39" s="2628">
        <f t="shared" si="111"/>
        <v>377.58482925212331</v>
      </c>
      <c r="F39" s="2628">
        <f t="shared" si="111"/>
        <v>210.90687997847917</v>
      </c>
      <c r="G39" s="3900">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2588</v>
      </c>
      <c r="B40" s="2628">
        <f t="shared" si="110"/>
        <v>276.29854502841971</v>
      </c>
      <c r="C40" s="2628">
        <f t="shared" si="110"/>
        <v>229.79023709833027</v>
      </c>
      <c r="D40" s="2628">
        <f t="shared" si="98"/>
        <v>229.79023709833027</v>
      </c>
      <c r="E40" s="2628">
        <f t="shared" si="111"/>
        <v>379.78759731655936</v>
      </c>
      <c r="F40" s="2628">
        <f t="shared" si="111"/>
        <v>211.32953905659235</v>
      </c>
      <c r="G40" s="3903">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2589</v>
      </c>
      <c r="B41" s="2620">
        <v>269</v>
      </c>
      <c r="C41" s="2620">
        <v>221</v>
      </c>
      <c r="D41" s="2620">
        <f t="shared" si="98"/>
        <v>221</v>
      </c>
      <c r="E41" s="2620">
        <v>373</v>
      </c>
      <c r="F41" s="2621">
        <v>196</v>
      </c>
      <c r="G41" s="3902">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2590</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900">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2591</v>
      </c>
      <c r="B43" s="2628">
        <f t="shared" si="112"/>
        <v>242.95398227588385</v>
      </c>
      <c r="C43" s="2628">
        <f t="shared" si="112"/>
        <v>199.59137053614126</v>
      </c>
      <c r="D43" s="2628">
        <f t="shared" si="98"/>
        <v>199.59137053614126</v>
      </c>
      <c r="E43" s="2628">
        <f t="shared" si="113"/>
        <v>335.92189522342125</v>
      </c>
      <c r="F43" s="2628">
        <f t="shared" si="113"/>
        <v>183.10139991109489</v>
      </c>
      <c r="G43" s="3900">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2592</v>
      </c>
      <c r="B44" s="2628">
        <f t="shared" si="112"/>
        <v>232.06990378821649</v>
      </c>
      <c r="C44" s="2628">
        <f t="shared" si="112"/>
        <v>192.74878854286936</v>
      </c>
      <c r="D44" s="2628">
        <f t="shared" si="98"/>
        <v>192.74878854286936</v>
      </c>
      <c r="E44" s="2628">
        <f t="shared" si="113"/>
        <v>319.71247284992984</v>
      </c>
      <c r="F44" s="2628">
        <f t="shared" si="113"/>
        <v>175.67053622862409</v>
      </c>
      <c r="G44" s="3903">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2593</v>
      </c>
      <c r="B45" s="2620">
        <v>220</v>
      </c>
      <c r="C45" s="2620">
        <v>187</v>
      </c>
      <c r="D45" s="2620">
        <f t="shared" si="98"/>
        <v>187</v>
      </c>
      <c r="E45" s="2620">
        <v>301</v>
      </c>
      <c r="F45" s="2621">
        <v>168</v>
      </c>
      <c r="G45" s="3902">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2594</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900">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2595</v>
      </c>
      <c r="B47" s="2628">
        <f t="shared" si="114"/>
        <v>210.630522469011</v>
      </c>
      <c r="C47" s="2628">
        <f t="shared" si="114"/>
        <v>181.69567812247232</v>
      </c>
      <c r="D47" s="2628">
        <f t="shared" si="98"/>
        <v>181.69567812247232</v>
      </c>
      <c r="E47" s="2628">
        <f t="shared" si="115"/>
        <v>286.13517466736738</v>
      </c>
      <c r="F47" s="2628">
        <f t="shared" si="115"/>
        <v>165.47535084591149</v>
      </c>
      <c r="G47" s="3900">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2596</v>
      </c>
      <c r="B48" s="2628">
        <f t="shared" si="114"/>
        <v>208.83454537875372</v>
      </c>
      <c r="C48" s="2628">
        <f t="shared" si="114"/>
        <v>183.77230517090351</v>
      </c>
      <c r="D48" s="2628">
        <f t="shared" si="98"/>
        <v>183.77230517090351</v>
      </c>
      <c r="E48" s="2628">
        <f t="shared" si="115"/>
        <v>281.10342338870947</v>
      </c>
      <c r="F48" s="2628">
        <f t="shared" si="115"/>
        <v>168.97309388942256</v>
      </c>
      <c r="G48" s="3903">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2597</v>
      </c>
      <c r="B49" s="2658">
        <v>214</v>
      </c>
      <c r="C49" s="2658">
        <v>188</v>
      </c>
      <c r="D49" s="2658">
        <f t="shared" si="98"/>
        <v>188</v>
      </c>
      <c r="E49" s="2658">
        <v>289</v>
      </c>
      <c r="F49" s="2659">
        <v>166</v>
      </c>
      <c r="G49" s="3902">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2598</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900">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2599</v>
      </c>
      <c r="B51" s="2628">
        <f t="shared" si="116"/>
        <v>206.31694671589116</v>
      </c>
      <c r="C51" s="2628">
        <f t="shared" si="116"/>
        <v>183.61041121036101</v>
      </c>
      <c r="D51" s="2628">
        <f t="shared" si="98"/>
        <v>183.61041121036101</v>
      </c>
      <c r="E51" s="2628">
        <f t="shared" si="117"/>
        <v>276.66850301795557</v>
      </c>
      <c r="F51" s="2628">
        <f t="shared" si="117"/>
        <v>165.1360938278614</v>
      </c>
      <c r="G51" s="3900">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2600</v>
      </c>
      <c r="B52" s="2661">
        <f t="shared" si="116"/>
        <v>196.62341248059772</v>
      </c>
      <c r="C52" s="2661">
        <f t="shared" si="116"/>
        <v>170.99125648199012</v>
      </c>
      <c r="D52" s="2661">
        <f t="shared" si="98"/>
        <v>170.99125648199012</v>
      </c>
      <c r="E52" s="2661">
        <f t="shared" si="117"/>
        <v>266.07857570490052</v>
      </c>
      <c r="F52" s="2661">
        <f t="shared" si="117"/>
        <v>154.53499328828505</v>
      </c>
      <c r="G52" s="3903">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2601</v>
      </c>
      <c r="B53" s="2620">
        <v>188</v>
      </c>
      <c r="C53" s="2620">
        <v>165</v>
      </c>
      <c r="D53" s="2620">
        <f t="shared" si="98"/>
        <v>165</v>
      </c>
      <c r="E53" s="2620">
        <v>254</v>
      </c>
      <c r="F53" s="2621">
        <v>148</v>
      </c>
      <c r="G53" s="3902">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2602</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900">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2603</v>
      </c>
      <c r="B55" s="2628">
        <f t="shared" si="120"/>
        <v>168.82017748715555</v>
      </c>
      <c r="C55" s="2628">
        <f t="shared" si="120"/>
        <v>148.06267029972753</v>
      </c>
      <c r="D55" s="2628">
        <f t="shared" si="98"/>
        <v>148.06267029972753</v>
      </c>
      <c r="E55" s="2628">
        <f t="shared" si="121"/>
        <v>216.46288379323747</v>
      </c>
      <c r="F55" s="2628">
        <f t="shared" si="121"/>
        <v>134.23529411764704</v>
      </c>
      <c r="G55" s="3900">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2604</v>
      </c>
      <c r="B56" s="2628">
        <f t="shared" si="120"/>
        <v>163.84913591779542</v>
      </c>
      <c r="C56" s="2628">
        <f t="shared" si="120"/>
        <v>145.0283378746594</v>
      </c>
      <c r="D56" s="2628">
        <f t="shared" si="98"/>
        <v>145.0283378746594</v>
      </c>
      <c r="E56" s="2628">
        <f t="shared" si="121"/>
        <v>204.95180722891567</v>
      </c>
      <c r="F56" s="2628">
        <f t="shared" si="121"/>
        <v>125.95920303605313</v>
      </c>
      <c r="G56" s="3903">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2605</v>
      </c>
      <c r="B57" s="2642">
        <v>159</v>
      </c>
      <c r="C57" s="2642">
        <v>141</v>
      </c>
      <c r="D57" s="2642">
        <f t="shared" si="98"/>
        <v>141</v>
      </c>
      <c r="E57" s="2642">
        <v>195</v>
      </c>
      <c r="F57" s="2643">
        <v>122</v>
      </c>
      <c r="G57" s="3902">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2606</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900">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2607</v>
      </c>
      <c r="B59" s="2628">
        <f t="shared" si="124"/>
        <v>146.57412060301507</v>
      </c>
      <c r="C59" s="2628">
        <f t="shared" si="124"/>
        <v>136.46831955922866</v>
      </c>
      <c r="D59" s="2628">
        <f t="shared" si="98"/>
        <v>136.46831955922866</v>
      </c>
      <c r="E59" s="2628">
        <f t="shared" si="125"/>
        <v>166.73864894795128</v>
      </c>
      <c r="F59" s="2628">
        <f t="shared" si="125"/>
        <v>115.05882352941177</v>
      </c>
      <c r="G59" s="3900">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2608</v>
      </c>
      <c r="B60" s="2628">
        <f t="shared" si="124"/>
        <v>144.04145728643215</v>
      </c>
      <c r="C60" s="2628">
        <f t="shared" si="124"/>
        <v>136.12396694214877</v>
      </c>
      <c r="D60" s="2628">
        <f t="shared" si="98"/>
        <v>136.12396694214877</v>
      </c>
      <c r="E60" s="2628">
        <f t="shared" si="125"/>
        <v>158.32225913621264</v>
      </c>
      <c r="F60" s="2628">
        <f t="shared" si="125"/>
        <v>114.04278074866311</v>
      </c>
      <c r="G60" s="3903">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2609</v>
      </c>
      <c r="B61" s="2642">
        <v>138</v>
      </c>
      <c r="C61" s="2642">
        <v>131</v>
      </c>
      <c r="D61" s="2642">
        <f t="shared" si="98"/>
        <v>131</v>
      </c>
      <c r="E61" s="2642">
        <v>155</v>
      </c>
      <c r="F61" s="2643">
        <v>114</v>
      </c>
      <c r="G61" s="3902">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2610</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900">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2611</v>
      </c>
      <c r="B63" s="2628">
        <f t="shared" si="128"/>
        <v>124.29032258064517</v>
      </c>
      <c r="C63" s="2628">
        <f t="shared" si="128"/>
        <v>123.8968609865471</v>
      </c>
      <c r="D63" s="2628">
        <f t="shared" si="98"/>
        <v>123.8968609865471</v>
      </c>
      <c r="E63" s="2628">
        <f t="shared" si="129"/>
        <v>138.00507614213197</v>
      </c>
      <c r="F63" s="2628">
        <f t="shared" si="129"/>
        <v>107.96106557377048</v>
      </c>
      <c r="G63" s="3900">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2612</v>
      </c>
      <c r="B64" s="2628">
        <f t="shared" si="128"/>
        <v>122.57204301075269</v>
      </c>
      <c r="C64" s="2628">
        <f t="shared" si="128"/>
        <v>123.4932735426009</v>
      </c>
      <c r="D64" s="2628">
        <f t="shared" si="98"/>
        <v>123.4932735426009</v>
      </c>
      <c r="E64" s="2628">
        <f t="shared" si="129"/>
        <v>129.82233502538071</v>
      </c>
      <c r="F64" s="2628">
        <f t="shared" si="129"/>
        <v>107.39446721311475</v>
      </c>
      <c r="G64" s="3903">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2613</v>
      </c>
      <c r="B65" s="2658">
        <v>121</v>
      </c>
      <c r="C65" s="2658">
        <v>122</v>
      </c>
      <c r="D65" s="2658">
        <f t="shared" si="98"/>
        <v>122</v>
      </c>
      <c r="E65" s="2658">
        <v>124</v>
      </c>
      <c r="F65" s="2659">
        <v>107</v>
      </c>
      <c r="G65" s="3902">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2614</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900">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2615</v>
      </c>
      <c r="B67" s="2628">
        <f t="shared" si="132"/>
        <v>116.99099099099099</v>
      </c>
      <c r="C67" s="2628">
        <f t="shared" si="132"/>
        <v>118.84848484848486</v>
      </c>
      <c r="D67" s="2628">
        <f t="shared" si="98"/>
        <v>118.84848484848486</v>
      </c>
      <c r="E67" s="2628">
        <f t="shared" si="133"/>
        <v>117.60960960960961</v>
      </c>
      <c r="F67" s="2628">
        <f t="shared" si="133"/>
        <v>104</v>
      </c>
      <c r="G67" s="3900">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2616</v>
      </c>
      <c r="B68" s="2661">
        <f t="shared" si="132"/>
        <v>112.48648648648648</v>
      </c>
      <c r="C68" s="2661">
        <f t="shared" si="132"/>
        <v>115.21212121212122</v>
      </c>
      <c r="D68" s="2661">
        <f t="shared" si="98"/>
        <v>115.21212121212122</v>
      </c>
      <c r="E68" s="2661">
        <f t="shared" si="133"/>
        <v>110.4024024024024</v>
      </c>
      <c r="F68" s="2661">
        <f t="shared" si="133"/>
        <v>104</v>
      </c>
      <c r="G68" s="3903">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2617</v>
      </c>
      <c r="B69" s="2679">
        <v>111</v>
      </c>
      <c r="C69" s="2679">
        <v>114</v>
      </c>
      <c r="D69" s="2679">
        <f t="shared" si="98"/>
        <v>114</v>
      </c>
      <c r="E69" s="2679">
        <v>108</v>
      </c>
      <c r="F69" s="2680">
        <v>104</v>
      </c>
      <c r="G69" s="3902">
        <v>2003</v>
      </c>
      <c r="H69" s="2669">
        <v>4</v>
      </c>
      <c r="I69" s="2681"/>
      <c r="J69" s="2681"/>
      <c r="K69" s="2681"/>
      <c r="L69" s="2681"/>
      <c r="N69" s="2682"/>
      <c r="O69" s="2681"/>
      <c r="P69" s="2681"/>
      <c r="Q69" s="2681"/>
      <c r="S69" s="2682"/>
      <c r="T69" s="2681"/>
      <c r="U69" s="2681"/>
      <c r="V69" s="2681"/>
      <c r="X69" s="2673"/>
      <c r="Y69" s="2673"/>
      <c r="Z69" s="2673"/>
    </row>
    <row r="70" spans="1:26">
      <c r="A70" s="2615" t="s">
        <v>2618</v>
      </c>
      <c r="B70" s="2683">
        <f t="shared" ref="B70:C72" si="134">B71+(B$69-B$73)/4</f>
        <v>109.75</v>
      </c>
      <c r="C70" s="2683">
        <f t="shared" si="134"/>
        <v>112.25</v>
      </c>
      <c r="D70" s="2683">
        <f t="shared" si="98"/>
        <v>112.25</v>
      </c>
      <c r="E70" s="2683">
        <f t="shared" ref="E70:F72" si="135">E71+(E$69-E$73)/4</f>
        <v>107.25</v>
      </c>
      <c r="F70" s="2683">
        <f t="shared" si="135"/>
        <v>103.5</v>
      </c>
      <c r="G70" s="3900">
        <v>2003</v>
      </c>
      <c r="H70" s="2639">
        <v>3</v>
      </c>
      <c r="I70" s="2681"/>
      <c r="J70" s="2681"/>
      <c r="K70" s="2681"/>
      <c r="L70" s="2681"/>
      <c r="X70" s="2673"/>
      <c r="Y70" s="2673"/>
      <c r="Z70" s="2673"/>
    </row>
    <row r="71" spans="1:26">
      <c r="A71" s="2615" t="s">
        <v>2619</v>
      </c>
      <c r="B71" s="2683">
        <f t="shared" si="134"/>
        <v>108.5</v>
      </c>
      <c r="C71" s="2683">
        <f t="shared" si="134"/>
        <v>110.5</v>
      </c>
      <c r="D71" s="2683">
        <f t="shared" si="98"/>
        <v>110.5</v>
      </c>
      <c r="E71" s="2683">
        <f t="shared" si="135"/>
        <v>106.5</v>
      </c>
      <c r="F71" s="2683">
        <f t="shared" si="135"/>
        <v>103</v>
      </c>
      <c r="G71" s="3900">
        <v>2003</v>
      </c>
      <c r="H71" s="2619">
        <v>2</v>
      </c>
      <c r="I71" s="2681"/>
      <c r="J71" s="2681"/>
      <c r="K71" s="2681"/>
      <c r="L71" s="2681"/>
      <c r="X71" s="2673"/>
      <c r="Y71" s="2673"/>
      <c r="Z71" s="2673"/>
    </row>
    <row r="72" spans="1:26" ht="13.5" thickBot="1">
      <c r="A72" s="2615" t="s">
        <v>2620</v>
      </c>
      <c r="B72" s="2683">
        <f t="shared" si="134"/>
        <v>107.25</v>
      </c>
      <c r="C72" s="2683">
        <f t="shared" si="134"/>
        <v>108.75</v>
      </c>
      <c r="D72" s="2683">
        <f t="shared" si="98"/>
        <v>108.75</v>
      </c>
      <c r="E72" s="2683">
        <f t="shared" si="135"/>
        <v>105.75</v>
      </c>
      <c r="F72" s="2683">
        <f t="shared" si="135"/>
        <v>102.5</v>
      </c>
      <c r="G72" s="3903">
        <v>2003</v>
      </c>
      <c r="H72" s="2684">
        <v>1</v>
      </c>
      <c r="I72" s="2681"/>
      <c r="J72" s="2681"/>
      <c r="K72" s="2681"/>
      <c r="L72" s="2681"/>
      <c r="S72" s="2623"/>
      <c r="T72" s="2624"/>
      <c r="U72" s="2624"/>
      <c r="X72" s="2673"/>
      <c r="Y72" s="2673"/>
      <c r="Z72" s="2673"/>
    </row>
    <row r="73" spans="1:26" ht="13.5" thickBot="1">
      <c r="A73" s="2615" t="s">
        <v>2621</v>
      </c>
      <c r="B73" s="2685">
        <v>106</v>
      </c>
      <c r="C73" s="2685">
        <v>107</v>
      </c>
      <c r="D73" s="2685">
        <f t="shared" si="98"/>
        <v>107</v>
      </c>
      <c r="E73" s="2685">
        <v>105</v>
      </c>
      <c r="F73" s="2686">
        <v>102</v>
      </c>
      <c r="G73" s="3902">
        <v>2002</v>
      </c>
      <c r="H73" s="2634">
        <v>4</v>
      </c>
      <c r="I73" s="2681"/>
      <c r="J73" s="2681"/>
      <c r="K73" s="2681"/>
      <c r="L73" s="2681"/>
      <c r="N73" s="2682"/>
      <c r="O73" s="2681"/>
      <c r="P73" s="2681"/>
      <c r="Q73" s="2681"/>
      <c r="S73" s="2682"/>
      <c r="T73" s="2681"/>
      <c r="U73" s="2681"/>
      <c r="V73" s="2681"/>
      <c r="X73" s="2673"/>
      <c r="Y73" s="2673"/>
      <c r="Z73" s="2673"/>
    </row>
    <row r="74" spans="1:26">
      <c r="A74" s="2615" t="s">
        <v>2622</v>
      </c>
      <c r="B74" s="2683">
        <f t="shared" ref="B74:C76" si="136">B75+(B$73-B$77)/4</f>
        <v>105</v>
      </c>
      <c r="C74" s="2683">
        <f t="shared" si="136"/>
        <v>106</v>
      </c>
      <c r="D74" s="2683">
        <f t="shared" si="98"/>
        <v>106</v>
      </c>
      <c r="E74" s="2683">
        <f t="shared" ref="E74:F76" si="137">E75+(E$73-E$77)/4</f>
        <v>104.5</v>
      </c>
      <c r="F74" s="2683">
        <f t="shared" si="137"/>
        <v>101.5</v>
      </c>
      <c r="G74" s="3900">
        <v>2002</v>
      </c>
      <c r="H74" s="2639">
        <v>3</v>
      </c>
      <c r="I74" s="2681"/>
      <c r="J74" s="2681"/>
      <c r="K74" s="2681"/>
      <c r="L74" s="2681"/>
      <c r="X74" s="2673"/>
      <c r="Y74" s="2673"/>
      <c r="Z74" s="2673"/>
    </row>
    <row r="75" spans="1:26">
      <c r="A75" s="2615" t="s">
        <v>2623</v>
      </c>
      <c r="B75" s="2683">
        <f t="shared" si="136"/>
        <v>104</v>
      </c>
      <c r="C75" s="2683">
        <f t="shared" si="136"/>
        <v>105</v>
      </c>
      <c r="D75" s="2683">
        <f t="shared" si="98"/>
        <v>105</v>
      </c>
      <c r="E75" s="2683">
        <f t="shared" si="137"/>
        <v>104</v>
      </c>
      <c r="F75" s="2683">
        <f t="shared" si="137"/>
        <v>101</v>
      </c>
      <c r="G75" s="3900">
        <v>2002</v>
      </c>
      <c r="H75" s="2619">
        <v>2</v>
      </c>
      <c r="I75" s="2681"/>
      <c r="J75" s="2681"/>
      <c r="K75" s="2681"/>
      <c r="L75" s="2681"/>
      <c r="X75" s="2673"/>
      <c r="Y75" s="2673"/>
      <c r="Z75" s="2673"/>
    </row>
    <row r="76" spans="1:26" s="2650" customFormat="1" ht="13.5" thickBot="1">
      <c r="A76" s="2646" t="s">
        <v>2624</v>
      </c>
      <c r="B76" s="2687">
        <f t="shared" si="136"/>
        <v>103</v>
      </c>
      <c r="C76" s="2687">
        <f t="shared" si="136"/>
        <v>104</v>
      </c>
      <c r="D76" s="2687">
        <f t="shared" si="98"/>
        <v>104</v>
      </c>
      <c r="E76" s="2687">
        <f t="shared" si="137"/>
        <v>103.5</v>
      </c>
      <c r="F76" s="2687">
        <f t="shared" si="137"/>
        <v>100.5</v>
      </c>
      <c r="G76" s="3903">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2625</v>
      </c>
      <c r="G79" s="2697"/>
      <c r="N79" s="2697"/>
      <c r="S79" s="2697"/>
    </row>
    <row r="80" spans="1:26" s="2696" customFormat="1">
      <c r="A80" s="2696" t="s">
        <v>2626</v>
      </c>
      <c r="G80" s="2697"/>
      <c r="N80" s="2697"/>
      <c r="S80" s="2697"/>
    </row>
    <row r="81" spans="1:22" s="2696" customFormat="1">
      <c r="A81" s="2696" t="s">
        <v>2627</v>
      </c>
      <c r="G81" s="2697"/>
      <c r="I81" s="2698"/>
      <c r="J81" s="2698"/>
      <c r="K81" s="2698"/>
      <c r="L81" s="2698"/>
      <c r="N81" s="2699"/>
      <c r="O81" s="2698"/>
      <c r="P81" s="2698"/>
      <c r="Q81" s="2698"/>
      <c r="S81" s="2699"/>
      <c r="T81" s="2698"/>
      <c r="U81" s="2698"/>
      <c r="V81" s="2698"/>
    </row>
    <row r="82" spans="1:22" s="2696" customFormat="1">
      <c r="A82" s="2696" t="s">
        <v>2628</v>
      </c>
      <c r="G82" s="2697"/>
      <c r="N82" s="2697"/>
      <c r="S82" s="2697"/>
    </row>
    <row r="89" spans="1:22" ht="13.5" thickBot="1"/>
    <row r="90" spans="1:22">
      <c r="G90" s="2622"/>
      <c r="S90" s="2700" t="s">
        <v>2629</v>
      </c>
      <c r="T90" s="2701" t="s">
        <v>2630</v>
      </c>
      <c r="U90" s="2701" t="s">
        <v>2631</v>
      </c>
      <c r="V90" s="2701" t="s">
        <v>2632</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6" sqref="H6:L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2943</v>
      </c>
      <c r="B1" s="3052"/>
      <c r="C1" s="3052"/>
      <c r="D1" s="3052"/>
      <c r="E1" s="3052"/>
      <c r="F1" s="3052"/>
    </row>
    <row r="2" spans="1:6" ht="14.25">
      <c r="A2" s="3053" t="s">
        <v>2938</v>
      </c>
      <c r="B2" s="3054" t="e">
        <f ca="1">SUMIF(B7:B14,"&lt;&gt;#ref!",B7:B14)</f>
        <v>#DIV/0!</v>
      </c>
      <c r="C2" s="3053" t="s">
        <v>2939</v>
      </c>
      <c r="D2" s="3052"/>
      <c r="E2" s="3052"/>
      <c r="F2" s="3052"/>
    </row>
    <row r="3" spans="1:6" ht="14.25">
      <c r="A3" s="3053" t="s">
        <v>2971</v>
      </c>
      <c r="B3" s="3054" t="e">
        <f ca="1">ROUND(B2*10000/E3,0)</f>
        <v>#DIV/0!</v>
      </c>
      <c r="C3" s="3053" t="s">
        <v>2075</v>
      </c>
      <c r="D3" s="3053" t="s">
        <v>2940</v>
      </c>
      <c r="E3" s="3054">
        <f ca="1">SUMIF(E7:E14,"&lt;&gt;#ref!",E7:E14)</f>
        <v>0</v>
      </c>
      <c r="F3" s="3052"/>
    </row>
    <row r="4" spans="1:6" ht="14.25">
      <c r="A4" s="3053" t="s">
        <v>2947</v>
      </c>
      <c r="B4" s="3054" t="e">
        <f ca="1">ROUND(B2*10000/E4,0)</f>
        <v>#DIV/0!</v>
      </c>
      <c r="C4" s="3053" t="s">
        <v>2075</v>
      </c>
      <c r="D4" s="3053" t="s">
        <v>2948</v>
      </c>
      <c r="E4" s="3054">
        <f ca="1">SUMIF(F7:F14,"&lt;&gt;#ref!",F7:F14)</f>
        <v>0</v>
      </c>
      <c r="F4" s="3052"/>
    </row>
    <row r="5" spans="1:6" ht="14.25">
      <c r="A5" s="3055"/>
      <c r="B5" s="1863"/>
      <c r="C5" s="1863"/>
      <c r="D5" s="1863"/>
      <c r="E5" s="1863"/>
      <c r="F5" s="3052"/>
    </row>
    <row r="6" spans="1:6" ht="28.5">
      <c r="A6" s="3056" t="s">
        <v>2944</v>
      </c>
      <c r="B6" s="3053" t="s">
        <v>2941</v>
      </c>
      <c r="C6" s="3054"/>
      <c r="D6" s="1863"/>
      <c r="E6" s="3053" t="s">
        <v>2942</v>
      </c>
      <c r="F6" s="3053" t="s">
        <v>2946</v>
      </c>
    </row>
    <row r="7" spans="1:6" ht="14.25">
      <c r="A7" s="258" t="s">
        <v>2945</v>
      </c>
      <c r="B7" s="3057" t="e">
        <f ca="1">SUMIF(INDIRECT("'"&amp;A7&amp;"'"&amp;"!A:A"),"总价",INDIRECT("'"&amp;A7&amp;"'"&amp;"!B:B"))</f>
        <v>#DIV/0!</v>
      </c>
      <c r="C7" s="3053" t="s">
        <v>2939</v>
      </c>
      <c r="D7" s="1863"/>
      <c r="E7" s="3058">
        <f ca="1">SUMIF(INDIRECT("'"&amp;A7&amp;"'"&amp;"!C:C"),"建筑面积",INDIRECT("'"&amp;A7&amp;"'"&amp;"!D:D"))</f>
        <v>0</v>
      </c>
      <c r="F7" s="3058">
        <f ca="1">SUMIF(INDIRECT("'"&amp;A7&amp;"'"&amp;"!E:E"),"土地面积",INDIRECT("'"&amp;A7&amp;"'"&amp;"!F:F"))</f>
        <v>0</v>
      </c>
    </row>
    <row r="8" spans="1:6" ht="14.25">
      <c r="A8" s="258"/>
      <c r="B8" s="3057" t="e">
        <f t="shared" ref="B8:B14" ca="1" si="0">SUMIF(INDIRECT("'"&amp;A8&amp;"'"&amp;"!A:A"),"总价",INDIRECT("'"&amp;A8&amp;"'"&amp;"!B:B"))</f>
        <v>#REF!</v>
      </c>
      <c r="C8" s="3053" t="s">
        <v>2939</v>
      </c>
      <c r="D8" s="1863"/>
      <c r="E8" s="3058" t="e">
        <f t="shared" ref="E8:E14" ca="1" si="1">SUMIF(INDIRECT("'"&amp;A8&amp;"'"&amp;"!C:C"),"建筑面积",INDIRECT("'"&amp;A8&amp;"'"&amp;"!D:D"))</f>
        <v>#REF!</v>
      </c>
      <c r="F8" s="3058" t="e">
        <f t="shared" ref="F8:F14" ca="1" si="2">SUMIF(INDIRECT("'"&amp;A8&amp;"'"&amp;"!E:E"),"土地面积",INDIRECT("'"&amp;A8&amp;"'"&amp;"!F:F"))</f>
        <v>#REF!</v>
      </c>
    </row>
    <row r="9" spans="1:6" ht="14.25">
      <c r="A9" s="258"/>
      <c r="B9" s="3057" t="e">
        <f t="shared" ca="1" si="0"/>
        <v>#REF!</v>
      </c>
      <c r="C9" s="3053" t="s">
        <v>2939</v>
      </c>
      <c r="D9" s="1863"/>
      <c r="E9" s="3058" t="e">
        <f t="shared" ca="1" si="1"/>
        <v>#REF!</v>
      </c>
      <c r="F9" s="3058" t="e">
        <f t="shared" ca="1" si="2"/>
        <v>#REF!</v>
      </c>
    </row>
    <row r="10" spans="1:6" ht="14.25">
      <c r="A10" s="258"/>
      <c r="B10" s="3057" t="e">
        <f t="shared" ca="1" si="0"/>
        <v>#REF!</v>
      </c>
      <c r="C10" s="3053" t="s">
        <v>2939</v>
      </c>
      <c r="D10" s="1863"/>
      <c r="E10" s="3058" t="e">
        <f t="shared" ca="1" si="1"/>
        <v>#REF!</v>
      </c>
      <c r="F10" s="3058" t="e">
        <f t="shared" ca="1" si="2"/>
        <v>#REF!</v>
      </c>
    </row>
    <row r="11" spans="1:6" ht="14.25">
      <c r="A11" s="258"/>
      <c r="B11" s="3057" t="e">
        <f t="shared" ca="1" si="0"/>
        <v>#REF!</v>
      </c>
      <c r="C11" s="3053" t="s">
        <v>2939</v>
      </c>
      <c r="D11" s="1863"/>
      <c r="E11" s="3058" t="e">
        <f t="shared" ca="1" si="1"/>
        <v>#REF!</v>
      </c>
      <c r="F11" s="3058" t="e">
        <f t="shared" ca="1" si="2"/>
        <v>#REF!</v>
      </c>
    </row>
    <row r="12" spans="1:6" ht="14.25">
      <c r="A12" s="258"/>
      <c r="B12" s="3057" t="e">
        <f t="shared" ca="1" si="0"/>
        <v>#REF!</v>
      </c>
      <c r="C12" s="3053" t="s">
        <v>2939</v>
      </c>
      <c r="D12" s="1863"/>
      <c r="E12" s="3058" t="e">
        <f t="shared" ca="1" si="1"/>
        <v>#REF!</v>
      </c>
      <c r="F12" s="3058" t="e">
        <f t="shared" ca="1" si="2"/>
        <v>#REF!</v>
      </c>
    </row>
    <row r="13" spans="1:6" ht="14.25">
      <c r="A13" s="258"/>
      <c r="B13" s="3057" t="e">
        <f t="shared" ca="1" si="0"/>
        <v>#REF!</v>
      </c>
      <c r="C13" s="3053" t="s">
        <v>2939</v>
      </c>
      <c r="D13" s="1863"/>
      <c r="E13" s="3058" t="e">
        <f t="shared" ca="1" si="1"/>
        <v>#REF!</v>
      </c>
      <c r="F13" s="3058" t="e">
        <f t="shared" ca="1" si="2"/>
        <v>#REF!</v>
      </c>
    </row>
    <row r="14" spans="1:6" ht="14.25">
      <c r="A14" s="3051"/>
      <c r="B14" s="3057" t="e">
        <f t="shared" ca="1" si="0"/>
        <v>#REF!</v>
      </c>
      <c r="C14" s="3053" t="s">
        <v>2939</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6" sqref="H6:L7"/>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625</v>
      </c>
      <c r="B1" s="736"/>
      <c r="C1" s="771"/>
      <c r="D1" s="2031"/>
      <c r="E1" s="2347" t="s">
        <v>2369</v>
      </c>
      <c r="F1" s="2348">
        <f ca="1">J54</f>
        <v>-2</v>
      </c>
      <c r="G1" s="772">
        <f>MATCH(C1,'数据-取费表'!A6:A16,0)+5</f>
        <v>10</v>
      </c>
      <c r="H1" s="1344"/>
      <c r="I1" s="2032"/>
      <c r="J1" s="2032"/>
      <c r="K1" s="2033"/>
      <c r="L1" s="2032"/>
      <c r="M1" s="2032"/>
      <c r="N1" s="2034"/>
      <c r="O1" s="2034"/>
      <c r="P1" s="2034"/>
      <c r="Q1" s="2034"/>
      <c r="R1" s="2034"/>
      <c r="S1" s="2034"/>
      <c r="T1" s="2034"/>
      <c r="U1" s="2034"/>
      <c r="V1" s="2034"/>
      <c r="W1" s="2034"/>
      <c r="X1" s="2034"/>
      <c r="Y1" s="2034"/>
    </row>
    <row r="2" spans="1:25" ht="18" customHeight="1">
      <c r="A2" s="1626" t="s">
        <v>626</v>
      </c>
      <c r="B2" s="773">
        <f ca="1">IF(ISERROR(C45+J31),0,C45+J31)</f>
        <v>0</v>
      </c>
      <c r="C2" s="1345"/>
      <c r="D2" s="2036"/>
      <c r="E2" s="2037"/>
      <c r="F2" s="2037"/>
      <c r="G2" s="1573"/>
      <c r="H2" s="1357"/>
      <c r="I2" s="2038"/>
      <c r="J2" s="2038"/>
      <c r="K2" s="2039"/>
      <c r="L2" s="2038"/>
      <c r="M2" s="2038"/>
    </row>
    <row r="3" spans="1:25" ht="18" customHeight="1">
      <c r="A3" s="1627" t="s">
        <v>1683</v>
      </c>
      <c r="B3" s="1384">
        <f ca="1">ROUND(B2*10000/'数据-汇总表'!E3,0)</f>
        <v>0</v>
      </c>
      <c r="C3" s="1345"/>
      <c r="D3" s="2036"/>
      <c r="E3" s="2037"/>
      <c r="F3" s="2037"/>
      <c r="G3" s="1573"/>
      <c r="H3" s="774" t="s">
        <v>692</v>
      </c>
      <c r="I3" s="2038"/>
      <c r="J3" s="2038"/>
      <c r="K3" s="2039"/>
      <c r="L3" s="2038"/>
      <c r="M3" s="2038"/>
    </row>
    <row r="4" spans="1:25" ht="18" customHeight="1">
      <c r="A4" s="1628" t="s">
        <v>693</v>
      </c>
      <c r="B4" s="1346">
        <f ca="1">ROUND(B2*10000/'数据-汇总表'!D3,0)</f>
        <v>0</v>
      </c>
      <c r="C4" s="426"/>
      <c r="D4" s="2036"/>
      <c r="E4" s="2037"/>
      <c r="F4" s="2037"/>
      <c r="G4" s="1573"/>
      <c r="H4" s="774"/>
      <c r="I4" s="2038"/>
      <c r="J4" s="2038"/>
      <c r="K4" s="2039"/>
      <c r="L4" s="2038"/>
      <c r="M4" s="2038"/>
    </row>
    <row r="5" spans="1:25" ht="18" customHeight="1" thickBot="1">
      <c r="A5" s="1629"/>
      <c r="B5" s="428">
        <f ca="1">ROUND(B2/('数据-汇总表'!D3/666.67),0)</f>
        <v>0</v>
      </c>
      <c r="C5" s="429" t="s">
        <v>694</v>
      </c>
      <c r="D5" s="2036"/>
      <c r="E5" s="2037"/>
      <c r="F5" s="2037"/>
      <c r="G5" s="1573"/>
      <c r="H5" s="774"/>
      <c r="I5" s="2038"/>
      <c r="J5" s="2038"/>
      <c r="K5" s="2039"/>
      <c r="L5" s="2038"/>
      <c r="M5" s="2038"/>
    </row>
    <row r="6" spans="1:25" ht="18" customHeight="1">
      <c r="A6" s="1810" t="s">
        <v>695</v>
      </c>
      <c r="B6" s="1802" t="s">
        <v>696</v>
      </c>
      <c r="C6" s="1802" t="s">
        <v>629</v>
      </c>
      <c r="D6" s="1802" t="s">
        <v>630</v>
      </c>
      <c r="E6" s="777" t="s">
        <v>631</v>
      </c>
      <c r="F6" s="778"/>
      <c r="G6" s="1575"/>
      <c r="H6" s="1810" t="s">
        <v>627</v>
      </c>
      <c r="I6" s="1802" t="s">
        <v>628</v>
      </c>
      <c r="J6" s="1802" t="s">
        <v>629</v>
      </c>
      <c r="K6" s="1802" t="s">
        <v>630</v>
      </c>
      <c r="L6" s="777" t="s">
        <v>631</v>
      </c>
      <c r="M6" s="778"/>
    </row>
    <row r="7" spans="1:25" ht="18" customHeight="1">
      <c r="A7" s="779">
        <v>1</v>
      </c>
      <c r="B7" s="780" t="s">
        <v>2452</v>
      </c>
      <c r="C7" s="51">
        <f ca="1">C8+C12+C14</f>
        <v>0</v>
      </c>
      <c r="D7" s="2456" t="s">
        <v>2455</v>
      </c>
      <c r="E7" s="2450"/>
      <c r="F7" s="2451"/>
      <c r="G7" s="1575"/>
      <c r="H7" s="779">
        <v>1</v>
      </c>
      <c r="I7" s="780" t="s">
        <v>2452</v>
      </c>
      <c r="J7" s="51">
        <f ca="1">J8+J12+J14</f>
        <v>0</v>
      </c>
      <c r="K7" s="2456" t="s">
        <v>2455</v>
      </c>
      <c r="L7" s="2450"/>
      <c r="M7" s="2451"/>
    </row>
    <row r="8" spans="1:25" ht="18" customHeight="1">
      <c r="A8" s="1812" t="s">
        <v>1821</v>
      </c>
      <c r="B8" s="3817" t="s">
        <v>2457</v>
      </c>
      <c r="C8" s="1807">
        <f ca="1">ROUND(F8*F10*F9*(1-F11)/10000,0)</f>
        <v>0</v>
      </c>
      <c r="D8" s="1804" t="s">
        <v>2528</v>
      </c>
      <c r="E8" s="59" t="s">
        <v>634</v>
      </c>
      <c r="F8" s="783">
        <f ca="1">INDIRECT("'数据-取费表'!u"&amp;$G$1)</f>
        <v>0</v>
      </c>
      <c r="G8" s="1575"/>
      <c r="H8" s="2464" t="s">
        <v>1821</v>
      </c>
      <c r="I8" s="3817" t="s">
        <v>2457</v>
      </c>
      <c r="J8" s="781">
        <f ca="1">ROUND(M8*M10*M9*(1-M11)/10000,0)</f>
        <v>0</v>
      </c>
      <c r="K8" s="339" t="s">
        <v>2528</v>
      </c>
      <c r="L8" s="782" t="s">
        <v>1735</v>
      </c>
      <c r="M8" s="783">
        <f ca="1">INDIRECT("'数据-取费表'!z"&amp;$G$1)</f>
        <v>0</v>
      </c>
    </row>
    <row r="9" spans="1:25" ht="18" customHeight="1">
      <c r="A9" s="2460"/>
      <c r="B9" s="3818"/>
      <c r="C9" s="1808"/>
      <c r="D9" s="1805"/>
      <c r="E9" s="59" t="s">
        <v>635</v>
      </c>
      <c r="F9" s="783">
        <f ca="1">IF(INDIRECT("'数据-取费表'!ah"&amp;$G$1)="",INDIRECT("'数据-取费表'!k"&amp;$G$1),INDIRECT("'数据-取费表'!ah"&amp;$G$1))</f>
        <v>0</v>
      </c>
      <c r="G9" s="1575"/>
      <c r="H9" s="2449"/>
      <c r="I9" s="3818"/>
      <c r="J9" s="786"/>
      <c r="K9" s="787"/>
      <c r="L9" s="782" t="s">
        <v>1736</v>
      </c>
      <c r="M9" s="783">
        <f ca="1">F9</f>
        <v>0</v>
      </c>
    </row>
    <row r="10" spans="1:25" ht="18" customHeight="1">
      <c r="A10" s="2453"/>
      <c r="B10" s="3819"/>
      <c r="C10" s="1808"/>
      <c r="D10" s="1805"/>
      <c r="E10" s="59" t="s">
        <v>636</v>
      </c>
      <c r="F10" s="783">
        <f ca="1">INDIRECT("'数据-取费表'!ai"&amp;$G$1)</f>
        <v>0</v>
      </c>
      <c r="G10" s="1575"/>
      <c r="H10" s="2449"/>
      <c r="I10" s="3819"/>
      <c r="J10" s="786"/>
      <c r="K10" s="787"/>
      <c r="L10" s="782" t="s">
        <v>1737</v>
      </c>
      <c r="M10" s="783">
        <f ca="1">INDIRECT("'数据-取费表'!ai"&amp;$G$1)</f>
        <v>0</v>
      </c>
    </row>
    <row r="11" spans="1:25" ht="18" customHeight="1">
      <c r="A11" s="784"/>
      <c r="B11" s="3820"/>
      <c r="C11" s="1808"/>
      <c r="D11" s="1805"/>
      <c r="E11" s="59" t="s">
        <v>637</v>
      </c>
      <c r="F11" s="792">
        <f ca="1">INDIRECT("'数据-取费表'!w"&amp;$G$1)</f>
        <v>0</v>
      </c>
      <c r="G11" s="1575"/>
      <c r="H11" s="2465"/>
      <c r="I11" s="3819"/>
      <c r="J11" s="786"/>
      <c r="K11" s="787"/>
      <c r="L11" s="793" t="s">
        <v>1738</v>
      </c>
      <c r="M11" s="794">
        <f ca="1">INDIRECT("'数据-取费表'!ab"&amp;$G$1)</f>
        <v>0</v>
      </c>
    </row>
    <row r="12" spans="1:25" ht="18" customHeight="1">
      <c r="A12" s="1812" t="s">
        <v>1822</v>
      </c>
      <c r="B12" s="2454" t="s">
        <v>2453</v>
      </c>
      <c r="C12" s="797">
        <f ca="1">ROUND(IF(F12="押一",C8/12*F13,IF(F12="押二",C8/12*2*F13,IF(F12="押三",C8/12*3*F13,C13*F13))),0)</f>
        <v>0</v>
      </c>
      <c r="D12" s="2461" t="s">
        <v>2968</v>
      </c>
      <c r="E12" s="2458" t="s">
        <v>2458</v>
      </c>
      <c r="F12" s="2581"/>
      <c r="G12" s="1575"/>
      <c r="H12" s="2521" t="s">
        <v>1822</v>
      </c>
      <c r="I12" s="2526" t="s">
        <v>2453</v>
      </c>
      <c r="J12" s="781">
        <f ca="1">ROUND(IF(M12="押一",J8/12*M13,IF(M12="押二",J8/12*2*M13,IF(M12="押三",J8/12*3*M13,J13*M13))),0)</f>
        <v>0</v>
      </c>
      <c r="K12" s="2461" t="s">
        <v>2968</v>
      </c>
      <c r="L12" s="2458" t="s">
        <v>2458</v>
      </c>
      <c r="M12" s="2581"/>
    </row>
    <row r="13" spans="1:25" ht="18" customHeight="1">
      <c r="A13" s="788"/>
      <c r="B13" s="2455" t="s">
        <v>2567</v>
      </c>
      <c r="C13" s="2459"/>
      <c r="D13" s="787"/>
      <c r="E13" s="2458" t="s">
        <v>2450</v>
      </c>
      <c r="F13" s="794">
        <f ca="1">'数据-取费表'!B39</f>
        <v>1.4999999999999999E-2</v>
      </c>
      <c r="G13" s="1575"/>
      <c r="H13" s="2522"/>
      <c r="I13" s="2455" t="s">
        <v>2567</v>
      </c>
      <c r="J13" s="2459"/>
      <c r="K13" s="2523"/>
      <c r="L13" s="2458" t="s">
        <v>2450</v>
      </c>
      <c r="M13" s="2452">
        <f ca="1">'数据-取费表'!B39</f>
        <v>1.4999999999999999E-2</v>
      </c>
    </row>
    <row r="14" spans="1:25" ht="18" customHeight="1" thickBot="1">
      <c r="A14" s="2497" t="s">
        <v>2461</v>
      </c>
      <c r="B14" s="2498" t="s">
        <v>2454</v>
      </c>
      <c r="C14" s="2499"/>
      <c r="D14" s="2500"/>
      <c r="E14" s="2501"/>
      <c r="F14" s="2502"/>
      <c r="G14" s="1575"/>
      <c r="H14" s="2511" t="s">
        <v>2461</v>
      </c>
      <c r="I14" s="2524" t="s">
        <v>2454</v>
      </c>
      <c r="J14" s="2525"/>
      <c r="K14" s="2500"/>
      <c r="L14" s="2501"/>
      <c r="M14" s="2514"/>
    </row>
    <row r="15" spans="1:25" ht="18" customHeight="1" thickTop="1">
      <c r="A15" s="1811" t="s">
        <v>1871</v>
      </c>
      <c r="B15" s="1809" t="s">
        <v>638</v>
      </c>
      <c r="C15" s="790">
        <f ca="1">ROUND(C31*F15,0)</f>
        <v>0</v>
      </c>
      <c r="D15" s="1816" t="s">
        <v>639</v>
      </c>
      <c r="E15" s="793" t="s">
        <v>640</v>
      </c>
      <c r="F15" s="798">
        <f ca="1">INDIRECT("'数据-取费表'!y"&amp;$G$1)</f>
        <v>0</v>
      </c>
      <c r="G15" s="1575"/>
      <c r="H15" s="1811" t="s">
        <v>1823</v>
      </c>
      <c r="I15" s="1809" t="s">
        <v>641</v>
      </c>
      <c r="J15" s="1801">
        <f ca="1">ROUND(J16*J17,0)</f>
        <v>0</v>
      </c>
      <c r="K15" s="1803" t="s">
        <v>639</v>
      </c>
      <c r="L15" s="799"/>
      <c r="M15" s="800"/>
    </row>
    <row r="16" spans="1:25" ht="18" customHeight="1">
      <c r="A16" s="801" t="s">
        <v>1872</v>
      </c>
      <c r="B16" s="782" t="s">
        <v>642</v>
      </c>
      <c r="C16" s="802">
        <f ca="1">INDIRECT("'数据-取费表'!m"&amp;$G$1)+INDIRECT("'数据-取费表'!t"&amp;$G$1)</f>
        <v>0</v>
      </c>
      <c r="D16" s="1960" t="s">
        <v>643</v>
      </c>
      <c r="E16" s="1961"/>
      <c r="F16" s="803"/>
      <c r="G16" s="1575"/>
      <c r="H16" s="801" t="s">
        <v>2066</v>
      </c>
      <c r="I16" s="2212" t="s">
        <v>2819</v>
      </c>
      <c r="J16" s="51">
        <f ca="1">C31</f>
        <v>0</v>
      </c>
      <c r="K16" s="24"/>
      <c r="L16" s="799"/>
      <c r="M16" s="800"/>
    </row>
    <row r="17" spans="1:25" s="2045" customFormat="1" ht="18" customHeight="1">
      <c r="A17" s="801" t="s">
        <v>1846</v>
      </c>
      <c r="B17" s="782" t="s">
        <v>644</v>
      </c>
      <c r="C17" s="51">
        <f ca="1">ROUND(C16*F17,0)</f>
        <v>0</v>
      </c>
      <c r="D17" s="804" t="s">
        <v>645</v>
      </c>
      <c r="E17" s="804" t="s">
        <v>646</v>
      </c>
      <c r="F17" s="805">
        <f>'数据-取费表'!B33</f>
        <v>0.04</v>
      </c>
      <c r="G17" s="1576"/>
      <c r="H17" s="801" t="s">
        <v>2067</v>
      </c>
      <c r="I17" s="782" t="s">
        <v>640</v>
      </c>
      <c r="J17" s="806">
        <f ca="1">INDIRECT("'数据-取费表'!ad"&amp;$G$1)</f>
        <v>0</v>
      </c>
      <c r="K17" s="24"/>
      <c r="L17" s="799"/>
      <c r="M17" s="800"/>
      <c r="N17" s="2044"/>
      <c r="O17" s="2044"/>
      <c r="P17" s="2044"/>
      <c r="Q17" s="2044"/>
      <c r="R17" s="2044"/>
      <c r="S17" s="2044"/>
      <c r="T17" s="2044"/>
      <c r="U17" s="2044"/>
      <c r="V17" s="2044"/>
      <c r="W17" s="2044"/>
      <c r="X17" s="2044"/>
      <c r="Y17" s="2044"/>
    </row>
    <row r="18" spans="1:25" ht="18" customHeight="1">
      <c r="A18" s="801" t="s">
        <v>1847</v>
      </c>
      <c r="B18" s="782" t="s">
        <v>647</v>
      </c>
      <c r="C18" s="51">
        <f ca="1">ROUND(INDIRECT("'数据-取费表'!m"&amp;$G$1)*F18,0)</f>
        <v>0</v>
      </c>
      <c r="D18" s="782" t="s">
        <v>645</v>
      </c>
      <c r="E18" s="782" t="s">
        <v>646</v>
      </c>
      <c r="F18" s="807">
        <f ca="1">IF(INDIRECT("'数据-取费表'!c"&amp;$G$1)="住宅",'数据-取费表'!B34,0)</f>
        <v>0</v>
      </c>
      <c r="G18" s="1575"/>
      <c r="H18" s="795" t="s">
        <v>1824</v>
      </c>
      <c r="I18" s="796" t="s">
        <v>648</v>
      </c>
      <c r="J18" s="797">
        <f ca="1">ROUND(J19+J24+J25+J26,0)</f>
        <v>0</v>
      </c>
      <c r="K18" s="24" t="s">
        <v>649</v>
      </c>
      <c r="L18" s="1963"/>
      <c r="M18" s="54"/>
    </row>
    <row r="19" spans="1:25" s="2045" customFormat="1" ht="18" customHeight="1">
      <c r="A19" s="801" t="s">
        <v>1848</v>
      </c>
      <c r="B19" s="782" t="s">
        <v>650</v>
      </c>
      <c r="C19" s="51">
        <f ca="1">ROUND(F19*(INDIRECT("'数据-取费表'!k"&amp;$G$1)+INDIRECT("'数据-取费表'!S"&amp;$G$1))/10000,0)</f>
        <v>0</v>
      </c>
      <c r="D19" s="782" t="s">
        <v>651</v>
      </c>
      <c r="E19" s="782" t="s">
        <v>652</v>
      </c>
      <c r="F19" s="54">
        <f>'数据-取费表'!B35</f>
        <v>200</v>
      </c>
      <c r="G19" s="1576"/>
      <c r="H19" s="801" t="s">
        <v>2066</v>
      </c>
      <c r="I19" s="782" t="s">
        <v>653</v>
      </c>
      <c r="J19" s="51">
        <f ca="1">ROUND(IF(项目基本情况!B11="自然人",J8*M19/(1+'数据-取费表'!C42),J20+J21+J22),0)</f>
        <v>0</v>
      </c>
      <c r="K19" s="1960" t="s">
        <v>654</v>
      </c>
      <c r="L19" s="1958" t="s">
        <v>655</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1849</v>
      </c>
      <c r="B20" s="782" t="s">
        <v>656</v>
      </c>
      <c r="C20" s="51">
        <f ca="1">ROUND(C16*F20,0)</f>
        <v>0</v>
      </c>
      <c r="D20" s="782" t="s">
        <v>645</v>
      </c>
      <c r="E20" s="782" t="s">
        <v>646</v>
      </c>
      <c r="F20" s="807">
        <f>'数据-取费表'!B36</f>
        <v>1.4999999999999999E-2</v>
      </c>
      <c r="G20" s="1576"/>
      <c r="H20" s="801" t="s">
        <v>1828</v>
      </c>
      <c r="I20" s="782" t="s">
        <v>657</v>
      </c>
      <c r="J20" s="51">
        <f ca="1">ROUND(J8*M20/(1+'数据-取费表'!C42),1)</f>
        <v>0</v>
      </c>
      <c r="K20" s="1958" t="s">
        <v>658</v>
      </c>
      <c r="L20" s="782" t="s">
        <v>646</v>
      </c>
      <c r="M20" s="807">
        <f>'数据-取费表'!B41</f>
        <v>5.6000000000000001E-2</v>
      </c>
      <c r="N20" s="2044"/>
      <c r="O20" s="2044"/>
      <c r="P20" s="2044"/>
      <c r="Q20" s="2044"/>
      <c r="R20" s="2044"/>
      <c r="S20" s="2044"/>
      <c r="T20" s="2044"/>
      <c r="U20" s="2044"/>
      <c r="V20" s="2044"/>
      <c r="W20" s="2044"/>
      <c r="X20" s="2044"/>
      <c r="Y20" s="2044"/>
    </row>
    <row r="21" spans="1:25" ht="18" customHeight="1">
      <c r="A21" s="801" t="s">
        <v>1873</v>
      </c>
      <c r="B21" s="782" t="s">
        <v>659</v>
      </c>
      <c r="C21" s="51">
        <f ca="1">SUM(C16:C20)</f>
        <v>0</v>
      </c>
      <c r="D21" s="259" t="s">
        <v>660</v>
      </c>
      <c r="E21" s="1963"/>
      <c r="F21" s="54"/>
      <c r="G21" s="1575"/>
      <c r="H21" s="1812" t="s">
        <v>1846</v>
      </c>
      <c r="I21" s="782" t="s">
        <v>661</v>
      </c>
      <c r="J21" s="51">
        <f ca="1">IF(K21="按租金收入计税",ROUND(J8*M21/(1+'数据-取费表'!C42),1),ROUND(C31*F35*0.7,1))</f>
        <v>0</v>
      </c>
      <c r="K21" s="809" t="s">
        <v>662</v>
      </c>
      <c r="L21" s="782" t="s">
        <v>646</v>
      </c>
      <c r="M21" s="807">
        <f>IF(K21="按租金收入计税",'数据-取费表'!B51,'数据-取费表'!B50)</f>
        <v>1.2E-2</v>
      </c>
    </row>
    <row r="22" spans="1:25" s="2045" customFormat="1" ht="18" customHeight="1">
      <c r="A22" s="801" t="s">
        <v>1874</v>
      </c>
      <c r="B22" s="782" t="s">
        <v>663</v>
      </c>
      <c r="C22" s="51">
        <f ca="1">ROUND(C21*F22,0)</f>
        <v>0</v>
      </c>
      <c r="D22" s="810" t="s">
        <v>664</v>
      </c>
      <c r="E22" s="782" t="s">
        <v>646</v>
      </c>
      <c r="F22" s="807">
        <f>'数据-取费表'!B37</f>
        <v>0.02</v>
      </c>
      <c r="G22" s="1576"/>
      <c r="H22" s="1814" t="s">
        <v>1847</v>
      </c>
      <c r="I22" s="1804" t="s">
        <v>665</v>
      </c>
      <c r="J22" s="52">
        <f ca="1">ROUND(M22*M23/10000,0)</f>
        <v>0</v>
      </c>
      <c r="K22" s="812" t="s">
        <v>666</v>
      </c>
      <c r="L22" s="782" t="s">
        <v>667</v>
      </c>
      <c r="M22" s="638">
        <f>'数据-取费表'!B52</f>
        <v>2</v>
      </c>
      <c r="N22" s="2044"/>
      <c r="O22" s="2044"/>
      <c r="P22" s="2044"/>
      <c r="Q22" s="2044"/>
      <c r="R22" s="2044"/>
      <c r="S22" s="2044"/>
      <c r="T22" s="2044"/>
      <c r="U22" s="2044"/>
      <c r="V22" s="2044"/>
      <c r="W22" s="2044"/>
      <c r="X22" s="2044"/>
      <c r="Y22" s="2044"/>
    </row>
    <row r="23" spans="1:25" s="2045" customFormat="1" ht="18" customHeight="1">
      <c r="A23" s="801" t="s">
        <v>1875</v>
      </c>
      <c r="B23" s="782" t="s">
        <v>668</v>
      </c>
      <c r="C23" s="51" t="s">
        <v>1</v>
      </c>
      <c r="D23" s="810" t="s">
        <v>669</v>
      </c>
      <c r="E23" s="782" t="s">
        <v>670</v>
      </c>
      <c r="F23" s="807">
        <f>'数据-取费表'!B38</f>
        <v>0.02</v>
      </c>
      <c r="G23" s="1576"/>
      <c r="H23" s="1815"/>
      <c r="I23" s="1806"/>
      <c r="J23" s="67"/>
      <c r="K23" s="814"/>
      <c r="L23" s="782" t="s">
        <v>671</v>
      </c>
      <c r="M23" s="783">
        <f ca="1">INDIRECT("'数据-取费表'!r"&amp;$G$1)</f>
        <v>0</v>
      </c>
      <c r="N23" s="2044"/>
      <c r="O23" s="2044"/>
      <c r="P23" s="2044"/>
      <c r="Q23" s="2044"/>
      <c r="R23" s="2044"/>
      <c r="S23" s="2044"/>
      <c r="T23" s="2044"/>
      <c r="U23" s="2044"/>
      <c r="V23" s="2044"/>
      <c r="W23" s="2044"/>
      <c r="X23" s="2044"/>
      <c r="Y23" s="2044"/>
    </row>
    <row r="24" spans="1:25" ht="18" customHeight="1">
      <c r="A24" s="801" t="s">
        <v>1876</v>
      </c>
      <c r="B24" s="782" t="s">
        <v>672</v>
      </c>
      <c r="C24" s="51"/>
      <c r="D24" s="2532" t="str">
        <f>IF(F25&lt;=1,"单利计息。","复利计息。")&amp;"建造成本、管理费用、销售费用产生的利息。"</f>
        <v>复利计息。建造成本、管理费用、销售费用产生的利息。</v>
      </c>
      <c r="E24" s="1963"/>
      <c r="F24" s="54"/>
      <c r="G24" s="1575"/>
      <c r="H24" s="1813" t="s">
        <v>2067</v>
      </c>
      <c r="I24" s="782" t="s">
        <v>673</v>
      </c>
      <c r="J24" s="51">
        <f ca="1">ROUND(J16*M24,0)</f>
        <v>0</v>
      </c>
      <c r="K24" s="1958" t="s">
        <v>674</v>
      </c>
      <c r="L24" s="782" t="s">
        <v>646</v>
      </c>
      <c r="M24" s="815">
        <f ca="1">INDIRECT("'数据-取费表'!Ak"&amp;$G$1)</f>
        <v>0</v>
      </c>
    </row>
    <row r="25" spans="1:25" s="2045" customFormat="1" ht="18" customHeight="1">
      <c r="A25" s="801" t="s">
        <v>1872</v>
      </c>
      <c r="B25" s="782" t="s">
        <v>2432</v>
      </c>
      <c r="C25" s="51">
        <f ca="1">ROUND(IF('数据-取费表'!B22&lt;=1,(C21+C22)*F26*F25/2,(C21+C22)*(POWER((1+F26),F25/2)-1)),0)</f>
        <v>0</v>
      </c>
      <c r="D25" s="2531" t="str">
        <f>IF(F25&lt;=1,"(建造成本+管理费用)×利率×(建设周期÷2)","(建造成本+管理费用)×((1+利率)^(建设周期÷2)-1)")</f>
        <v>(建造成本+管理费用)×((1+利率)^(建设周期÷2)-1)</v>
      </c>
      <c r="E25" s="782" t="s">
        <v>675</v>
      </c>
      <c r="F25" s="638">
        <f>'数据-取费表'!B20</f>
        <v>2</v>
      </c>
      <c r="G25" s="1576"/>
      <c r="H25" s="801" t="s">
        <v>1875</v>
      </c>
      <c r="I25" s="782" t="s">
        <v>676</v>
      </c>
      <c r="J25" s="51">
        <f ca="1">ROUND(J15*M25,0)</f>
        <v>0</v>
      </c>
      <c r="K25" s="1958" t="s">
        <v>677</v>
      </c>
      <c r="L25" s="782" t="s">
        <v>646</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1846</v>
      </c>
      <c r="B26" s="782" t="s">
        <v>678</v>
      </c>
      <c r="C26" s="51">
        <f ca="1">ROUND(IF('数据-取费表'!B22&lt;=1,F23*F26*F25/2,F23*(POWER((1+F26),F25/2)-1)),4)</f>
        <v>1E-3</v>
      </c>
      <c r="D26" s="2531" t="str">
        <f>IF(F25&lt;=1,"销售费用×利率×(建设周期÷2)","销售费用×((1+利率)^(建设周期÷2)-1)")</f>
        <v>销售费用×((1+利率)^(建设周期÷2)-1)</v>
      </c>
      <c r="E26" s="782" t="s">
        <v>679</v>
      </c>
      <c r="F26" s="817">
        <f ca="1">'数据-取费表'!B40</f>
        <v>4.7500000000000001E-2</v>
      </c>
      <c r="G26" s="1576"/>
      <c r="H26" s="801" t="s">
        <v>1876</v>
      </c>
      <c r="I26" s="782" t="s">
        <v>663</v>
      </c>
      <c r="J26" s="51">
        <f ca="1">ROUND(J7*M26,0)</f>
        <v>0</v>
      </c>
      <c r="K26" s="1958" t="s">
        <v>680</v>
      </c>
      <c r="L26" s="782" t="s">
        <v>646</v>
      </c>
      <c r="M26" s="792">
        <f ca="1">INDIRECT("'数据-取费表'!Am"&amp;$G$1)</f>
        <v>0</v>
      </c>
      <c r="N26" s="2044"/>
      <c r="O26" s="2044"/>
      <c r="P26" s="2044"/>
      <c r="Q26" s="2044"/>
      <c r="R26" s="2044"/>
      <c r="S26" s="2044"/>
      <c r="T26" s="2044"/>
      <c r="U26" s="2044"/>
      <c r="V26" s="2044"/>
      <c r="W26" s="2044"/>
      <c r="X26" s="2044"/>
      <c r="Y26" s="2044"/>
    </row>
    <row r="27" spans="1:25" ht="18" customHeight="1">
      <c r="A27" s="801" t="s">
        <v>1878</v>
      </c>
      <c r="B27" s="782" t="s">
        <v>681</v>
      </c>
      <c r="C27" s="51"/>
      <c r="D27" s="259" t="s">
        <v>682</v>
      </c>
      <c r="E27" s="1963"/>
      <c r="F27" s="54"/>
      <c r="G27" s="1575"/>
      <c r="H27" s="795" t="s">
        <v>1825</v>
      </c>
      <c r="I27" s="2959" t="s">
        <v>2816</v>
      </c>
      <c r="J27" s="797">
        <f ca="1">J7-J18</f>
        <v>0</v>
      </c>
      <c r="K27" s="1960" t="s">
        <v>697</v>
      </c>
      <c r="L27" s="1962"/>
      <c r="M27" s="818"/>
    </row>
    <row r="28" spans="1:25" ht="18" customHeight="1">
      <c r="A28" s="801" t="s">
        <v>1872</v>
      </c>
      <c r="B28" s="782" t="s">
        <v>2433</v>
      </c>
      <c r="C28" s="51">
        <f ca="1">ROUND((C21+C22)*F28,0)</f>
        <v>0</v>
      </c>
      <c r="D28" s="810" t="s">
        <v>698</v>
      </c>
      <c r="E28" s="793" t="s">
        <v>699</v>
      </c>
      <c r="F28" s="792">
        <f ca="1">INDIRECT("'数据-取费表'!q"&amp;$G$1)</f>
        <v>0</v>
      </c>
      <c r="G28" s="1575"/>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1">
        <f ca="1">ROUND(F23*F28,4)</f>
        <v>0</v>
      </c>
      <c r="D29" s="810" t="s">
        <v>703</v>
      </c>
      <c r="E29" s="804"/>
      <c r="F29" s="805"/>
      <c r="G29" s="1575"/>
      <c r="H29" s="784"/>
      <c r="I29" s="785"/>
      <c r="J29" s="786"/>
      <c r="K29" s="819" t="s">
        <v>704</v>
      </c>
      <c r="L29" s="782" t="s">
        <v>705</v>
      </c>
      <c r="M29" s="820">
        <f ca="1">INDIRECT("'数据-取费表'!ag"&amp;$G$1)</f>
        <v>0</v>
      </c>
    </row>
    <row r="30" spans="1:25" s="2045" customFormat="1" ht="18" customHeight="1">
      <c r="A30" s="801" t="s">
        <v>1879</v>
      </c>
      <c r="B30" s="782" t="s">
        <v>684</v>
      </c>
      <c r="C30" s="51">
        <f>ROUND(F30/(1+'数据-取费表'!C42),4)</f>
        <v>5.33E-2</v>
      </c>
      <c r="D30" s="810" t="s">
        <v>706</v>
      </c>
      <c r="E30" s="782" t="s">
        <v>646</v>
      </c>
      <c r="F30" s="807">
        <f>'数据-取费表'!B41</f>
        <v>5.6000000000000001E-2</v>
      </c>
      <c r="G30" s="1576"/>
      <c r="H30" s="788"/>
      <c r="I30" s="789"/>
      <c r="J30" s="790"/>
      <c r="K30" s="814"/>
      <c r="L30" s="782" t="s">
        <v>707</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1880</v>
      </c>
      <c r="B31" s="2501" t="s">
        <v>2817</v>
      </c>
      <c r="C31" s="2504">
        <f ca="1">ROUND((C21+C22+C25+C28)/(1-F23-C26-C29-C30),0)</f>
        <v>0</v>
      </c>
      <c r="D31" s="2505"/>
      <c r="E31" s="2506"/>
      <c r="F31" s="2507"/>
      <c r="G31" s="1576"/>
      <c r="H31" s="821" t="s">
        <v>1869</v>
      </c>
      <c r="I31" s="2960" t="s">
        <v>2818</v>
      </c>
      <c r="J31" s="823">
        <f ca="1">ROUND(J28/(1+F45)^F46,0)</f>
        <v>0</v>
      </c>
      <c r="K31" s="824" t="s">
        <v>685</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1" t="s">
        <v>7</v>
      </c>
      <c r="B32" s="1809" t="s">
        <v>686</v>
      </c>
      <c r="C32" s="790">
        <f ca="1">ROUND(C33+C38+C39+C40,0)</f>
        <v>0</v>
      </c>
      <c r="D32" s="1803" t="s">
        <v>649</v>
      </c>
      <c r="E32" s="2447"/>
      <c r="F32" s="2451"/>
      <c r="G32" s="2043"/>
      <c r="H32" s="2046"/>
      <c r="I32" s="2047"/>
      <c r="J32" s="2048"/>
      <c r="K32" s="2049"/>
      <c r="L32" s="2050"/>
      <c r="M32" s="2051"/>
    </row>
    <row r="33" spans="1:18" ht="18" customHeight="1">
      <c r="A33" s="801" t="s">
        <v>1873</v>
      </c>
      <c r="B33" s="782" t="s">
        <v>653</v>
      </c>
      <c r="C33" s="51">
        <f ca="1">ROUND(IF(项目基本情况!B11="自然人",C8*F33/(1+'数据-取费表'!C42),C34+C35+C36),1)</f>
        <v>0</v>
      </c>
      <c r="D33" s="1960" t="s">
        <v>654</v>
      </c>
      <c r="E33" s="1958" t="s">
        <v>687</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1872</v>
      </c>
      <c r="B34" s="782" t="s">
        <v>657</v>
      </c>
      <c r="C34" s="51">
        <f ca="1">ROUND(C8*F34/(1+'数据-取费表'!C42),1)</f>
        <v>0</v>
      </c>
      <c r="D34" s="1958" t="s">
        <v>658</v>
      </c>
      <c r="E34" s="782" t="s">
        <v>646</v>
      </c>
      <c r="F34" s="807">
        <f>'数据-取费表'!B41</f>
        <v>5.6000000000000001E-2</v>
      </c>
      <c r="G34" s="2043"/>
      <c r="H34" s="2052"/>
      <c r="I34" s="2053"/>
      <c r="J34" s="2054"/>
      <c r="K34" s="2055"/>
      <c r="L34" s="2056"/>
      <c r="M34" s="2057"/>
    </row>
    <row r="35" spans="1:18" ht="18" customHeight="1">
      <c r="A35" s="801" t="s">
        <v>1846</v>
      </c>
      <c r="B35" s="782" t="s">
        <v>661</v>
      </c>
      <c r="C35" s="51">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3"/>
      <c r="H35" s="2058"/>
      <c r="I35" s="2058"/>
      <c r="J35" s="2058"/>
      <c r="K35" s="2059"/>
      <c r="L35" s="2058"/>
      <c r="M35" s="2058"/>
    </row>
    <row r="36" spans="1:18" ht="18" customHeight="1">
      <c r="A36" s="811" t="s">
        <v>1877</v>
      </c>
      <c r="B36" s="339" t="s">
        <v>665</v>
      </c>
      <c r="C36" s="52">
        <f ca="1">ROUND(F36*F37/10000,1)</f>
        <v>0</v>
      </c>
      <c r="D36" s="812" t="s">
        <v>666</v>
      </c>
      <c r="E36" s="782" t="s">
        <v>667</v>
      </c>
      <c r="F36" s="638">
        <f>'数据-取费表'!B52</f>
        <v>2</v>
      </c>
      <c r="G36" s="2043"/>
      <c r="H36" s="2046"/>
      <c r="I36" s="3910"/>
      <c r="J36" s="2060"/>
      <c r="K36" s="2061"/>
      <c r="L36" s="2060"/>
      <c r="M36" s="2060"/>
    </row>
    <row r="37" spans="1:18" ht="18" customHeight="1">
      <c r="A37" s="813"/>
      <c r="B37" s="791"/>
      <c r="C37" s="67"/>
      <c r="D37" s="814"/>
      <c r="E37" s="782" t="s">
        <v>671</v>
      </c>
      <c r="F37" s="783">
        <f ca="1">INDIRECT("'数据-取费表'!r"&amp;$G$1)</f>
        <v>0</v>
      </c>
      <c r="G37" s="2043"/>
      <c r="H37" s="2046"/>
      <c r="I37" s="3910"/>
      <c r="J37" s="2058"/>
      <c r="K37" s="2059"/>
      <c r="L37" s="2058"/>
      <c r="M37" s="2058"/>
    </row>
    <row r="38" spans="1:18" ht="18" customHeight="1">
      <c r="A38" s="801" t="s">
        <v>1874</v>
      </c>
      <c r="B38" s="782" t="s">
        <v>673</v>
      </c>
      <c r="C38" s="51">
        <f ca="1">ROUND(C31*F38,1)</f>
        <v>0</v>
      </c>
      <c r="D38" s="1958" t="s">
        <v>688</v>
      </c>
      <c r="E38" s="782" t="s">
        <v>646</v>
      </c>
      <c r="F38" s="815">
        <f ca="1">INDIRECT("'数据-取费表'!Ak"&amp;$G$1)</f>
        <v>0</v>
      </c>
      <c r="G38" s="2043"/>
      <c r="H38" s="2058"/>
      <c r="I38" s="2062"/>
      <c r="J38" s="1969"/>
      <c r="K38" s="2063"/>
      <c r="L38" s="2058"/>
      <c r="M38" s="2058"/>
    </row>
    <row r="39" spans="1:18" ht="18" customHeight="1">
      <c r="A39" s="801" t="s">
        <v>1875</v>
      </c>
      <c r="B39" s="782" t="s">
        <v>676</v>
      </c>
      <c r="C39" s="51">
        <f ca="1">ROUND(C15*F39,1)</f>
        <v>0</v>
      </c>
      <c r="D39" s="1958" t="s">
        <v>677</v>
      </c>
      <c r="E39" s="782" t="s">
        <v>646</v>
      </c>
      <c r="F39" s="816">
        <f ca="1">INDIRECT("'数据-取费表'!Al"&amp;$G$1)</f>
        <v>0</v>
      </c>
      <c r="G39" s="2043"/>
      <c r="H39" s="2058"/>
      <c r="I39" s="2062"/>
      <c r="J39" s="1969"/>
      <c r="K39" s="2063"/>
      <c r="L39" s="2058"/>
      <c r="M39" s="2058"/>
    </row>
    <row r="40" spans="1:18" ht="18" customHeight="1" thickBot="1">
      <c r="A40" s="2520" t="s">
        <v>1876</v>
      </c>
      <c r="B40" s="2506" t="s">
        <v>663</v>
      </c>
      <c r="C40" s="2504">
        <f ca="1">ROUND(C7*F40,1)</f>
        <v>0</v>
      </c>
      <c r="D40" s="2505" t="s">
        <v>680</v>
      </c>
      <c r="E40" s="2506" t="s">
        <v>646</v>
      </c>
      <c r="F40" s="2502">
        <f ca="1">INDIRECT("'数据-取费表'!Am"&amp;$G$1)</f>
        <v>0</v>
      </c>
      <c r="G40" s="2043"/>
      <c r="H40" s="2058"/>
      <c r="I40" s="2062"/>
      <c r="J40" s="1969"/>
      <c r="K40" s="2064"/>
      <c r="L40" s="2058"/>
      <c r="M40" s="2058"/>
    </row>
    <row r="41" spans="1:18" ht="18" customHeight="1" thickTop="1">
      <c r="A41" s="1811">
        <v>4</v>
      </c>
      <c r="B41" s="1809" t="s">
        <v>689</v>
      </c>
      <c r="C41" s="1347"/>
      <c r="D41" s="1348"/>
      <c r="E41" s="1348"/>
      <c r="F41" s="1349"/>
      <c r="G41" s="2043"/>
      <c r="H41" s="2043"/>
      <c r="I41" s="2043"/>
      <c r="J41" s="2043"/>
      <c r="K41" s="2064"/>
      <c r="L41" s="2043"/>
      <c r="M41" s="2043"/>
    </row>
    <row r="42" spans="1:18" ht="18" customHeight="1">
      <c r="A42" s="801" t="s">
        <v>1873</v>
      </c>
      <c r="B42" s="833" t="s">
        <v>690</v>
      </c>
      <c r="C42" s="827">
        <f ca="1">C7-C32</f>
        <v>0</v>
      </c>
      <c r="D42" s="1960" t="s">
        <v>691</v>
      </c>
      <c r="E42" s="1962"/>
      <c r="F42" s="818"/>
      <c r="G42" s="2043"/>
      <c r="H42" s="2043"/>
      <c r="I42" s="2043"/>
      <c r="J42" s="2043"/>
      <c r="K42" s="2064"/>
      <c r="L42" s="2043"/>
      <c r="M42" s="2043"/>
    </row>
    <row r="43" spans="1:18" ht="18" customHeight="1">
      <c r="A43" s="801" t="s">
        <v>1874</v>
      </c>
      <c r="B43" s="833" t="s">
        <v>708</v>
      </c>
      <c r="C43" s="834">
        <f ca="1">ROUND(C15*F43,0)</f>
        <v>0</v>
      </c>
      <c r="D43" s="1350" t="s">
        <v>709</v>
      </c>
      <c r="E43" s="3069" t="s">
        <v>2956</v>
      </c>
      <c r="F43" s="3070">
        <f ca="1">INDIRECT("'数据-取费表'!j"&amp;$G$1)</f>
        <v>0</v>
      </c>
      <c r="G43" s="2043"/>
      <c r="H43" s="2043"/>
      <c r="I43" s="2043"/>
      <c r="J43" s="2043"/>
      <c r="K43" s="2064"/>
      <c r="L43" s="2043"/>
      <c r="M43" s="2043"/>
    </row>
    <row r="44" spans="1:18" ht="18" customHeight="1">
      <c r="A44" s="801" t="s">
        <v>1875</v>
      </c>
      <c r="B44" s="833" t="s">
        <v>710</v>
      </c>
      <c r="C44" s="1351">
        <f ca="1">C42-C43</f>
        <v>0</v>
      </c>
      <c r="D44" s="461" t="s">
        <v>711</v>
      </c>
      <c r="E44" s="462"/>
      <c r="F44" s="463"/>
      <c r="G44" s="2043"/>
      <c r="H44" s="2043"/>
      <c r="I44" s="2043"/>
      <c r="J44" s="2043"/>
      <c r="K44" s="2064"/>
      <c r="L44" s="2043"/>
      <c r="M44" s="2043"/>
    </row>
    <row r="45" spans="1:18" ht="18" customHeight="1">
      <c r="A45" s="801" t="s">
        <v>1876</v>
      </c>
      <c r="B45" s="1350" t="s">
        <v>712</v>
      </c>
      <c r="C45" s="2985">
        <f ca="1">ROUND(-PV(F45,F46,C44,0),0)</f>
        <v>0</v>
      </c>
      <c r="D45" s="1352" t="s">
        <v>713</v>
      </c>
      <c r="E45" s="804" t="s">
        <v>714</v>
      </c>
      <c r="F45" s="828">
        <f ca="1">INDIRECT("'数据-取费表'!h"&amp;$G$1)</f>
        <v>0</v>
      </c>
      <c r="G45" s="2043"/>
      <c r="H45" s="2043"/>
      <c r="I45" s="2043"/>
      <c r="J45" s="2043"/>
      <c r="K45" s="2064"/>
      <c r="L45" s="2043"/>
      <c r="M45" s="2043"/>
    </row>
    <row r="46" spans="1:18" ht="18" customHeight="1" thickBot="1">
      <c r="A46" s="829"/>
      <c r="B46" s="1353"/>
      <c r="C46" s="1354"/>
      <c r="D46" s="1355"/>
      <c r="E46" s="3071" t="s">
        <v>2959</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2338</v>
      </c>
      <c r="J47" s="2339"/>
      <c r="K47" s="2340"/>
      <c r="L47" s="3103" t="str">
        <f ca="1">IF(M48="住宅",0,IF(L49&gt;J52,L61,J61))</f>
        <v>0</v>
      </c>
      <c r="O47" s="2354" t="s">
        <v>2405</v>
      </c>
      <c r="P47" s="1575"/>
      <c r="Q47" s="1586"/>
      <c r="R47" s="1575"/>
    </row>
    <row r="48" spans="1:18" s="2040" customFormat="1" ht="18" customHeight="1" thickBot="1">
      <c r="A48" s="2065"/>
      <c r="C48" s="2068"/>
      <c r="D48" s="2069"/>
      <c r="E48" s="2069"/>
      <c r="F48" s="2070"/>
      <c r="G48" s="2071"/>
      <c r="I48" s="3094" t="s">
        <v>2339</v>
      </c>
      <c r="J48" s="2341"/>
      <c r="K48" s="3100" t="s">
        <v>2344</v>
      </c>
      <c r="L48" s="3104">
        <f ca="1">INDIRECT("'数据-取费表'!d"&amp;$G$1)</f>
        <v>0</v>
      </c>
      <c r="M48" s="3068" t="str">
        <f>IF(ISNUMBER(FIND("住宅",C1)),"住宅","非住宅")</f>
        <v>非住宅</v>
      </c>
      <c r="O48" s="2355" t="s">
        <v>2370</v>
      </c>
      <c r="P48" s="2356" t="s">
        <v>2371</v>
      </c>
      <c r="Q48" s="2357" t="s">
        <v>2372</v>
      </c>
      <c r="R48" s="2356" t="s">
        <v>2373</v>
      </c>
    </row>
    <row r="49" spans="1:18" s="2040" customFormat="1" ht="18" customHeight="1" thickBot="1">
      <c r="A49" s="2065"/>
      <c r="D49" s="2072"/>
      <c r="E49" s="2073"/>
      <c r="F49" s="2070"/>
      <c r="G49" s="2071"/>
      <c r="H49" s="2074"/>
      <c r="I49" s="3073" t="s">
        <v>2340</v>
      </c>
      <c r="J49" s="2342"/>
      <c r="K49" s="3101" t="s">
        <v>2346</v>
      </c>
      <c r="L49" s="1890">
        <f ca="1">INDIRECT("'数据-取费表'!f"&amp;$G$1)</f>
        <v>0</v>
      </c>
      <c r="O49" s="2358" t="s">
        <v>2374</v>
      </c>
      <c r="P49" s="2359" t="s">
        <v>2400</v>
      </c>
      <c r="Q49" s="2360">
        <f ca="1">C41+J31</f>
        <v>0</v>
      </c>
      <c r="R49" s="2359" t="s">
        <v>2375</v>
      </c>
    </row>
    <row r="50" spans="1:18" s="2040" customFormat="1" ht="18" customHeight="1" thickBot="1">
      <c r="A50" s="2065"/>
      <c r="D50" s="2075"/>
      <c r="E50" s="2075"/>
      <c r="F50" s="2069"/>
      <c r="G50" s="2076"/>
      <c r="H50" s="2074"/>
      <c r="I50" s="3073" t="s">
        <v>2341</v>
      </c>
      <c r="J50" s="2343"/>
      <c r="K50" s="3102" t="s">
        <v>2347</v>
      </c>
      <c r="L50" s="2344"/>
      <c r="O50" s="2358" t="s">
        <v>2376</v>
      </c>
      <c r="P50" s="2359" t="s">
        <v>2401</v>
      </c>
      <c r="Q50" s="2360" t="str">
        <f ca="1">J61</f>
        <v>0</v>
      </c>
      <c r="R50" s="2359" t="s">
        <v>2377</v>
      </c>
    </row>
    <row r="51" spans="1:18" s="2040" customFormat="1" ht="18" customHeight="1" thickBot="1">
      <c r="A51" s="2077"/>
      <c r="D51" s="2075"/>
      <c r="E51" s="2075"/>
      <c r="F51" s="2066"/>
      <c r="H51" s="2074"/>
      <c r="I51" s="3073" t="s">
        <v>2342</v>
      </c>
      <c r="J51" s="3098">
        <f>SUMPRODUCT((I64:I66=J48)*(J63:L63=J49)*(J64:L66))</f>
        <v>0</v>
      </c>
      <c r="K51" s="3102" t="s">
        <v>2348</v>
      </c>
      <c r="L51" s="2344"/>
      <c r="O51" s="2361" t="s">
        <v>2378</v>
      </c>
      <c r="P51" s="2359" t="s">
        <v>2402</v>
      </c>
      <c r="Q51" s="2360">
        <f ca="1">C31</f>
        <v>0</v>
      </c>
      <c r="R51" s="2359" t="s">
        <v>2375</v>
      </c>
    </row>
    <row r="52" spans="1:18" s="2040" customFormat="1" ht="18" customHeight="1" thickBot="1">
      <c r="A52" s="2077"/>
      <c r="F52" s="2066"/>
      <c r="I52" s="3095" t="s">
        <v>2343</v>
      </c>
      <c r="J52" s="3099">
        <f>IF(J50="",J51,J50+J51-YEAR('数据-取费表'!B3))</f>
        <v>0</v>
      </c>
      <c r="K52" s="3073" t="s">
        <v>2349</v>
      </c>
      <c r="L52" s="3105">
        <f ca="1">ROUND(-PV(INDIRECT("'数据-取费表'!h"&amp;$G$1),L49,(C40-C14*J36),0),0)</f>
        <v>0</v>
      </c>
      <c r="O52" s="2361" t="s">
        <v>2379</v>
      </c>
      <c r="P52" s="2359" t="s">
        <v>2380</v>
      </c>
      <c r="Q52" s="2362" t="e">
        <f ca="1">J59</f>
        <v>#VALUE!</v>
      </c>
      <c r="R52" s="2363"/>
    </row>
    <row r="53" spans="1:18" s="2040" customFormat="1" ht="18" customHeight="1" thickBot="1">
      <c r="A53" s="2077"/>
      <c r="F53" s="2066"/>
      <c r="I53" s="3096" t="s">
        <v>2416</v>
      </c>
      <c r="J53" s="2345"/>
      <c r="K53" s="3096" t="s">
        <v>2415</v>
      </c>
      <c r="L53" s="2345"/>
      <c r="O53" s="2361" t="s">
        <v>2381</v>
      </c>
      <c r="P53" s="2359" t="s">
        <v>2382</v>
      </c>
      <c r="Q53" s="2362">
        <f>J53</f>
        <v>0</v>
      </c>
      <c r="R53" s="2363"/>
    </row>
    <row r="54" spans="1:18" s="2040" customFormat="1" ht="29.25" thickBot="1">
      <c r="A54" s="2077"/>
      <c r="I54" s="3097" t="s">
        <v>2972</v>
      </c>
      <c r="J54" s="3176">
        <f ca="1">IF(M48="住宅",MAX(J52,L49-'数据-取费表'!B20),MIN(J52,L49-'数据-取费表'!B20))</f>
        <v>-2</v>
      </c>
      <c r="K54" s="3911"/>
      <c r="L54" s="3912"/>
      <c r="O54" s="2361" t="s">
        <v>2383</v>
      </c>
      <c r="P54" s="2359" t="s">
        <v>2384</v>
      </c>
      <c r="Q54" s="2360">
        <f ca="1">J54</f>
        <v>-2</v>
      </c>
      <c r="R54" s="2359" t="s">
        <v>2385</v>
      </c>
    </row>
    <row r="55" spans="1:18" s="2040" customFormat="1" ht="18" customHeight="1" thickBot="1">
      <c r="A55" s="2077"/>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8" t="s">
        <v>2386</v>
      </c>
      <c r="P55" s="2359" t="s">
        <v>2403</v>
      </c>
      <c r="Q55" s="2360">
        <f ca="1">Q49+Q50</f>
        <v>0</v>
      </c>
      <c r="R55" s="2363" t="s">
        <v>2387</v>
      </c>
    </row>
    <row r="56" spans="1:18" s="2040" customFormat="1" ht="16.5" thickBot="1">
      <c r="A56" s="2077"/>
      <c r="B56" s="2078"/>
      <c r="C56" s="2078"/>
      <c r="I56" s="3108" t="s">
        <v>2350</v>
      </c>
      <c r="J56" s="3048" t="e">
        <f ca="1">ROUND(IF(J48="钢混",J58/J51,1-(1-2%)*(J51-J58)/J51),3)</f>
        <v>#VALUE!</v>
      </c>
      <c r="K56" s="3109" t="s">
        <v>2351</v>
      </c>
      <c r="L56" s="2346"/>
      <c r="O56" s="2364" t="s">
        <v>2406</v>
      </c>
      <c r="P56" s="1575"/>
      <c r="Q56" s="1586"/>
      <c r="R56" s="1575"/>
    </row>
    <row r="57" spans="1:18" s="2040" customFormat="1" ht="43.5" thickBot="1">
      <c r="A57" s="2077"/>
      <c r="B57" s="2078"/>
      <c r="C57" s="2078"/>
      <c r="I57" s="3110" t="s">
        <v>2352</v>
      </c>
      <c r="J57" s="3120" t="s">
        <v>1675</v>
      </c>
      <c r="K57" s="3073" t="s">
        <v>2357</v>
      </c>
      <c r="L57" s="1890">
        <f ca="1">IF(L49&lt;J52,"——",L49-J52)</f>
        <v>0</v>
      </c>
      <c r="O57" s="2355" t="s">
        <v>2370</v>
      </c>
      <c r="P57" s="2356" t="s">
        <v>2371</v>
      </c>
      <c r="Q57" s="2357" t="s">
        <v>2372</v>
      </c>
      <c r="R57" s="2356" t="s">
        <v>2373</v>
      </c>
    </row>
    <row r="58" spans="1:18" s="2040" customFormat="1" ht="29.25" thickBot="1">
      <c r="A58" s="2077"/>
      <c r="B58" s="2078"/>
      <c r="C58" s="2078"/>
      <c r="I58" s="3111" t="s">
        <v>2353</v>
      </c>
      <c r="J58" s="3112" t="str">
        <f ca="1">IF(OR(M48="住宅",J52&lt;L49,J57="是"),"——",J52-L49)</f>
        <v>——</v>
      </c>
      <c r="K58" s="3073" t="s">
        <v>2358</v>
      </c>
      <c r="L58" s="1890">
        <f ca="1">IF(L49&lt;J52,"——",IF(L56="比较法",L50,IF(L56="基准地价",L51,L52)))</f>
        <v>0</v>
      </c>
      <c r="O58" s="2358" t="s">
        <v>2374</v>
      </c>
      <c r="P58" s="2359" t="s">
        <v>2400</v>
      </c>
      <c r="Q58" s="2360">
        <f ca="1">C41+J31</f>
        <v>0</v>
      </c>
      <c r="R58" s="2359" t="s">
        <v>2375</v>
      </c>
    </row>
    <row r="59" spans="1:18" s="2040" customFormat="1" ht="29.25" thickBot="1">
      <c r="A59" s="2077"/>
      <c r="B59" s="2078"/>
      <c r="C59" s="2078"/>
      <c r="I59" s="3111" t="s">
        <v>2354</v>
      </c>
      <c r="J59" s="3049" t="e">
        <f ca="1">IF(J56&lt;0.4,0.4,J56)</f>
        <v>#VALUE!</v>
      </c>
      <c r="K59" s="3073" t="s">
        <v>2359</v>
      </c>
      <c r="L59" s="1890">
        <f ca="1">IF(ISERROR(POWER(1+L53,L48-L49)*(POWER(1+L53,L49)-1)/(POWER(1+L53,L48)-1)),0,POWER(1+L53,L48-L49)*(POWER(1+L53,L49)-1)/(POWER(1+L53,L48)-1))</f>
        <v>0</v>
      </c>
      <c r="O59" s="2358" t="s">
        <v>2376</v>
      </c>
      <c r="P59" s="2359" t="s">
        <v>2407</v>
      </c>
      <c r="Q59" s="2360" t="e">
        <f ca="1">L61</f>
        <v>#DIV/0!</v>
      </c>
      <c r="R59" s="2363" t="s">
        <v>2409</v>
      </c>
    </row>
    <row r="60" spans="1:18" s="2040" customFormat="1" ht="29.25" thickBot="1">
      <c r="A60" s="2077"/>
      <c r="B60" s="2078"/>
      <c r="C60" s="2078"/>
      <c r="I60" s="3111" t="s">
        <v>2355</v>
      </c>
      <c r="J60" s="3112" t="str">
        <f ca="1">IF(OR(M48="住宅",J52&lt;L49,J57="是"),"——",ROUND(C30*J59,0))</f>
        <v>——</v>
      </c>
      <c r="K60" s="3073" t="s">
        <v>2360</v>
      </c>
      <c r="L60" s="1890">
        <f ca="1">IF(ISERROR(POWER(1+L53,L48-J52)*(POWER(1+L53,J52)-1)/(POWER(1+L53,L48)-1)),0,POWER(1+L53,L48-J52)*(POWER(1+L53,J52)-1)/(POWER(1+L53,L48)-1))</f>
        <v>0</v>
      </c>
      <c r="O60" s="2361" t="s">
        <v>2378</v>
      </c>
      <c r="P60" s="2359" t="s">
        <v>2408</v>
      </c>
      <c r="Q60" s="2360">
        <f>IF(L56="比较法",L50,IF(L56="基准地价",L51,0))</f>
        <v>0</v>
      </c>
      <c r="R60" s="2359" t="s">
        <v>2375</v>
      </c>
    </row>
    <row r="61" spans="1:18" s="2040" customFormat="1" ht="15.75" thickBot="1">
      <c r="A61" s="2077"/>
      <c r="B61" s="2078"/>
      <c r="C61" s="2078"/>
      <c r="I61" s="3113" t="s">
        <v>2356</v>
      </c>
      <c r="J61" s="3114" t="str">
        <f ca="1">IF(OR(M48="住宅",J52&lt;L49,J57="是"),"0",ROUND(J60/(1+J53)^J54,0))</f>
        <v>0</v>
      </c>
      <c r="K61" s="3115" t="s">
        <v>2361</v>
      </c>
      <c r="L61" s="3114" t="e">
        <f ca="1">IF(OR(M48="住宅",L49&lt;J52),0,ROUND(L58*(L59/L60-1),0))</f>
        <v>#DIV/0!</v>
      </c>
      <c r="O61" s="2361" t="s">
        <v>2379</v>
      </c>
      <c r="P61" s="2359" t="s">
        <v>2388</v>
      </c>
      <c r="Q61" s="2362">
        <f>L53</f>
        <v>0</v>
      </c>
      <c r="R61" s="2363"/>
    </row>
    <row r="62" spans="1:18" s="2040" customFormat="1" ht="20.25" thickBot="1">
      <c r="A62" s="2077"/>
      <c r="B62" s="2078"/>
      <c r="C62" s="2078"/>
      <c r="K62" s="2067"/>
      <c r="O62" s="2361" t="s">
        <v>2381</v>
      </c>
      <c r="P62" s="2359" t="s">
        <v>2389</v>
      </c>
      <c r="Q62" s="2360">
        <f ca="1">L59</f>
        <v>0</v>
      </c>
      <c r="R62" s="2363" t="s">
        <v>2390</v>
      </c>
    </row>
    <row r="63" spans="1:18" s="2040" customFormat="1" ht="20.25" thickBot="1">
      <c r="A63" s="2077"/>
      <c r="B63" s="2078"/>
      <c r="C63" s="2078"/>
      <c r="I63" s="3116" t="s">
        <v>2362</v>
      </c>
      <c r="J63" s="3117" t="s">
        <v>2363</v>
      </c>
      <c r="K63" s="3117" t="s">
        <v>2364</v>
      </c>
      <c r="L63" s="3117" t="s">
        <v>2345</v>
      </c>
      <c r="M63" s="3118" t="s">
        <v>2937</v>
      </c>
      <c r="O63" s="2361" t="s">
        <v>2383</v>
      </c>
      <c r="P63" s="2359" t="s">
        <v>2391</v>
      </c>
      <c r="Q63" s="2360">
        <f ca="1">L60</f>
        <v>0</v>
      </c>
      <c r="R63" s="2363" t="s">
        <v>2392</v>
      </c>
    </row>
    <row r="64" spans="1:18" s="2040" customFormat="1" ht="15.75" thickBot="1">
      <c r="A64" s="2077"/>
      <c r="B64" s="2078"/>
      <c r="C64" s="2078"/>
      <c r="I64" s="3116" t="s">
        <v>2365</v>
      </c>
      <c r="J64" s="3117">
        <v>70</v>
      </c>
      <c r="K64" s="3117">
        <v>50</v>
      </c>
      <c r="L64" s="3117">
        <v>80</v>
      </c>
      <c r="M64" s="3119">
        <v>0.02</v>
      </c>
      <c r="O64" s="2358" t="s">
        <v>2386</v>
      </c>
      <c r="P64" s="2359" t="s">
        <v>2403</v>
      </c>
      <c r="Q64" s="2360" t="e">
        <f ca="1">Q58+Q59</f>
        <v>#DIV/0!</v>
      </c>
      <c r="R64" s="2363" t="s">
        <v>2387</v>
      </c>
    </row>
    <row r="65" spans="1:18" s="2040" customFormat="1" ht="16.5" thickBot="1">
      <c r="A65" s="2077"/>
      <c r="B65" s="2078"/>
      <c r="C65" s="2078"/>
      <c r="I65" s="3116" t="s">
        <v>2366</v>
      </c>
      <c r="J65" s="3117">
        <v>50</v>
      </c>
      <c r="K65" s="3117">
        <v>35</v>
      </c>
      <c r="L65" s="3117">
        <v>60</v>
      </c>
      <c r="M65" s="844">
        <v>0</v>
      </c>
      <c r="O65" s="2364" t="s">
        <v>2410</v>
      </c>
      <c r="P65" s="1575"/>
      <c r="Q65" s="1586"/>
      <c r="R65" s="1575"/>
    </row>
    <row r="66" spans="1:18" s="2040" customFormat="1" ht="15.75" thickBot="1">
      <c r="A66" s="2077"/>
      <c r="B66" s="2078"/>
      <c r="C66" s="2078"/>
      <c r="I66" s="3116" t="s">
        <v>2367</v>
      </c>
      <c r="J66" s="3117">
        <v>40</v>
      </c>
      <c r="K66" s="3117">
        <v>30</v>
      </c>
      <c r="L66" s="3117">
        <v>50</v>
      </c>
      <c r="M66" s="3119">
        <v>0.02</v>
      </c>
      <c r="O66" s="2355" t="s">
        <v>2370</v>
      </c>
      <c r="P66" s="2356" t="s">
        <v>2371</v>
      </c>
      <c r="Q66" s="2357" t="s">
        <v>2372</v>
      </c>
      <c r="R66" s="2356" t="s">
        <v>2373</v>
      </c>
    </row>
    <row r="67" spans="1:18" s="2040" customFormat="1" ht="15.75" thickBot="1">
      <c r="A67" s="2077"/>
      <c r="B67" s="2078"/>
      <c r="C67" s="2078"/>
      <c r="K67" s="2067"/>
      <c r="O67" s="2358" t="s">
        <v>2374</v>
      </c>
      <c r="P67" s="2359" t="s">
        <v>2400</v>
      </c>
      <c r="Q67" s="2360">
        <f ca="1">C41+J31</f>
        <v>0</v>
      </c>
      <c r="R67" s="2359" t="s">
        <v>2375</v>
      </c>
    </row>
    <row r="68" spans="1:18" s="2040" customFormat="1" ht="20.25" thickBot="1">
      <c r="A68" s="2077"/>
      <c r="B68" s="2078"/>
      <c r="C68" s="2078"/>
      <c r="K68" s="2067"/>
      <c r="O68" s="2358" t="s">
        <v>2376</v>
      </c>
      <c r="P68" s="2359" t="s">
        <v>2407</v>
      </c>
      <c r="Q68" s="2360" t="e">
        <f ca="1">L61</f>
        <v>#DIV/0!</v>
      </c>
      <c r="R68" s="2363" t="s">
        <v>2409</v>
      </c>
    </row>
    <row r="69" spans="1:18" s="2040" customFormat="1" ht="21.75" thickBot="1">
      <c r="A69" s="2077"/>
      <c r="B69" s="2078"/>
      <c r="C69" s="2078"/>
      <c r="K69" s="2067"/>
      <c r="O69" s="2361" t="s">
        <v>2378</v>
      </c>
      <c r="P69" s="2359" t="s">
        <v>2408</v>
      </c>
      <c r="Q69" s="2365">
        <f ca="1">L52</f>
        <v>0</v>
      </c>
      <c r="R69" s="2366" t="s">
        <v>2411</v>
      </c>
    </row>
    <row r="70" spans="1:18" s="2040" customFormat="1" ht="20.25" thickBot="1">
      <c r="A70" s="2077"/>
      <c r="B70" s="2078"/>
      <c r="C70" s="2078"/>
      <c r="K70" s="2067"/>
      <c r="O70" s="2361" t="s">
        <v>2379</v>
      </c>
      <c r="P70" s="2367" t="s">
        <v>2393</v>
      </c>
      <c r="Q70" s="2360">
        <f ca="1">ROUND(Q71-Q72*Q73,0)</f>
        <v>0</v>
      </c>
      <c r="R70" s="2363"/>
    </row>
    <row r="71" spans="1:18" s="2040" customFormat="1" ht="15.75" thickBot="1">
      <c r="A71" s="2077"/>
      <c r="B71" s="2078"/>
      <c r="C71" s="2078"/>
      <c r="K71" s="2067"/>
      <c r="O71" s="2361" t="s">
        <v>2394</v>
      </c>
      <c r="P71" s="2367" t="s">
        <v>2395</v>
      </c>
      <c r="Q71" s="2360">
        <f ca="1">C42</f>
        <v>0</v>
      </c>
      <c r="R71" s="2359" t="s">
        <v>2375</v>
      </c>
    </row>
    <row r="72" spans="1:18" s="2040" customFormat="1" ht="15.75" thickBot="1">
      <c r="A72" s="2077"/>
      <c r="B72" s="2078"/>
      <c r="C72" s="2078"/>
      <c r="K72" s="2067"/>
      <c r="O72" s="2361" t="s">
        <v>2396</v>
      </c>
      <c r="P72" s="2367" t="s">
        <v>2397</v>
      </c>
      <c r="Q72" s="2360">
        <f ca="1">C15</f>
        <v>0</v>
      </c>
      <c r="R72" s="2359" t="s">
        <v>2375</v>
      </c>
    </row>
    <row r="73" spans="1:18" s="2040" customFormat="1" ht="15.75" thickBot="1">
      <c r="A73" s="2077"/>
      <c r="B73" s="2078"/>
      <c r="C73" s="2078"/>
      <c r="K73" s="2067"/>
      <c r="O73" s="2361" t="s">
        <v>2398</v>
      </c>
      <c r="P73" s="2367" t="s">
        <v>2399</v>
      </c>
      <c r="Q73" s="2362">
        <f ca="1">F43</f>
        <v>0</v>
      </c>
      <c r="R73" s="2363"/>
    </row>
    <row r="74" spans="1:18" s="2040" customFormat="1" ht="15.75" thickBot="1">
      <c r="A74" s="2077"/>
      <c r="B74" s="2078"/>
      <c r="C74" s="2078"/>
      <c r="K74" s="2067"/>
      <c r="O74" s="2361" t="s">
        <v>2381</v>
      </c>
      <c r="P74" s="2359" t="s">
        <v>2388</v>
      </c>
      <c r="Q74" s="2362">
        <f>L53</f>
        <v>0</v>
      </c>
      <c r="R74" s="2363"/>
    </row>
    <row r="75" spans="1:18" s="2040" customFormat="1" ht="20.25" thickBot="1">
      <c r="A75" s="2077"/>
      <c r="B75" s="2078"/>
      <c r="C75" s="2078"/>
      <c r="K75" s="2067"/>
      <c r="O75" s="2361" t="s">
        <v>2383</v>
      </c>
      <c r="P75" s="2359" t="s">
        <v>2389</v>
      </c>
      <c r="Q75" s="2360">
        <f ca="1">L59</f>
        <v>0</v>
      </c>
      <c r="R75" s="2363" t="s">
        <v>2390</v>
      </c>
    </row>
    <row r="76" spans="1:18" s="2040" customFormat="1" ht="20.25" thickBot="1">
      <c r="A76" s="2077"/>
      <c r="B76" s="2078"/>
      <c r="C76" s="2078"/>
      <c r="K76" s="2067"/>
      <c r="O76" s="2361" t="s">
        <v>2412</v>
      </c>
      <c r="P76" s="2359" t="s">
        <v>2391</v>
      </c>
      <c r="Q76" s="2360">
        <f ca="1">L60</f>
        <v>0</v>
      </c>
      <c r="R76" s="2363" t="s">
        <v>2392</v>
      </c>
    </row>
    <row r="77" spans="1:18" s="2040" customFormat="1" ht="15.75" thickBot="1">
      <c r="A77" s="2077"/>
      <c r="B77" s="2078"/>
      <c r="C77" s="2078"/>
      <c r="K77" s="2067"/>
      <c r="O77" s="2358" t="s">
        <v>2386</v>
      </c>
      <c r="P77" s="2359" t="s">
        <v>2403</v>
      </c>
      <c r="Q77" s="2360" t="e">
        <f ca="1">Q67+Q68</f>
        <v>#DIV/0!</v>
      </c>
      <c r="R77" s="2363" t="s">
        <v>2387</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13" t="s">
        <v>2465</v>
      </c>
      <c r="B1" s="3914"/>
      <c r="C1" s="3915"/>
      <c r="D1" s="3916">
        <f>SUM(I10,I15,I20,I21,I23)</f>
        <v>0</v>
      </c>
      <c r="E1" s="3916"/>
      <c r="F1" s="3916"/>
      <c r="G1" s="3916"/>
      <c r="H1" s="3916"/>
      <c r="I1" s="3917"/>
    </row>
    <row r="2" spans="1:9">
      <c r="A2" s="3918" t="s">
        <v>2466</v>
      </c>
      <c r="B2" s="3919" t="s">
        <v>2467</v>
      </c>
      <c r="C2" s="3919"/>
      <c r="D2" s="2467" t="s">
        <v>2468</v>
      </c>
      <c r="E2" s="2467" t="s">
        <v>2469</v>
      </c>
      <c r="F2" s="2467" t="s">
        <v>2470</v>
      </c>
      <c r="G2" s="2467" t="s">
        <v>2471</v>
      </c>
      <c r="H2" s="2467" t="s">
        <v>2472</v>
      </c>
      <c r="I2" s="2468" t="s">
        <v>2473</v>
      </c>
    </row>
    <row r="3" spans="1:9">
      <c r="A3" s="3918"/>
      <c r="B3" s="3919" t="s">
        <v>2474</v>
      </c>
      <c r="C3" s="3919"/>
      <c r="D3" s="2469"/>
      <c r="E3" s="2467"/>
      <c r="F3" s="2470"/>
      <c r="G3" s="2470"/>
      <c r="H3" s="2471"/>
      <c r="I3" s="2472">
        <f>ROUND(D3*E3*F3*G3*H3/10000,0)</f>
        <v>0</v>
      </c>
    </row>
    <row r="4" spans="1:9">
      <c r="A4" s="3918"/>
      <c r="B4" s="3919" t="s">
        <v>2475</v>
      </c>
      <c r="C4" s="3919"/>
      <c r="D4" s="2469"/>
      <c r="E4" s="2467"/>
      <c r="F4" s="2470"/>
      <c r="G4" s="2470"/>
      <c r="H4" s="2471"/>
      <c r="I4" s="2472">
        <f t="shared" ref="I4:I9" si="0">ROUND(D4*E4*F4*G4*H4/10000,0)</f>
        <v>0</v>
      </c>
    </row>
    <row r="5" spans="1:9">
      <c r="A5" s="3918"/>
      <c r="B5" s="3919" t="s">
        <v>2476</v>
      </c>
      <c r="C5" s="3919"/>
      <c r="D5" s="2469"/>
      <c r="E5" s="2467"/>
      <c r="F5" s="2470"/>
      <c r="G5" s="2470"/>
      <c r="H5" s="2471"/>
      <c r="I5" s="2472">
        <f t="shared" si="0"/>
        <v>0</v>
      </c>
    </row>
    <row r="6" spans="1:9">
      <c r="A6" s="3918"/>
      <c r="B6" s="3919" t="s">
        <v>2477</v>
      </c>
      <c r="C6" s="3919"/>
      <c r="D6" s="2469"/>
      <c r="E6" s="2467"/>
      <c r="F6" s="2470"/>
      <c r="G6" s="2470"/>
      <c r="H6" s="2471"/>
      <c r="I6" s="2472">
        <f t="shared" si="0"/>
        <v>0</v>
      </c>
    </row>
    <row r="7" spans="1:9">
      <c r="A7" s="3918"/>
      <c r="B7" s="3919" t="s">
        <v>2478</v>
      </c>
      <c r="C7" s="3919"/>
      <c r="D7" s="2469"/>
      <c r="E7" s="2467"/>
      <c r="F7" s="2470"/>
      <c r="G7" s="2470"/>
      <c r="H7" s="2471"/>
      <c r="I7" s="2472">
        <f t="shared" si="0"/>
        <v>0</v>
      </c>
    </row>
    <row r="8" spans="1:9">
      <c r="A8" s="3918"/>
      <c r="B8" s="3919" t="s">
        <v>2479</v>
      </c>
      <c r="C8" s="3919"/>
      <c r="D8" s="2469"/>
      <c r="E8" s="2467"/>
      <c r="F8" s="2470"/>
      <c r="G8" s="2470"/>
      <c r="H8" s="2471"/>
      <c r="I8" s="2472">
        <f t="shared" si="0"/>
        <v>0</v>
      </c>
    </row>
    <row r="9" spans="1:9">
      <c r="A9" s="3918"/>
      <c r="B9" s="3919" t="s">
        <v>2480</v>
      </c>
      <c r="C9" s="3919"/>
      <c r="D9" s="2469"/>
      <c r="E9" s="2467"/>
      <c r="F9" s="2470"/>
      <c r="G9" s="2470"/>
      <c r="H9" s="2471"/>
      <c r="I9" s="2472">
        <f t="shared" si="0"/>
        <v>0</v>
      </c>
    </row>
    <row r="10" spans="1:9">
      <c r="A10" s="3918"/>
      <c r="B10" s="3920" t="s">
        <v>2481</v>
      </c>
      <c r="C10" s="3920"/>
      <c r="D10" s="2473">
        <v>527</v>
      </c>
      <c r="E10" s="2473" t="e">
        <f>ROUND(D1*10000/D10/H9,0)</f>
        <v>#DIV/0!</v>
      </c>
      <c r="F10" s="2474"/>
      <c r="G10" s="2474"/>
      <c r="H10" s="2475"/>
      <c r="I10" s="2476">
        <f>SUM(I3:I9)</f>
        <v>0</v>
      </c>
    </row>
    <row r="11" spans="1:9" ht="14.25">
      <c r="A11" s="3918" t="s">
        <v>2482</v>
      </c>
      <c r="B11" s="3919" t="s">
        <v>2483</v>
      </c>
      <c r="C11" s="3919"/>
      <c r="D11" s="2469" t="s">
        <v>2484</v>
      </c>
      <c r="E11" s="2469" t="s">
        <v>2485</v>
      </c>
      <c r="F11" s="2470" t="s">
        <v>2486</v>
      </c>
      <c r="G11" s="2470" t="s">
        <v>2487</v>
      </c>
      <c r="H11" s="2477" t="s">
        <v>2488</v>
      </c>
      <c r="I11" s="2468" t="s">
        <v>2489</v>
      </c>
    </row>
    <row r="12" spans="1:9">
      <c r="A12" s="3918"/>
      <c r="B12" s="3919" t="s">
        <v>2490</v>
      </c>
      <c r="C12" s="3919"/>
      <c r="D12" s="2469"/>
      <c r="E12" s="2469"/>
      <c r="F12" s="2470"/>
      <c r="G12" s="2471"/>
      <c r="H12" s="2478"/>
      <c r="I12" s="2468">
        <f>ROUND(D12*E12*F12*G12/10000,0)</f>
        <v>0</v>
      </c>
    </row>
    <row r="13" spans="1:9">
      <c r="A13" s="3918"/>
      <c r="B13" s="3919" t="s">
        <v>2491</v>
      </c>
      <c r="C13" s="3919"/>
      <c r="D13" s="2469"/>
      <c r="E13" s="2469"/>
      <c r="F13" s="2470"/>
      <c r="G13" s="2471"/>
      <c r="H13" s="2478"/>
      <c r="I13" s="2468">
        <f>ROUND(D13*E13*F13*G13/10000,0)</f>
        <v>0</v>
      </c>
    </row>
    <row r="14" spans="1:9">
      <c r="A14" s="3918"/>
      <c r="B14" s="3919" t="s">
        <v>2492</v>
      </c>
      <c r="C14" s="3919"/>
      <c r="D14" s="2469"/>
      <c r="E14" s="2469"/>
      <c r="F14" s="2470"/>
      <c r="G14" s="2471"/>
      <c r="H14" s="2478"/>
      <c r="I14" s="2468">
        <f>ROUND(D14*E14*F14*G14/10000,0)</f>
        <v>0</v>
      </c>
    </row>
    <row r="15" spans="1:9">
      <c r="A15" s="3918"/>
      <c r="B15" s="3920" t="s">
        <v>2481</v>
      </c>
      <c r="C15" s="3920"/>
      <c r="D15" s="2473"/>
      <c r="E15" s="2473">
        <f>SUM(E12:E14)</f>
        <v>0</v>
      </c>
      <c r="F15" s="2474"/>
      <c r="G15" s="2471"/>
      <c r="H15" s="2478"/>
      <c r="I15" s="2479">
        <f>SUM(I12:I14)</f>
        <v>0</v>
      </c>
    </row>
    <row r="16" spans="1:9" ht="24">
      <c r="A16" s="3918" t="s">
        <v>2493</v>
      </c>
      <c r="B16" s="3919" t="s">
        <v>2494</v>
      </c>
      <c r="C16" s="3919"/>
      <c r="D16" s="2469" t="s">
        <v>2495</v>
      </c>
      <c r="E16" s="2480" t="s">
        <v>2496</v>
      </c>
      <c r="F16" s="2470" t="s">
        <v>2497</v>
      </c>
      <c r="G16" s="2471" t="s">
        <v>2487</v>
      </c>
      <c r="H16" s="2477" t="s">
        <v>2488</v>
      </c>
      <c r="I16" s="2468" t="s">
        <v>2489</v>
      </c>
    </row>
    <row r="17" spans="1:9" ht="14.25">
      <c r="A17" s="3918"/>
      <c r="B17" s="3919" t="s">
        <v>2498</v>
      </c>
      <c r="C17" s="3919"/>
      <c r="D17" s="2469"/>
      <c r="E17" s="2469"/>
      <c r="F17" s="2470"/>
      <c r="G17" s="2471"/>
      <c r="H17" s="2481"/>
      <c r="I17" s="2482">
        <f>ROUND(D17*E17*F17*G17/10000,0)</f>
        <v>0</v>
      </c>
    </row>
    <row r="18" spans="1:9" ht="14.25">
      <c r="A18" s="3918"/>
      <c r="B18" s="3919" t="s">
        <v>2499</v>
      </c>
      <c r="C18" s="3919"/>
      <c r="D18" s="2469"/>
      <c r="E18" s="2469"/>
      <c r="F18" s="2470"/>
      <c r="G18" s="2471"/>
      <c r="H18" s="2481"/>
      <c r="I18" s="2482">
        <f>ROUND(D18*E18*F18*G18/10000,0)</f>
        <v>0</v>
      </c>
    </row>
    <row r="19" spans="1:9" ht="14.25">
      <c r="A19" s="3918"/>
      <c r="B19" s="3919" t="s">
        <v>2500</v>
      </c>
      <c r="C19" s="3919"/>
      <c r="D19" s="2469"/>
      <c r="E19" s="2469"/>
      <c r="F19" s="2470"/>
      <c r="G19" s="2471"/>
      <c r="H19" s="2481"/>
      <c r="I19" s="2482">
        <f>ROUND(D19*E19*F19*G19/10000,0)</f>
        <v>0</v>
      </c>
    </row>
    <row r="20" spans="1:9">
      <c r="A20" s="3918"/>
      <c r="B20" s="3920" t="s">
        <v>2481</v>
      </c>
      <c r="C20" s="3920"/>
      <c r="D20" s="2473">
        <f>SUM(D17:D19)</f>
        <v>0</v>
      </c>
      <c r="E20" s="2473"/>
      <c r="F20" s="2474"/>
      <c r="G20" s="2471"/>
      <c r="H20" s="2478"/>
      <c r="I20" s="2479">
        <f>SUM(I17:I19)</f>
        <v>0</v>
      </c>
    </row>
    <row r="21" spans="1:9">
      <c r="A21" s="3918" t="s">
        <v>2501</v>
      </c>
      <c r="B21" s="3922"/>
      <c r="C21" s="3922"/>
      <c r="D21" s="3922"/>
      <c r="E21" s="3922"/>
      <c r="F21" s="3922"/>
      <c r="G21" s="3922"/>
      <c r="H21" s="2483">
        <v>0.1</v>
      </c>
      <c r="I21" s="2476">
        <f>ROUND(I10*H21,0)</f>
        <v>0</v>
      </c>
    </row>
    <row r="22" spans="1:9" ht="14.25">
      <c r="A22" s="3923" t="s">
        <v>2502</v>
      </c>
      <c r="B22" s="3924"/>
      <c r="C22" s="3925"/>
      <c r="D22" s="2484" t="s">
        <v>2503</v>
      </c>
      <c r="E22" s="2484" t="s">
        <v>2504</v>
      </c>
      <c r="F22" s="2485" t="s">
        <v>2505</v>
      </c>
      <c r="G22" s="2485" t="s">
        <v>2506</v>
      </c>
      <c r="H22" s="2477" t="s">
        <v>2507</v>
      </c>
      <c r="I22" s="2468" t="s">
        <v>2508</v>
      </c>
    </row>
    <row r="23" spans="1:9" ht="14.25" thickBot="1">
      <c r="A23" s="3926"/>
      <c r="B23" s="3927"/>
      <c r="C23" s="3928"/>
      <c r="D23" s="2486"/>
      <c r="E23" s="2486"/>
      <c r="F23" s="2486"/>
      <c r="G23" s="2487"/>
      <c r="H23" s="2488"/>
      <c r="I23" s="2489">
        <f>ROUND(E23*D23*F23*(1-G23)/10000,0)</f>
        <v>0</v>
      </c>
    </row>
    <row r="26" spans="1:9">
      <c r="A26" s="2490" t="s">
        <v>2509</v>
      </c>
      <c r="B26" s="2490"/>
      <c r="C26" s="2490"/>
      <c r="D26" s="2490"/>
      <c r="E26" s="3929">
        <f>C27-C30-C31-C32</f>
        <v>0</v>
      </c>
      <c r="F26" s="3929"/>
      <c r="G26" s="3929"/>
      <c r="H26" s="2990" t="s">
        <v>2837</v>
      </c>
    </row>
    <row r="27" spans="1:9">
      <c r="A27" s="2491">
        <v>1</v>
      </c>
      <c r="B27" s="2492" t="s">
        <v>2510</v>
      </c>
      <c r="C27" s="2492"/>
      <c r="D27" s="2492"/>
      <c r="E27" s="3930"/>
      <c r="F27" s="3930"/>
      <c r="G27" s="3930"/>
    </row>
    <row r="28" spans="1:9">
      <c r="A28" s="2493" t="s">
        <v>2511</v>
      </c>
      <c r="B28" s="2492" t="s">
        <v>2512</v>
      </c>
      <c r="C28" s="2492"/>
      <c r="D28" s="2492"/>
      <c r="E28" s="3930"/>
      <c r="F28" s="3930"/>
      <c r="G28" s="3930"/>
    </row>
    <row r="29" spans="1:9">
      <c r="A29" s="2493" t="s">
        <v>2513</v>
      </c>
      <c r="B29" s="2492" t="s">
        <v>2454</v>
      </c>
      <c r="C29" s="2492"/>
      <c r="D29" s="2492"/>
      <c r="E29" s="2492" t="s">
        <v>2514</v>
      </c>
      <c r="F29" s="2492"/>
      <c r="G29" s="2492"/>
    </row>
    <row r="30" spans="1:9">
      <c r="A30" s="2491">
        <v>2</v>
      </c>
      <c r="B30" s="2492" t="s">
        <v>2515</v>
      </c>
      <c r="C30" s="2492">
        <f>C27*D30</f>
        <v>0</v>
      </c>
      <c r="D30" s="2494">
        <v>0.2</v>
      </c>
      <c r="E30" s="2492" t="s">
        <v>2516</v>
      </c>
      <c r="F30" s="2492"/>
      <c r="G30" s="2492"/>
    </row>
    <row r="31" spans="1:9">
      <c r="A31" s="2491">
        <v>3</v>
      </c>
      <c r="B31" s="2492" t="s">
        <v>2517</v>
      </c>
      <c r="C31" s="2492">
        <f>C25*D31</f>
        <v>0</v>
      </c>
      <c r="D31" s="2494">
        <v>0.15</v>
      </c>
      <c r="E31" s="2492" t="s">
        <v>2518</v>
      </c>
      <c r="F31" s="2492"/>
      <c r="G31" s="2492"/>
    </row>
    <row r="32" spans="1:9">
      <c r="A32" s="2491">
        <v>4</v>
      </c>
      <c r="B32" s="2492" t="s">
        <v>2519</v>
      </c>
      <c r="C32" s="2492">
        <f>C27*D32</f>
        <v>0</v>
      </c>
      <c r="D32" s="2494">
        <v>0.05</v>
      </c>
      <c r="E32" s="3921"/>
      <c r="F32" s="3921"/>
      <c r="G32" s="3921"/>
    </row>
    <row r="33" spans="1:7" hidden="1">
      <c r="A33" s="3931" t="s">
        <v>2520</v>
      </c>
      <c r="B33" s="3932"/>
      <c r="C33" s="3932"/>
      <c r="D33" s="3933"/>
      <c r="E33" s="3929"/>
      <c r="F33" s="3929"/>
      <c r="G33" s="3929"/>
    </row>
    <row r="34" spans="1:7" hidden="1">
      <c r="A34" s="2495">
        <v>1</v>
      </c>
      <c r="B34" s="2492" t="s">
        <v>2521</v>
      </c>
      <c r="C34" s="2492"/>
      <c r="D34" s="2492"/>
      <c r="E34" s="3930"/>
      <c r="F34" s="3930"/>
      <c r="G34" s="3930"/>
    </row>
    <row r="35" spans="1:7" hidden="1">
      <c r="A35" s="2495">
        <v>2</v>
      </c>
      <c r="B35" s="2492" t="s">
        <v>2522</v>
      </c>
      <c r="C35" s="2492"/>
      <c r="D35" s="2492"/>
      <c r="E35" s="3930"/>
      <c r="F35" s="3930"/>
      <c r="G35" s="3930"/>
    </row>
    <row r="36" spans="1:7" hidden="1">
      <c r="A36" s="2495">
        <v>3</v>
      </c>
      <c r="B36" s="2492" t="s">
        <v>2523</v>
      </c>
      <c r="C36" s="2492"/>
      <c r="D36" s="2492"/>
      <c r="E36" s="3930"/>
      <c r="F36" s="3930"/>
      <c r="G36" s="3930"/>
    </row>
    <row r="37" spans="1:7" hidden="1">
      <c r="A37" s="2495">
        <v>4</v>
      </c>
      <c r="B37" s="2492" t="s">
        <v>2524</v>
      </c>
      <c r="C37" s="2492"/>
      <c r="D37" s="2492"/>
      <c r="E37" s="3930"/>
      <c r="F37" s="3930"/>
      <c r="G37" s="3930"/>
    </row>
    <row r="38" spans="1:7" hidden="1">
      <c r="A38" s="3931" t="s">
        <v>2525</v>
      </c>
      <c r="B38" s="3932"/>
      <c r="C38" s="3932"/>
      <c r="D38" s="3933"/>
      <c r="E38" s="3929"/>
      <c r="F38" s="3929"/>
      <c r="G38" s="39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9" t="s">
        <v>600</v>
      </c>
      <c r="B1" s="740"/>
      <c r="C1" s="2163"/>
      <c r="D1" s="2163"/>
      <c r="E1" s="2163"/>
      <c r="F1" s="2163"/>
      <c r="G1" s="2089"/>
    </row>
    <row r="2" spans="1:25" s="2040" customFormat="1" ht="18" customHeight="1">
      <c r="A2" s="421" t="s">
        <v>464</v>
      </c>
      <c r="B2" s="423">
        <f ca="1">C23</f>
        <v>1221</v>
      </c>
      <c r="C2" s="2089"/>
      <c r="D2" s="2089"/>
      <c r="E2" s="2089"/>
      <c r="F2" s="2089"/>
      <c r="G2" s="2089"/>
    </row>
    <row r="3" spans="1:25" s="2040" customFormat="1" ht="18" customHeight="1">
      <c r="A3" s="1372" t="s">
        <v>1682</v>
      </c>
      <c r="B3" s="423">
        <f ca="1">ROUND(B2*10000/'数据-汇总表'!E3,0)</f>
        <v>249</v>
      </c>
      <c r="C3" s="2089"/>
      <c r="D3" s="2089"/>
      <c r="E3" s="2089"/>
      <c r="F3" s="2089"/>
      <c r="G3" s="2089"/>
    </row>
    <row r="4" spans="1:25" s="2040" customFormat="1" ht="18" customHeight="1">
      <c r="A4" s="424" t="s">
        <v>465</v>
      </c>
      <c r="B4" s="425">
        <f ca="1">ROUND(B2*10000/'数据-汇总表'!D3,0)</f>
        <v>414</v>
      </c>
      <c r="C4" s="2042"/>
      <c r="D4" s="2089"/>
      <c r="E4" s="2089"/>
      <c r="F4" s="2089"/>
      <c r="G4" s="2089"/>
    </row>
    <row r="5" spans="1:25" s="2040" customFormat="1" ht="18" customHeight="1" thickBot="1">
      <c r="A5" s="427"/>
      <c r="B5" s="428">
        <f ca="1">ROUND(B2/('数据-汇总表'!D3/666.67),0)</f>
        <v>28</v>
      </c>
      <c r="C5" s="429" t="s">
        <v>466</v>
      </c>
      <c r="D5" s="2089"/>
      <c r="E5" s="2089"/>
      <c r="F5" s="2089"/>
      <c r="G5" s="2089"/>
    </row>
    <row r="6" spans="1:25" s="2164" customFormat="1" ht="13.5" customHeight="1">
      <c r="A6" s="741"/>
      <c r="B6" s="742" t="s">
        <v>601</v>
      </c>
      <c r="C6" s="743" t="s">
        <v>602</v>
      </c>
      <c r="D6" s="743" t="s">
        <v>603</v>
      </c>
      <c r="E6" s="744" t="s">
        <v>604</v>
      </c>
      <c r="F6" s="744" t="s">
        <v>605</v>
      </c>
      <c r="G6" s="745"/>
    </row>
    <row r="7" spans="1:25" s="2164" customFormat="1" ht="13.5" customHeight="1">
      <c r="A7" s="2429">
        <v>1</v>
      </c>
      <c r="B7" s="746" t="s">
        <v>606</v>
      </c>
      <c r="C7" s="747">
        <f>C8+C9</f>
        <v>0</v>
      </c>
      <c r="D7" s="747"/>
      <c r="E7" s="748"/>
      <c r="F7" s="748"/>
      <c r="G7" s="2439"/>
    </row>
    <row r="8" spans="1:25" s="2164" customFormat="1" ht="13.5" customHeight="1">
      <c r="A8" s="2429" t="s">
        <v>2435</v>
      </c>
      <c r="B8" s="2432" t="s">
        <v>2437</v>
      </c>
      <c r="C8" s="2433"/>
      <c r="D8" s="747"/>
      <c r="E8" s="748"/>
      <c r="F8" s="748"/>
      <c r="G8" s="749"/>
    </row>
    <row r="9" spans="1:25" s="2164" customFormat="1" ht="13.5" customHeight="1">
      <c r="A9" s="2429" t="s">
        <v>2436</v>
      </c>
      <c r="B9" s="2432" t="s">
        <v>2438</v>
      </c>
      <c r="C9" s="2433"/>
      <c r="D9" s="747"/>
      <c r="E9" s="748"/>
      <c r="F9" s="748"/>
      <c r="G9" s="749"/>
    </row>
    <row r="10" spans="1:25" s="2164" customFormat="1" ht="36">
      <c r="A10" s="2429">
        <v>2</v>
      </c>
      <c r="B10" s="746" t="s">
        <v>610</v>
      </c>
      <c r="C10" s="747">
        <f>C11+C14+C15</f>
        <v>1079</v>
      </c>
      <c r="D10" s="758">
        <f>'数据-汇总表'!E3</f>
        <v>49030.880000000005</v>
      </c>
      <c r="E10" s="747">
        <f>'数据-取费表'!B31</f>
        <v>100</v>
      </c>
      <c r="F10" s="759"/>
      <c r="G10" s="757" t="s">
        <v>611</v>
      </c>
    </row>
    <row r="11" spans="1:25" s="2164" customFormat="1" ht="13.5" customHeight="1">
      <c r="A11" s="2429" t="s">
        <v>2435</v>
      </c>
      <c r="B11" s="750" t="s">
        <v>607</v>
      </c>
      <c r="C11" s="751">
        <f>'数据-取费表'!B29</f>
        <v>1079</v>
      </c>
      <c r="D11" s="752"/>
      <c r="E11" s="751"/>
      <c r="F11" s="753"/>
      <c r="G11" s="2438" t="s">
        <v>2446</v>
      </c>
    </row>
    <row r="12" spans="1:25" s="2164" customFormat="1" ht="13.5" customHeight="1">
      <c r="A12" s="2436" t="s">
        <v>2443</v>
      </c>
      <c r="B12" s="754" t="s">
        <v>608</v>
      </c>
      <c r="C12" s="755">
        <f>ROUND(D12*E12/10000,0)</f>
        <v>768</v>
      </c>
      <c r="D12" s="756">
        <f>'数据-汇总表'!E5</f>
        <v>34901.61</v>
      </c>
      <c r="E12" s="755">
        <f>'数据-取费表'!B27</f>
        <v>220</v>
      </c>
      <c r="F12" s="753"/>
      <c r="G12" s="757"/>
    </row>
    <row r="13" spans="1:25" s="2164" customFormat="1" ht="13.5" customHeight="1">
      <c r="A13" s="2436" t="s">
        <v>2442</v>
      </c>
      <c r="B13" s="754" t="s">
        <v>609</v>
      </c>
      <c r="C13" s="755">
        <f>ROUND(D13*E13/10000,0)</f>
        <v>311</v>
      </c>
      <c r="D13" s="756">
        <f>'数据-汇总表'!E6</f>
        <v>14129.270000000004</v>
      </c>
      <c r="E13" s="755">
        <f>'数据-取费表'!B28</f>
        <v>220</v>
      </c>
      <c r="F13" s="753"/>
      <c r="G13" s="757"/>
    </row>
    <row r="14" spans="1:25" s="2164" customFormat="1" ht="13.5" customHeight="1">
      <c r="A14" s="2429" t="s">
        <v>2436</v>
      </c>
      <c r="B14" s="2435" t="s">
        <v>2439</v>
      </c>
      <c r="C14" s="2433"/>
      <c r="D14" s="756"/>
      <c r="E14" s="755"/>
      <c r="F14" s="2434"/>
      <c r="G14" s="2437" t="s">
        <v>2444</v>
      </c>
    </row>
    <row r="15" spans="1:25" s="2164" customFormat="1" ht="13.5" customHeight="1">
      <c r="A15" s="2429" t="s">
        <v>2441</v>
      </c>
      <c r="B15" s="2435" t="s">
        <v>2440</v>
      </c>
      <c r="C15" s="2433"/>
      <c r="D15" s="756"/>
      <c r="E15" s="755"/>
      <c r="F15" s="2434"/>
      <c r="G15" s="2437" t="s">
        <v>2445</v>
      </c>
    </row>
    <row r="16" spans="1:25" s="2165" customFormat="1" ht="48">
      <c r="A16" s="2429">
        <v>3</v>
      </c>
      <c r="B16" s="746" t="s">
        <v>612</v>
      </c>
      <c r="C16" s="2433"/>
      <c r="D16" s="758"/>
      <c r="E16" s="747"/>
      <c r="F16" s="759"/>
      <c r="G16" s="757" t="s">
        <v>2447</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613</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614</v>
      </c>
      <c r="C18" s="747">
        <f>ROUND((C7+C10+C16)*F18,0)</f>
        <v>270</v>
      </c>
      <c r="D18" s="760"/>
      <c r="E18" s="761"/>
      <c r="F18" s="759">
        <f>'数据-取费表'!Q16</f>
        <v>0.25</v>
      </c>
      <c r="G18" s="763" t="s">
        <v>615</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616</v>
      </c>
      <c r="C19" s="747">
        <f ca="1">C7+C10+C16+C17+C18</f>
        <v>1349</v>
      </c>
      <c r="D19" s="758"/>
      <c r="E19" s="747"/>
      <c r="F19" s="759"/>
      <c r="G19" s="763" t="s">
        <v>617</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618</v>
      </c>
      <c r="C20" s="747">
        <f ca="1">ROUND(C19*F20,0)</f>
        <v>0</v>
      </c>
      <c r="D20" s="758"/>
      <c r="E20" s="747"/>
      <c r="F20" s="1343"/>
      <c r="G20" s="763" t="s">
        <v>619</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620</v>
      </c>
      <c r="C21" s="747">
        <f ca="1">C19+C20</f>
        <v>1349</v>
      </c>
      <c r="D21" s="758"/>
      <c r="E21" s="747"/>
      <c r="F21" s="759"/>
      <c r="G21" s="763" t="s">
        <v>621</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622</v>
      </c>
      <c r="C22" s="747">
        <f ca="1">ROUND(C21*F22,0)</f>
        <v>1221</v>
      </c>
      <c r="D22" s="758"/>
      <c r="E22" s="747"/>
      <c r="F22" s="764">
        <f>'数据-取费表'!AP16</f>
        <v>0.90500000000000003</v>
      </c>
      <c r="G22" s="763" t="s">
        <v>623</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624</v>
      </c>
      <c r="C23" s="766">
        <f ca="1">C22</f>
        <v>1221</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29475.73平方米。根据《建设工程规划许可证》[]、《出让合同》[]，估价对象规划建筑面积为49030.88平方米。</v>
      </c>
    </row>
    <row r="7" spans="1:4" ht="93.75">
      <c r="A7" s="2824" t="s">
        <v>2742</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根据《国有土地使用证》[]，估价对象（分摊）出让国有建设用地使用权面积为29475.73平方米。根据《建设工程规划许可证》[]、《出让合同》[]，估价对象规划建筑面积为49030.88平方米。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6" t="s">
        <v>2743</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3" t="s">
        <v>716</v>
      </c>
      <c r="C1" s="2584" t="s">
        <v>717</v>
      </c>
      <c r="D1" s="2585"/>
      <c r="E1" s="2586"/>
      <c r="F1" s="2758"/>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464</v>
      </c>
      <c r="B2" s="2582" t="e">
        <f>ROUND(B3*D3/10000,0)</f>
        <v>#DIV/0!</v>
      </c>
      <c r="C2" s="2108"/>
      <c r="D2" s="2108"/>
      <c r="E2" s="2108"/>
      <c r="F2" s="2182"/>
      <c r="G2" s="2108"/>
      <c r="H2" s="2108"/>
      <c r="I2" s="2108"/>
      <c r="J2" s="2108"/>
      <c r="K2" s="2183"/>
      <c r="L2" s="2184"/>
      <c r="M2" s="2185"/>
      <c r="N2" s="2185"/>
      <c r="O2" s="2185"/>
      <c r="P2" s="1584"/>
      <c r="Q2" s="1584"/>
      <c r="R2" s="1584"/>
      <c r="S2" s="1584"/>
      <c r="T2" s="1584"/>
      <c r="U2" s="1584"/>
      <c r="V2" s="1584"/>
      <c r="W2" s="1584"/>
      <c r="X2" s="1584"/>
      <c r="Y2" s="1584"/>
      <c r="Z2" s="1584"/>
      <c r="AA2" s="1584"/>
      <c r="AB2" s="1584"/>
      <c r="AC2" s="1585"/>
    </row>
    <row r="3" spans="1:29" s="1356" customFormat="1" ht="28.5" customHeight="1" thickBot="1">
      <c r="A3" s="507" t="s">
        <v>516</v>
      </c>
      <c r="B3" s="849" t="e">
        <f>C49</f>
        <v>#DIV/0!</v>
      </c>
      <c r="C3" s="850" t="s">
        <v>719</v>
      </c>
      <c r="D3" s="849">
        <f>SUMIF('数据-汇总表'!$C19:$C33,D1,'数据-汇总表'!$E19:$E33)</f>
        <v>0</v>
      </c>
      <c r="E3" s="2108"/>
      <c r="F3" s="2182"/>
      <c r="G3" s="2108"/>
      <c r="H3" s="2108"/>
      <c r="I3" s="2108"/>
      <c r="J3" s="2108"/>
      <c r="K3" s="2183"/>
      <c r="L3" s="2184"/>
      <c r="M3" s="2185"/>
      <c r="N3" s="2185"/>
      <c r="O3" s="2185"/>
      <c r="P3" s="1584"/>
      <c r="Q3" s="1584"/>
      <c r="R3" s="1584"/>
      <c r="S3" s="1584"/>
      <c r="T3" s="1584"/>
      <c r="U3" s="1584"/>
      <c r="V3" s="1584"/>
      <c r="W3" s="1584"/>
      <c r="X3" s="1584"/>
      <c r="Y3" s="1584"/>
      <c r="Z3" s="1584"/>
      <c r="AA3" s="1584"/>
      <c r="AB3" s="1584"/>
      <c r="AC3" s="1586"/>
    </row>
    <row r="4" spans="1:29" ht="15">
      <c r="A4" s="510" t="s">
        <v>518</v>
      </c>
      <c r="B4" s="511"/>
      <c r="C4" s="3830" t="s">
        <v>519</v>
      </c>
      <c r="D4" s="3831"/>
      <c r="E4" s="3864" t="s">
        <v>520</v>
      </c>
      <c r="F4" s="3865"/>
      <c r="G4" s="3830" t="s">
        <v>521</v>
      </c>
      <c r="H4" s="3831"/>
      <c r="I4" s="3830" t="s">
        <v>522</v>
      </c>
      <c r="J4" s="3831"/>
      <c r="K4" s="851" t="s">
        <v>523</v>
      </c>
      <c r="L4" s="2114"/>
      <c r="M4" s="2115"/>
      <c r="N4" s="2115"/>
      <c r="O4" s="2115"/>
      <c r="P4" s="3832" t="s">
        <v>524</v>
      </c>
      <c r="Q4" s="3833"/>
      <c r="R4" s="3838" t="s">
        <v>520</v>
      </c>
      <c r="S4" s="3839"/>
      <c r="T4" s="3838" t="s">
        <v>521</v>
      </c>
      <c r="U4" s="3839"/>
      <c r="V4" s="3825" t="s">
        <v>522</v>
      </c>
      <c r="W4" s="3825"/>
      <c r="X4" s="1550"/>
      <c r="Y4" s="3838" t="s">
        <v>524</v>
      </c>
      <c r="Z4" s="3839"/>
      <c r="AA4" s="3827" t="s">
        <v>520</v>
      </c>
      <c r="AB4" s="3827" t="s">
        <v>521</v>
      </c>
      <c r="AC4" s="3827" t="s">
        <v>522</v>
      </c>
    </row>
    <row r="5" spans="1:29" ht="15">
      <c r="A5" s="513"/>
      <c r="B5" s="514"/>
      <c r="C5" s="3846" t="s">
        <v>2924</v>
      </c>
      <c r="D5" s="3847"/>
      <c r="E5" s="3866" t="s">
        <v>2925</v>
      </c>
      <c r="F5" s="3867"/>
      <c r="G5" s="3846" t="s">
        <v>2926</v>
      </c>
      <c r="H5" s="3847"/>
      <c r="I5" s="3846" t="s">
        <v>2927</v>
      </c>
      <c r="J5" s="3847"/>
      <c r="K5" s="852"/>
      <c r="L5" s="2114"/>
      <c r="M5" s="2115"/>
      <c r="N5" s="2115"/>
      <c r="O5" s="2115"/>
      <c r="P5" s="3834"/>
      <c r="Q5" s="3835"/>
      <c r="R5" s="3840"/>
      <c r="S5" s="3841"/>
      <c r="T5" s="3840"/>
      <c r="U5" s="3841"/>
      <c r="V5" s="3825"/>
      <c r="W5" s="3825"/>
      <c r="X5" s="1550"/>
      <c r="Y5" s="3840"/>
      <c r="Z5" s="3841"/>
      <c r="AA5" s="3828"/>
      <c r="AB5" s="3828"/>
      <c r="AC5" s="3828"/>
    </row>
    <row r="6" spans="1:29" ht="15.75" thickBot="1">
      <c r="A6" s="515"/>
      <c r="B6" s="516"/>
      <c r="C6" s="3844" t="s">
        <v>2928</v>
      </c>
      <c r="D6" s="3845"/>
      <c r="E6" s="3862" t="s">
        <v>2928</v>
      </c>
      <c r="F6" s="3863"/>
      <c r="G6" s="3844" t="s">
        <v>2928</v>
      </c>
      <c r="H6" s="3845"/>
      <c r="I6" s="3844" t="s">
        <v>2928</v>
      </c>
      <c r="J6" s="3845"/>
      <c r="K6" s="852" t="s">
        <v>525</v>
      </c>
      <c r="L6" s="2114"/>
      <c r="M6" s="2115"/>
      <c r="N6" s="2115"/>
      <c r="O6" s="2115"/>
      <c r="P6" s="3836"/>
      <c r="Q6" s="3837"/>
      <c r="R6" s="3840"/>
      <c r="S6" s="3841"/>
      <c r="T6" s="3842"/>
      <c r="U6" s="3843"/>
      <c r="V6" s="3825"/>
      <c r="W6" s="3825"/>
      <c r="X6" s="1550"/>
      <c r="Y6" s="3842"/>
      <c r="Z6" s="3843"/>
      <c r="AA6" s="3829"/>
      <c r="AB6" s="3829"/>
      <c r="AC6" s="3829"/>
    </row>
    <row r="7" spans="1:29" s="1214" customFormat="1" ht="15.75" thickBot="1">
      <c r="A7" s="2863"/>
      <c r="B7" s="2870" t="s">
        <v>526</v>
      </c>
      <c r="C7" s="517">
        <f>'数据-取费表'!B2</f>
        <v>43764</v>
      </c>
      <c r="D7" s="518">
        <v>100</v>
      </c>
      <c r="E7" s="519"/>
      <c r="F7" s="520">
        <f>SUMIF(58:58,YEAR(E7)&amp;"-"&amp;MONTH(E7),59:59)</f>
        <v>0</v>
      </c>
      <c r="G7" s="521"/>
      <c r="H7" s="518">
        <f>SUMIF(58:58,YEAR(G7)&amp;"-"&amp;MONTH(G7),59:59)</f>
        <v>0</v>
      </c>
      <c r="I7" s="521"/>
      <c r="J7" s="518">
        <f>SUMIF(58:58,YEAR(I7)&amp;"-"&amp;MONTH(I7),59:59)</f>
        <v>0</v>
      </c>
      <c r="K7" s="853"/>
      <c r="L7" s="2116"/>
      <c r="M7" s="2117"/>
      <c r="N7" s="2117"/>
      <c r="O7" s="2117"/>
      <c r="P7" s="3855" t="s">
        <v>527</v>
      </c>
      <c r="Q7" s="3857"/>
      <c r="R7" s="1551" t="s">
        <v>13</v>
      </c>
      <c r="S7" s="1552">
        <f t="shared" ref="S7:S15" si="0">F7</f>
        <v>0</v>
      </c>
      <c r="T7" s="1551" t="s">
        <v>13</v>
      </c>
      <c r="U7" s="1552">
        <f t="shared" ref="U7:U15" si="1">H7</f>
        <v>0</v>
      </c>
      <c r="V7" s="1551" t="s">
        <v>13</v>
      </c>
      <c r="W7" s="1552">
        <f t="shared" ref="W7:W15" si="2">J7</f>
        <v>0</v>
      </c>
      <c r="X7" s="1553"/>
      <c r="Y7" s="3855" t="s">
        <v>527</v>
      </c>
      <c r="Z7" s="3856"/>
      <c r="AA7" s="1554" t="e">
        <f>D7/F7</f>
        <v>#DIV/0!</v>
      </c>
      <c r="AB7" s="1554" t="e">
        <f>D7/H7</f>
        <v>#DIV/0!</v>
      </c>
      <c r="AC7" s="1554" t="e">
        <f>D7/J7</f>
        <v>#DIV/0!</v>
      </c>
    </row>
    <row r="8" spans="1:29" s="1214" customFormat="1" ht="15.75" thickBot="1">
      <c r="A8" s="2864"/>
      <c r="B8" s="2871" t="s">
        <v>528</v>
      </c>
      <c r="C8" s="523" t="s">
        <v>573</v>
      </c>
      <c r="D8" s="518">
        <v>100</v>
      </c>
      <c r="E8" s="854"/>
      <c r="F8" s="520">
        <f>SUMIF(61:61,E8,62:62)-SUMIF(61:61,C8,62:62)+100</f>
        <v>0</v>
      </c>
      <c r="G8" s="523"/>
      <c r="H8" s="518">
        <f>SUMIF(61:61,G8,62:62)-SUMIF(61:61,C8,62:62)+100</f>
        <v>0</v>
      </c>
      <c r="I8" s="854"/>
      <c r="J8" s="518">
        <f>SUMIF(61:61,I8,62:62)-SUMIF(61:61,C8,62:62)+100</f>
        <v>0</v>
      </c>
      <c r="K8" s="853"/>
      <c r="L8" s="2116"/>
      <c r="M8" s="2117"/>
      <c r="N8" s="2117"/>
      <c r="O8" s="2117"/>
      <c r="P8" s="3855" t="s">
        <v>530</v>
      </c>
      <c r="Q8" s="3856"/>
      <c r="R8" s="1551" t="s">
        <v>13</v>
      </c>
      <c r="S8" s="1552">
        <f t="shared" si="0"/>
        <v>0</v>
      </c>
      <c r="T8" s="1551" t="s">
        <v>13</v>
      </c>
      <c r="U8" s="1552">
        <f t="shared" si="1"/>
        <v>0</v>
      </c>
      <c r="V8" s="1551" t="s">
        <v>13</v>
      </c>
      <c r="W8" s="1552">
        <f t="shared" si="2"/>
        <v>0</v>
      </c>
      <c r="X8" s="1553"/>
      <c r="Y8" s="3855" t="s">
        <v>530</v>
      </c>
      <c r="Z8" s="3856"/>
      <c r="AA8" s="1554" t="e">
        <f t="shared" ref="AA8:AA46" si="3">D8/F8</f>
        <v>#DIV/0!</v>
      </c>
      <c r="AB8" s="1554" t="e">
        <f t="shared" ref="AB8:AB46" si="4">D8/H8</f>
        <v>#DIV/0!</v>
      </c>
      <c r="AC8" s="1554" t="e">
        <f t="shared" ref="AC8:AC46" si="5">D8/J8</f>
        <v>#DIV/0!</v>
      </c>
    </row>
    <row r="9" spans="1:29" s="1214" customFormat="1" ht="15">
      <c r="A9" s="2865"/>
      <c r="B9" s="2872" t="s">
        <v>2750</v>
      </c>
      <c r="C9" s="855"/>
      <c r="D9" s="252">
        <v>100</v>
      </c>
      <c r="E9" s="856"/>
      <c r="F9" s="857">
        <f>SUMIF(63:63,E9,64:64)-SUMIF(63:63,C9,64:64)+100</f>
        <v>100</v>
      </c>
      <c r="G9" s="858"/>
      <c r="H9" s="252">
        <f>SUMIF(63:63,G9,64:64)-SUMIF(63:63,C9,64:64)+100</f>
        <v>100</v>
      </c>
      <c r="I9" s="858"/>
      <c r="J9" s="252">
        <f>SUMIF(63:63,I9,64:64)-SUMIF(63:63,C9,64:64)+100</f>
        <v>100</v>
      </c>
      <c r="K9" s="853"/>
      <c r="L9" s="2116"/>
      <c r="M9" s="2117"/>
      <c r="N9" s="2117"/>
      <c r="O9" s="2118"/>
      <c r="P9" s="3824" t="s">
        <v>532</v>
      </c>
      <c r="Q9" s="1145" t="str">
        <f t="shared" ref="Q9:Q15" si="6">B9</f>
        <v>用途</v>
      </c>
      <c r="R9" s="1551" t="s">
        <v>8</v>
      </c>
      <c r="S9" s="1552">
        <f t="shared" si="0"/>
        <v>100</v>
      </c>
      <c r="T9" s="1551" t="s">
        <v>8</v>
      </c>
      <c r="U9" s="1552">
        <f t="shared" si="1"/>
        <v>100</v>
      </c>
      <c r="V9" s="1551" t="s">
        <v>8</v>
      </c>
      <c r="W9" s="1552">
        <f t="shared" si="2"/>
        <v>100</v>
      </c>
      <c r="X9" s="1553"/>
      <c r="Y9" s="3712"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60"/>
      <c r="F10" s="861">
        <f>SUMIF(65:65,E10,66:66)-SUMIF(65:65,C10,66:66)+100</f>
        <v>100</v>
      </c>
      <c r="G10" s="859"/>
      <c r="H10" s="253">
        <f>SUMIF(65:65,G10,66:66)-SUMIF(65:65,C10,66:66)+100</f>
        <v>100</v>
      </c>
      <c r="I10" s="859"/>
      <c r="J10" s="253">
        <f>SUMIF(65:65,I10,66:66)-SUMIF(65:65,C10,66:66)+100</f>
        <v>100</v>
      </c>
      <c r="K10" s="862"/>
      <c r="L10" s="2119"/>
      <c r="M10" s="2159"/>
      <c r="N10" s="2159"/>
      <c r="O10" s="2120"/>
      <c r="P10" s="3824"/>
      <c r="Q10" s="1145" t="str">
        <f t="shared" si="6"/>
        <v>土地使用年限（年）</v>
      </c>
      <c r="R10" s="1551" t="s">
        <v>8</v>
      </c>
      <c r="S10" s="1552">
        <f t="shared" si="0"/>
        <v>100</v>
      </c>
      <c r="T10" s="1551" t="s">
        <v>8</v>
      </c>
      <c r="U10" s="1552">
        <f t="shared" si="1"/>
        <v>100</v>
      </c>
      <c r="V10" s="1551" t="s">
        <v>8</v>
      </c>
      <c r="W10" s="1552">
        <f t="shared" si="2"/>
        <v>100</v>
      </c>
      <c r="X10" s="1553"/>
      <c r="Y10" s="3712"/>
      <c r="Z10" s="1144" t="str">
        <f t="shared" si="7"/>
        <v>土地使用年限（年）</v>
      </c>
      <c r="AA10" s="1554">
        <f t="shared" si="3"/>
        <v>1</v>
      </c>
      <c r="AB10" s="1554">
        <f t="shared" si="4"/>
        <v>1</v>
      </c>
      <c r="AC10" s="1554">
        <f t="shared" si="5"/>
        <v>1</v>
      </c>
    </row>
    <row r="11" spans="1:29" ht="15">
      <c r="A11" s="2867"/>
      <c r="B11" s="2871" t="s">
        <v>2752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1"/>
      <c r="M11" s="2115"/>
      <c r="N11" s="2115"/>
      <c r="O11" s="2122"/>
      <c r="P11" s="3824"/>
      <c r="Q11" s="1145" t="str">
        <f t="shared" si="6"/>
        <v>容积率</v>
      </c>
      <c r="R11" s="1551" t="s">
        <v>11</v>
      </c>
      <c r="S11" s="1552" t="e">
        <f t="shared" si="0"/>
        <v>#N/A</v>
      </c>
      <c r="T11" s="1551" t="s">
        <v>11</v>
      </c>
      <c r="U11" s="1552" t="e">
        <f t="shared" si="1"/>
        <v>#N/A</v>
      </c>
      <c r="V11" s="1551" t="s">
        <v>11</v>
      </c>
      <c r="W11" s="1552" t="e">
        <f t="shared" si="2"/>
        <v>#N/A</v>
      </c>
      <c r="X11" s="1553"/>
      <c r="Y11" s="3712"/>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6"/>
      <c r="M12" s="2117"/>
      <c r="N12" s="2117"/>
      <c r="O12" s="2118"/>
      <c r="P12" s="3824"/>
      <c r="Q12" s="1145">
        <f t="shared" si="6"/>
        <v>111</v>
      </c>
      <c r="R12" s="1551" t="s">
        <v>11</v>
      </c>
      <c r="S12" s="1552">
        <f t="shared" si="0"/>
        <v>100</v>
      </c>
      <c r="T12" s="1551" t="s">
        <v>11</v>
      </c>
      <c r="U12" s="1552">
        <f t="shared" si="1"/>
        <v>100</v>
      </c>
      <c r="V12" s="1551" t="s">
        <v>11</v>
      </c>
      <c r="W12" s="1552">
        <f t="shared" si="2"/>
        <v>100</v>
      </c>
      <c r="X12" s="1553"/>
      <c r="Y12" s="3712"/>
      <c r="Z12" s="1144">
        <f t="shared" si="7"/>
        <v>111</v>
      </c>
      <c r="AA12" s="1554">
        <f>D12/F12</f>
        <v>1</v>
      </c>
      <c r="AB12" s="1554">
        <f>D12/H12</f>
        <v>1</v>
      </c>
      <c r="AC12" s="1554">
        <f>D12/J12</f>
        <v>1</v>
      </c>
    </row>
    <row r="13" spans="1:29" ht="15">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824"/>
      <c r="Q13" s="1145">
        <f t="shared" si="6"/>
        <v>111</v>
      </c>
      <c r="R13" s="1551" t="s">
        <v>11</v>
      </c>
      <c r="S13" s="1552">
        <f t="shared" si="0"/>
        <v>100</v>
      </c>
      <c r="T13" s="1551" t="s">
        <v>11</v>
      </c>
      <c r="U13" s="1552">
        <f t="shared" si="1"/>
        <v>100</v>
      </c>
      <c r="V13" s="1551" t="s">
        <v>11</v>
      </c>
      <c r="W13" s="1552">
        <f t="shared" si="2"/>
        <v>100</v>
      </c>
      <c r="X13" s="1553"/>
      <c r="Y13" s="3712"/>
      <c r="Z13" s="1144">
        <f t="shared" si="7"/>
        <v>111</v>
      </c>
      <c r="AA13" s="1554">
        <f t="shared" si="3"/>
        <v>1</v>
      </c>
      <c r="AB13" s="1554">
        <f t="shared" si="4"/>
        <v>1</v>
      </c>
      <c r="AC13" s="1554">
        <f t="shared" si="5"/>
        <v>1</v>
      </c>
    </row>
    <row r="14" spans="1:29" ht="15.75"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824"/>
      <c r="Q14" s="1145">
        <f t="shared" si="6"/>
        <v>111</v>
      </c>
      <c r="R14" s="1551" t="s">
        <v>11</v>
      </c>
      <c r="S14" s="1552">
        <f t="shared" si="0"/>
        <v>100</v>
      </c>
      <c r="T14" s="1551" t="s">
        <v>11</v>
      </c>
      <c r="U14" s="1552">
        <f t="shared" si="1"/>
        <v>100</v>
      </c>
      <c r="V14" s="1551" t="s">
        <v>11</v>
      </c>
      <c r="W14" s="1552">
        <f t="shared" si="2"/>
        <v>100</v>
      </c>
      <c r="X14" s="1553"/>
      <c r="Y14" s="3712"/>
      <c r="Z14" s="1144">
        <f t="shared" si="7"/>
        <v>111</v>
      </c>
      <c r="AA14" s="1554">
        <f t="shared" si="3"/>
        <v>1</v>
      </c>
      <c r="AB14" s="1554">
        <f t="shared" si="4"/>
        <v>1</v>
      </c>
      <c r="AC14" s="1554">
        <f t="shared" si="5"/>
        <v>1</v>
      </c>
    </row>
    <row r="15" spans="1:29" ht="99.75">
      <c r="A15" s="2861" t="s">
        <v>2748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3"/>
      <c r="M15" s="2115"/>
      <c r="N15" s="2115"/>
      <c r="O15" s="2122"/>
      <c r="P15" s="3858" t="s">
        <v>537</v>
      </c>
      <c r="Q15" s="1555" t="str">
        <f t="shared" si="6"/>
        <v>居住社区成熟度</v>
      </c>
      <c r="R15" s="1556" t="s">
        <v>11</v>
      </c>
      <c r="S15" s="1557">
        <f t="shared" si="0"/>
        <v>100</v>
      </c>
      <c r="T15" s="1556" t="s">
        <v>11</v>
      </c>
      <c r="U15" s="1557">
        <f t="shared" si="1"/>
        <v>100</v>
      </c>
      <c r="V15" s="1556" t="s">
        <v>11</v>
      </c>
      <c r="W15" s="1557">
        <f t="shared" si="2"/>
        <v>100</v>
      </c>
      <c r="X15" s="1550"/>
      <c r="Y15" s="3858" t="s">
        <v>537</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3"/>
      <c r="M16" s="2115"/>
      <c r="N16" s="2115"/>
      <c r="O16" s="2122"/>
      <c r="P16" s="3859"/>
      <c r="Q16" s="1555"/>
      <c r="R16" s="1556"/>
      <c r="S16" s="1557"/>
      <c r="T16" s="1556"/>
      <c r="U16" s="1557"/>
      <c r="V16" s="1556"/>
      <c r="W16" s="1557"/>
      <c r="X16" s="1550"/>
      <c r="Y16" s="3859"/>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3"/>
      <c r="M17" s="2115"/>
      <c r="N17" s="2115"/>
      <c r="O17" s="2122"/>
      <c r="P17" s="3859"/>
      <c r="Q17" s="1555" t="str">
        <f>B17</f>
        <v>交通便捷度</v>
      </c>
      <c r="R17" s="1556" t="s">
        <v>11</v>
      </c>
      <c r="S17" s="1557">
        <f>F17</f>
        <v>100</v>
      </c>
      <c r="T17" s="1556" t="s">
        <v>11</v>
      </c>
      <c r="U17" s="1557">
        <f>H17</f>
        <v>100</v>
      </c>
      <c r="V17" s="1556" t="s">
        <v>11</v>
      </c>
      <c r="W17" s="1557">
        <f>J17</f>
        <v>100</v>
      </c>
      <c r="X17" s="1550"/>
      <c r="Y17" s="3859"/>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3"/>
      <c r="M18" s="2115"/>
      <c r="N18" s="2115"/>
      <c r="O18" s="2122"/>
      <c r="P18" s="3859"/>
      <c r="Q18" s="1555"/>
      <c r="R18" s="1556"/>
      <c r="S18" s="1557"/>
      <c r="T18" s="1556"/>
      <c r="U18" s="1557"/>
      <c r="V18" s="1556"/>
      <c r="W18" s="1557"/>
      <c r="X18" s="1550"/>
      <c r="Y18" s="3859"/>
      <c r="Z18" s="1558"/>
      <c r="AA18" s="1559">
        <v>1</v>
      </c>
      <c r="AB18" s="1559">
        <v>1</v>
      </c>
      <c r="AC18" s="1559">
        <v>1</v>
      </c>
    </row>
    <row r="19" spans="1:29" ht="42.75">
      <c r="A19" s="530"/>
      <c r="B19" s="2560"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3"/>
      <c r="M19" s="2115"/>
      <c r="N19" s="2115"/>
      <c r="O19" s="2122"/>
      <c r="P19" s="3859"/>
      <c r="Q19" s="1555" t="str">
        <f>B19</f>
        <v>公共配套设施</v>
      </c>
      <c r="R19" s="1556" t="s">
        <v>11</v>
      </c>
      <c r="S19" s="1557">
        <f>F19</f>
        <v>100</v>
      </c>
      <c r="T19" s="1556" t="s">
        <v>11</v>
      </c>
      <c r="U19" s="1557">
        <f>H19</f>
        <v>100</v>
      </c>
      <c r="V19" s="1556" t="s">
        <v>11</v>
      </c>
      <c r="W19" s="1557">
        <f>J19</f>
        <v>100</v>
      </c>
      <c r="X19" s="1550"/>
      <c r="Y19" s="3859"/>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3"/>
      <c r="M20" s="2115"/>
      <c r="N20" s="2115"/>
      <c r="O20" s="2122"/>
      <c r="P20" s="3859"/>
      <c r="Q20" s="1555"/>
      <c r="R20" s="1556"/>
      <c r="S20" s="1557"/>
      <c r="T20" s="1556"/>
      <c r="U20" s="1557"/>
      <c r="V20" s="1556"/>
      <c r="W20" s="1557"/>
      <c r="X20" s="1550"/>
      <c r="Y20" s="3859"/>
      <c r="Z20" s="1558"/>
      <c r="AA20" s="1559">
        <v>1</v>
      </c>
      <c r="AB20" s="1559">
        <v>1</v>
      </c>
      <c r="AC20" s="1559">
        <v>1</v>
      </c>
    </row>
    <row r="21" spans="1:29" ht="28.5">
      <c r="A21" s="530"/>
      <c r="B21" s="2553"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3"/>
      <c r="M21" s="2115"/>
      <c r="N21" s="2115"/>
      <c r="O21" s="2122"/>
      <c r="P21" s="3859"/>
      <c r="Q21" s="2539" t="str">
        <f>B21</f>
        <v>基础设施水平</v>
      </c>
      <c r="R21" s="1556" t="s">
        <v>11</v>
      </c>
      <c r="S21" s="1557">
        <f>F21</f>
        <v>100</v>
      </c>
      <c r="T21" s="1556" t="s">
        <v>11</v>
      </c>
      <c r="U21" s="1557">
        <f>H21</f>
        <v>100</v>
      </c>
      <c r="V21" s="1556" t="s">
        <v>11</v>
      </c>
      <c r="W21" s="1557">
        <f>J21</f>
        <v>100</v>
      </c>
      <c r="X21" s="2541"/>
      <c r="Y21" s="3859"/>
      <c r="Z21" s="2540"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59"/>
      <c r="L22" s="2123"/>
      <c r="M22" s="2115"/>
      <c r="N22" s="2115"/>
      <c r="O22" s="2122"/>
      <c r="P22" s="3859"/>
      <c r="Q22" s="2539"/>
      <c r="R22" s="1556"/>
      <c r="S22" s="1557"/>
      <c r="T22" s="1556"/>
      <c r="U22" s="1557"/>
      <c r="V22" s="1556"/>
      <c r="W22" s="1557"/>
      <c r="X22" s="2541"/>
      <c r="Y22" s="3859"/>
      <c r="Z22" s="2540"/>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3"/>
      <c r="M23" s="2115"/>
      <c r="N23" s="2115"/>
      <c r="O23" s="2122"/>
      <c r="P23" s="3859"/>
      <c r="Q23" s="1555" t="str">
        <f>B23</f>
        <v>自然及人文环境</v>
      </c>
      <c r="R23" s="1556" t="s">
        <v>11</v>
      </c>
      <c r="S23" s="1557">
        <f>F23</f>
        <v>100</v>
      </c>
      <c r="T23" s="1556" t="s">
        <v>11</v>
      </c>
      <c r="U23" s="1557">
        <f>H23</f>
        <v>100</v>
      </c>
      <c r="V23" s="1556" t="s">
        <v>11</v>
      </c>
      <c r="W23" s="1557">
        <f>J23</f>
        <v>100</v>
      </c>
      <c r="X23" s="1550"/>
      <c r="Y23" s="3859"/>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3"/>
      <c r="M24" s="2115"/>
      <c r="N24" s="2115"/>
      <c r="O24" s="2122"/>
      <c r="P24" s="3859"/>
      <c r="Q24" s="1555"/>
      <c r="R24" s="1556"/>
      <c r="S24" s="1557"/>
      <c r="T24" s="1556"/>
      <c r="U24" s="1557"/>
      <c r="V24" s="1556"/>
      <c r="W24" s="1557"/>
      <c r="X24" s="1550"/>
      <c r="Y24" s="3859"/>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859"/>
      <c r="Q25" s="1555" t="str">
        <f t="shared" ref="Q25:Q46" si="11">B25</f>
        <v>楼层-1</v>
      </c>
      <c r="R25" s="1556" t="s">
        <v>11</v>
      </c>
      <c r="S25" s="1557">
        <f>F25</f>
        <v>100</v>
      </c>
      <c r="T25" s="1556" t="s">
        <v>11</v>
      </c>
      <c r="U25" s="1557">
        <f>H25</f>
        <v>100</v>
      </c>
      <c r="V25" s="1556" t="s">
        <v>11</v>
      </c>
      <c r="W25" s="1557">
        <f>J25</f>
        <v>100</v>
      </c>
      <c r="X25" s="1550"/>
      <c r="Y25" s="3859"/>
      <c r="Z25" s="1558" t="str">
        <f>Q25</f>
        <v>楼层-1</v>
      </c>
      <c r="AA25" s="1559">
        <f t="shared" si="3"/>
        <v>1</v>
      </c>
      <c r="AB25" s="1559">
        <f t="shared" si="4"/>
        <v>1</v>
      </c>
      <c r="AC25" s="1559">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859"/>
      <c r="Q26" s="1555" t="str">
        <f t="shared" si="11"/>
        <v>朝向</v>
      </c>
      <c r="R26" s="1556" t="s">
        <v>11</v>
      </c>
      <c r="S26" s="1557">
        <f>F26</f>
        <v>100</v>
      </c>
      <c r="T26" s="1556" t="s">
        <v>11</v>
      </c>
      <c r="U26" s="1557">
        <f>H26</f>
        <v>100</v>
      </c>
      <c r="V26" s="1556" t="s">
        <v>11</v>
      </c>
      <c r="W26" s="1557">
        <f>J26</f>
        <v>100</v>
      </c>
      <c r="X26" s="1550"/>
      <c r="Y26" s="3859"/>
      <c r="Z26" s="1558" t="str">
        <f>Q26</f>
        <v>朝向</v>
      </c>
      <c r="AA26" s="1559">
        <f t="shared" si="3"/>
        <v>1</v>
      </c>
      <c r="AB26" s="1559">
        <f t="shared" si="4"/>
        <v>1</v>
      </c>
      <c r="AC26" s="1559">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859"/>
      <c r="Q27" s="1145" t="str">
        <f t="shared" si="11"/>
        <v>道路级别</v>
      </c>
      <c r="R27" s="1551" t="s">
        <v>11</v>
      </c>
      <c r="S27" s="1552">
        <f>F27</f>
        <v>100</v>
      </c>
      <c r="T27" s="1551" t="s">
        <v>11</v>
      </c>
      <c r="U27" s="1552">
        <f>H27</f>
        <v>100</v>
      </c>
      <c r="V27" s="1551" t="s">
        <v>11</v>
      </c>
      <c r="W27" s="1552">
        <f>J27</f>
        <v>100</v>
      </c>
      <c r="X27" s="1553"/>
      <c r="Y27" s="3859"/>
      <c r="Z27" s="1144"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859"/>
      <c r="Q28" s="1555">
        <f t="shared" si="11"/>
        <v>111</v>
      </c>
      <c r="R28" s="1556" t="s">
        <v>11</v>
      </c>
      <c r="S28" s="1557">
        <f t="shared" ref="S28:S46" si="12">F28</f>
        <v>100</v>
      </c>
      <c r="T28" s="1556" t="s">
        <v>11</v>
      </c>
      <c r="U28" s="1557">
        <f t="shared" ref="U28:U46" si="13">H28</f>
        <v>100</v>
      </c>
      <c r="V28" s="1556" t="s">
        <v>11</v>
      </c>
      <c r="W28" s="1557">
        <f t="shared" ref="W28:W46" si="14">J28</f>
        <v>100</v>
      </c>
      <c r="X28" s="1550"/>
      <c r="Y28" s="3859"/>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859"/>
      <c r="Q29" s="1555">
        <f t="shared" si="11"/>
        <v>111</v>
      </c>
      <c r="R29" s="1556" t="s">
        <v>11</v>
      </c>
      <c r="S29" s="1557">
        <f t="shared" si="12"/>
        <v>100</v>
      </c>
      <c r="T29" s="1556" t="s">
        <v>11</v>
      </c>
      <c r="U29" s="1557">
        <f t="shared" si="13"/>
        <v>100</v>
      </c>
      <c r="V29" s="1556" t="s">
        <v>11</v>
      </c>
      <c r="W29" s="1557">
        <f t="shared" si="14"/>
        <v>100</v>
      </c>
      <c r="X29" s="1550"/>
      <c r="Y29" s="3859"/>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859"/>
      <c r="Q30" s="1555">
        <f t="shared" si="11"/>
        <v>111</v>
      </c>
      <c r="R30" s="1556" t="s">
        <v>11</v>
      </c>
      <c r="S30" s="1557">
        <f t="shared" si="12"/>
        <v>100</v>
      </c>
      <c r="T30" s="1556" t="s">
        <v>11</v>
      </c>
      <c r="U30" s="1557">
        <f t="shared" si="13"/>
        <v>100</v>
      </c>
      <c r="V30" s="1556" t="s">
        <v>11</v>
      </c>
      <c r="W30" s="1557">
        <f t="shared" si="14"/>
        <v>100</v>
      </c>
      <c r="X30" s="1550"/>
      <c r="Y30" s="3859"/>
      <c r="Z30" s="1558">
        <f t="shared" si="15"/>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859"/>
      <c r="Q31" s="1555">
        <f t="shared" si="11"/>
        <v>111</v>
      </c>
      <c r="R31" s="1556" t="s">
        <v>11</v>
      </c>
      <c r="S31" s="1557">
        <f t="shared" si="12"/>
        <v>100</v>
      </c>
      <c r="T31" s="1556" t="s">
        <v>11</v>
      </c>
      <c r="U31" s="1557">
        <f t="shared" si="13"/>
        <v>100</v>
      </c>
      <c r="V31" s="1556" t="s">
        <v>11</v>
      </c>
      <c r="W31" s="1557">
        <f t="shared" si="14"/>
        <v>100</v>
      </c>
      <c r="X31" s="1550"/>
      <c r="Y31" s="3859"/>
      <c r="Z31" s="1558">
        <f t="shared" si="15"/>
        <v>111</v>
      </c>
      <c r="AA31" s="1559">
        <f t="shared" si="3"/>
        <v>1</v>
      </c>
      <c r="AB31" s="1559">
        <f t="shared" si="4"/>
        <v>1</v>
      </c>
      <c r="AC31" s="1559">
        <f t="shared" si="5"/>
        <v>1</v>
      </c>
    </row>
    <row r="32" spans="1:29" ht="15">
      <c r="A32" s="2858" t="s">
        <v>2749</v>
      </c>
      <c r="B32" s="170" t="s">
        <v>722</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3"/>
      <c r="M32" s="2115"/>
      <c r="N32" s="2115"/>
      <c r="O32" s="2122"/>
      <c r="P32" s="3860" t="s">
        <v>547</v>
      </c>
      <c r="Q32" s="1555" t="str">
        <f t="shared" si="11"/>
        <v>建筑类型</v>
      </c>
      <c r="R32" s="1556" t="s">
        <v>11</v>
      </c>
      <c r="S32" s="1557">
        <f t="shared" si="12"/>
        <v>100</v>
      </c>
      <c r="T32" s="1556" t="s">
        <v>11</v>
      </c>
      <c r="U32" s="1557">
        <f t="shared" si="13"/>
        <v>100</v>
      </c>
      <c r="V32" s="1556" t="s">
        <v>11</v>
      </c>
      <c r="W32" s="1557">
        <f t="shared" si="14"/>
        <v>100</v>
      </c>
      <c r="X32" s="1550"/>
      <c r="Y32" s="3861" t="s">
        <v>547</v>
      </c>
      <c r="Z32" s="1558" t="str">
        <f t="shared" si="15"/>
        <v>建筑类型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1"/>
      <c r="M33" s="2152"/>
      <c r="N33" s="2152"/>
      <c r="O33" s="2124"/>
      <c r="P33" s="3861"/>
      <c r="Q33" s="1587" t="str">
        <f t="shared" si="11"/>
        <v>项目建筑规模</v>
      </c>
      <c r="R33" s="1560" t="s">
        <v>11</v>
      </c>
      <c r="S33" s="1561" t="e">
        <f t="shared" si="12"/>
        <v>#N/A</v>
      </c>
      <c r="T33" s="1560" t="s">
        <v>11</v>
      </c>
      <c r="U33" s="1561" t="e">
        <f t="shared" si="13"/>
        <v>#N/A</v>
      </c>
      <c r="V33" s="1560" t="s">
        <v>11</v>
      </c>
      <c r="W33" s="1561" t="e">
        <f t="shared" si="14"/>
        <v>#N/A</v>
      </c>
      <c r="X33" s="1562"/>
      <c r="Y33" s="3861"/>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3"/>
      <c r="M34" s="2115"/>
      <c r="N34" s="2115"/>
      <c r="O34" s="2122"/>
      <c r="P34" s="3861"/>
      <c r="Q34" s="1555" t="str">
        <f t="shared" si="11"/>
        <v>建筑结构</v>
      </c>
      <c r="R34" s="1556" t="s">
        <v>11</v>
      </c>
      <c r="S34" s="1557">
        <f t="shared" si="12"/>
        <v>100</v>
      </c>
      <c r="T34" s="1556" t="s">
        <v>11</v>
      </c>
      <c r="U34" s="1557">
        <f t="shared" si="13"/>
        <v>100</v>
      </c>
      <c r="V34" s="1556" t="s">
        <v>11</v>
      </c>
      <c r="W34" s="1557">
        <f t="shared" si="14"/>
        <v>100</v>
      </c>
      <c r="X34" s="1550"/>
      <c r="Y34" s="3861"/>
      <c r="Z34" s="1558" t="str">
        <f t="shared" si="15"/>
        <v>建筑结构</v>
      </c>
      <c r="AA34" s="1559">
        <f t="shared" si="3"/>
        <v>1</v>
      </c>
      <c r="AB34" s="1559">
        <f t="shared" si="4"/>
        <v>1</v>
      </c>
      <c r="AC34" s="1559">
        <f t="shared" si="5"/>
        <v>1</v>
      </c>
    </row>
    <row r="35" spans="1:29" ht="15">
      <c r="A35" s="592"/>
      <c r="B35" s="525"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3"/>
      <c r="M35" s="2115"/>
      <c r="N35" s="2115"/>
      <c r="O35" s="2122"/>
      <c r="P35" s="3861"/>
      <c r="Q35" s="1555" t="str">
        <f t="shared" si="11"/>
        <v>建筑品质</v>
      </c>
      <c r="R35" s="1556" t="s">
        <v>11</v>
      </c>
      <c r="S35" s="1557">
        <f t="shared" si="12"/>
        <v>100</v>
      </c>
      <c r="T35" s="1556" t="s">
        <v>11</v>
      </c>
      <c r="U35" s="1557">
        <f t="shared" si="13"/>
        <v>100</v>
      </c>
      <c r="V35" s="1556" t="s">
        <v>11</v>
      </c>
      <c r="W35" s="1557">
        <f t="shared" si="14"/>
        <v>100</v>
      </c>
      <c r="X35" s="1550"/>
      <c r="Y35" s="3861"/>
      <c r="Z35" s="1558" t="str">
        <f t="shared" si="15"/>
        <v>建筑品质</v>
      </c>
      <c r="AA35" s="1559">
        <f t="shared" si="3"/>
        <v>1</v>
      </c>
      <c r="AB35" s="1559">
        <f t="shared" si="4"/>
        <v>1</v>
      </c>
      <c r="AC35" s="1559">
        <f t="shared" si="5"/>
        <v>1</v>
      </c>
    </row>
    <row r="36" spans="1:29" ht="15">
      <c r="A36" s="592"/>
      <c r="B36" s="525"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3"/>
      <c r="M36" s="2115"/>
      <c r="N36" s="2115"/>
      <c r="O36" s="2122"/>
      <c r="P36" s="3861"/>
      <c r="Q36" s="1555" t="str">
        <f t="shared" si="11"/>
        <v>公共部分装修</v>
      </c>
      <c r="R36" s="1556" t="s">
        <v>11</v>
      </c>
      <c r="S36" s="1557">
        <f t="shared" si="12"/>
        <v>100</v>
      </c>
      <c r="T36" s="1556" t="s">
        <v>11</v>
      </c>
      <c r="U36" s="1557">
        <f t="shared" si="13"/>
        <v>100</v>
      </c>
      <c r="V36" s="1556" t="s">
        <v>11</v>
      </c>
      <c r="W36" s="1557">
        <f t="shared" si="14"/>
        <v>100</v>
      </c>
      <c r="X36" s="1550"/>
      <c r="Y36" s="3861"/>
      <c r="Z36" s="1558" t="str">
        <f t="shared" si="15"/>
        <v>公共部分装修</v>
      </c>
      <c r="AA36" s="1559">
        <f t="shared" si="3"/>
        <v>1</v>
      </c>
      <c r="AB36" s="1559">
        <f t="shared" si="4"/>
        <v>1</v>
      </c>
      <c r="AC36" s="1559">
        <f t="shared" si="5"/>
        <v>1</v>
      </c>
    </row>
    <row r="37" spans="1:29" s="1214" customFormat="1" ht="15">
      <c r="A37" s="598"/>
      <c r="B37" s="525" t="s">
        <v>727</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6"/>
      <c r="M37" s="2117"/>
      <c r="N37" s="2117"/>
      <c r="O37" s="2118"/>
      <c r="P37" s="3861"/>
      <c r="Q37" s="1145" t="str">
        <f t="shared" si="11"/>
        <v>成新度</v>
      </c>
      <c r="R37" s="1551" t="s">
        <v>11</v>
      </c>
      <c r="S37" s="1552" t="e">
        <f t="shared" si="12"/>
        <v>#N/A</v>
      </c>
      <c r="T37" s="1551" t="s">
        <v>11</v>
      </c>
      <c r="U37" s="1552" t="e">
        <f t="shared" si="13"/>
        <v>#N/A</v>
      </c>
      <c r="V37" s="1551" t="s">
        <v>11</v>
      </c>
      <c r="W37" s="1552" t="e">
        <f t="shared" si="14"/>
        <v>#N/A</v>
      </c>
      <c r="X37" s="1553"/>
      <c r="Y37" s="3861"/>
      <c r="Z37" s="1144" t="str">
        <f t="shared" si="15"/>
        <v>成新度</v>
      </c>
      <c r="AA37" s="1554" t="e">
        <f t="shared" si="3"/>
        <v>#N/A</v>
      </c>
      <c r="AB37" s="1554" t="e">
        <f t="shared" si="4"/>
        <v>#N/A</v>
      </c>
      <c r="AC37" s="1554" t="e">
        <f t="shared" si="5"/>
        <v>#N/A</v>
      </c>
    </row>
    <row r="38" spans="1:29" ht="15">
      <c r="A38" s="592"/>
      <c r="B38" s="525"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3"/>
      <c r="M38" s="2115"/>
      <c r="N38" s="2115"/>
      <c r="O38" s="2122"/>
      <c r="P38" s="3861" t="s">
        <v>547</v>
      </c>
      <c r="Q38" s="1555" t="str">
        <f t="shared" si="11"/>
        <v>物业管理</v>
      </c>
      <c r="R38" s="1556" t="s">
        <v>11</v>
      </c>
      <c r="S38" s="1557">
        <f t="shared" si="12"/>
        <v>100</v>
      </c>
      <c r="T38" s="1556" t="s">
        <v>11</v>
      </c>
      <c r="U38" s="1557">
        <f t="shared" si="13"/>
        <v>100</v>
      </c>
      <c r="V38" s="1556" t="s">
        <v>11</v>
      </c>
      <c r="W38" s="1557">
        <f t="shared" si="14"/>
        <v>100</v>
      </c>
      <c r="X38" s="1550"/>
      <c r="Y38" s="3861" t="s">
        <v>547</v>
      </c>
      <c r="Z38" s="1558" t="str">
        <f t="shared" si="15"/>
        <v>物业管理</v>
      </c>
      <c r="AA38" s="1559">
        <f t="shared" si="3"/>
        <v>1</v>
      </c>
      <c r="AB38" s="1559">
        <f t="shared" si="4"/>
        <v>1</v>
      </c>
      <c r="AC38" s="1559">
        <f t="shared" si="5"/>
        <v>1</v>
      </c>
    </row>
    <row r="39" spans="1:29" ht="15">
      <c r="A39" s="592"/>
      <c r="B39" s="1877" t="s">
        <v>2558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3"/>
      <c r="M39" s="2115"/>
      <c r="N39" s="2115"/>
      <c r="O39" s="2122"/>
      <c r="P39" s="3861"/>
      <c r="Q39" s="1555" t="str">
        <f t="shared" si="11"/>
        <v>市政基础设施</v>
      </c>
      <c r="R39" s="1556" t="s">
        <v>11</v>
      </c>
      <c r="S39" s="1557">
        <f t="shared" si="12"/>
        <v>100</v>
      </c>
      <c r="T39" s="1556" t="s">
        <v>11</v>
      </c>
      <c r="U39" s="1557">
        <f t="shared" si="13"/>
        <v>100</v>
      </c>
      <c r="V39" s="1556" t="s">
        <v>11</v>
      </c>
      <c r="W39" s="1557">
        <f t="shared" si="14"/>
        <v>100</v>
      </c>
      <c r="X39" s="1550"/>
      <c r="Y39" s="3861"/>
      <c r="Z39" s="1558" t="str">
        <f t="shared" si="15"/>
        <v>市政基础设施</v>
      </c>
      <c r="AA39" s="1559">
        <f t="shared" si="3"/>
        <v>1</v>
      </c>
      <c r="AB39" s="1559">
        <f t="shared" si="4"/>
        <v>1</v>
      </c>
      <c r="AC39" s="1559">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861"/>
      <c r="Q40" s="1555" t="str">
        <f t="shared" si="11"/>
        <v>房型</v>
      </c>
      <c r="R40" s="1556" t="s">
        <v>11</v>
      </c>
      <c r="S40" s="1557">
        <f t="shared" si="12"/>
        <v>100</v>
      </c>
      <c r="T40" s="1556" t="s">
        <v>11</v>
      </c>
      <c r="U40" s="1557">
        <f t="shared" si="13"/>
        <v>100</v>
      </c>
      <c r="V40" s="1556" t="s">
        <v>11</v>
      </c>
      <c r="W40" s="1557">
        <f t="shared" si="14"/>
        <v>100</v>
      </c>
      <c r="X40" s="1550"/>
      <c r="Y40" s="3861"/>
      <c r="Z40" s="1558" t="str">
        <f t="shared" si="15"/>
        <v>房型</v>
      </c>
      <c r="AA40" s="1559">
        <f t="shared" si="3"/>
        <v>1</v>
      </c>
      <c r="AB40" s="1559">
        <f t="shared" si="4"/>
        <v>1</v>
      </c>
      <c r="AC40" s="1559">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1"/>
      <c r="M41" s="2152"/>
      <c r="N41" s="2152"/>
      <c r="O41" s="2124"/>
      <c r="P41" s="3861"/>
      <c r="Q41" s="1587" t="str">
        <f t="shared" si="11"/>
        <v>单套/主力户型建筑面积</v>
      </c>
      <c r="R41" s="1560" t="s">
        <v>11</v>
      </c>
      <c r="S41" s="1561">
        <f t="shared" si="12"/>
        <v>100</v>
      </c>
      <c r="T41" s="1560" t="s">
        <v>11</v>
      </c>
      <c r="U41" s="1561">
        <f t="shared" si="13"/>
        <v>100</v>
      </c>
      <c r="V41" s="1560" t="s">
        <v>11</v>
      </c>
      <c r="W41" s="1561">
        <f t="shared" si="14"/>
        <v>100</v>
      </c>
      <c r="X41" s="1562"/>
      <c r="Y41" s="3861"/>
      <c r="Z41" s="1563" t="str">
        <f t="shared" si="15"/>
        <v>单套/主力户型建筑面积</v>
      </c>
      <c r="AA41" s="1559">
        <f t="shared" si="3"/>
        <v>1</v>
      </c>
      <c r="AB41" s="1559">
        <f t="shared" si="4"/>
        <v>1</v>
      </c>
      <c r="AC41" s="1559">
        <f t="shared" si="5"/>
        <v>1</v>
      </c>
    </row>
    <row r="42" spans="1:29" ht="15">
      <c r="A42" s="592"/>
      <c r="B42" s="525" t="s">
        <v>731</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3"/>
      <c r="M42" s="2115"/>
      <c r="N42" s="2115"/>
      <c r="O42" s="2122"/>
      <c r="P42" s="3861"/>
      <c r="Q42" s="1555" t="str">
        <f t="shared" si="11"/>
        <v>内部装修</v>
      </c>
      <c r="R42" s="1556" t="s">
        <v>11</v>
      </c>
      <c r="S42" s="1557">
        <f t="shared" si="12"/>
        <v>100</v>
      </c>
      <c r="T42" s="1556" t="s">
        <v>11</v>
      </c>
      <c r="U42" s="1557">
        <f t="shared" si="13"/>
        <v>100</v>
      </c>
      <c r="V42" s="1556" t="s">
        <v>11</v>
      </c>
      <c r="W42" s="1557">
        <f t="shared" si="14"/>
        <v>100</v>
      </c>
      <c r="X42" s="1550"/>
      <c r="Y42" s="3861"/>
      <c r="Z42" s="1558" t="str">
        <f t="shared" si="15"/>
        <v>内部装修</v>
      </c>
      <c r="AA42" s="1559">
        <f t="shared" si="3"/>
        <v>1</v>
      </c>
      <c r="AB42" s="1559">
        <f t="shared" si="4"/>
        <v>1</v>
      </c>
      <c r="AC42" s="1559">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3"/>
      <c r="M43" s="2115"/>
      <c r="N43" s="2115"/>
      <c r="O43" s="2122"/>
      <c r="P43" s="3861"/>
      <c r="Q43" s="1555" t="str">
        <f t="shared" si="11"/>
        <v>内部装修维护情况</v>
      </c>
      <c r="R43" s="1556" t="s">
        <v>11</v>
      </c>
      <c r="S43" s="1557">
        <f t="shared" si="12"/>
        <v>100</v>
      </c>
      <c r="T43" s="1556" t="s">
        <v>11</v>
      </c>
      <c r="U43" s="1557">
        <f t="shared" si="13"/>
        <v>100</v>
      </c>
      <c r="V43" s="1556" t="s">
        <v>11</v>
      </c>
      <c r="W43" s="1557">
        <f t="shared" si="14"/>
        <v>100</v>
      </c>
      <c r="X43" s="1550"/>
      <c r="Y43" s="3861"/>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6"/>
      <c r="M44" s="2117"/>
      <c r="N44" s="2117"/>
      <c r="O44" s="2118"/>
      <c r="P44" s="3861"/>
      <c r="Q44" s="1145">
        <f t="shared" si="11"/>
        <v>111</v>
      </c>
      <c r="R44" s="1551" t="s">
        <v>11</v>
      </c>
      <c r="S44" s="1552">
        <f t="shared" si="12"/>
        <v>100</v>
      </c>
      <c r="T44" s="1551" t="s">
        <v>11</v>
      </c>
      <c r="U44" s="1552">
        <f t="shared" si="13"/>
        <v>100</v>
      </c>
      <c r="V44" s="1551" t="s">
        <v>11</v>
      </c>
      <c r="W44" s="1552">
        <f t="shared" si="14"/>
        <v>100</v>
      </c>
      <c r="X44" s="1553"/>
      <c r="Y44" s="3861"/>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861"/>
      <c r="Q45" s="1555">
        <f t="shared" si="11"/>
        <v>111</v>
      </c>
      <c r="R45" s="1556" t="s">
        <v>11</v>
      </c>
      <c r="S45" s="1557">
        <f t="shared" si="12"/>
        <v>100</v>
      </c>
      <c r="T45" s="1556" t="s">
        <v>11</v>
      </c>
      <c r="U45" s="1557">
        <f t="shared" si="13"/>
        <v>100</v>
      </c>
      <c r="V45" s="1556" t="s">
        <v>11</v>
      </c>
      <c r="W45" s="1557">
        <f t="shared" si="14"/>
        <v>100</v>
      </c>
      <c r="X45" s="1550"/>
      <c r="Y45" s="3861"/>
      <c r="Z45" s="1558">
        <f t="shared" si="15"/>
        <v>111</v>
      </c>
      <c r="AA45" s="1559">
        <f t="shared" si="3"/>
        <v>1</v>
      </c>
      <c r="AB45" s="1559">
        <f t="shared" si="4"/>
        <v>1</v>
      </c>
      <c r="AC45" s="1559">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936"/>
      <c r="Q46" s="1555">
        <f t="shared" si="11"/>
        <v>111</v>
      </c>
      <c r="R46" s="1556" t="s">
        <v>10</v>
      </c>
      <c r="S46" s="1557">
        <f t="shared" si="12"/>
        <v>100</v>
      </c>
      <c r="T46" s="1556" t="s">
        <v>10</v>
      </c>
      <c r="U46" s="1557">
        <f t="shared" si="13"/>
        <v>100</v>
      </c>
      <c r="V46" s="1556" t="s">
        <v>10</v>
      </c>
      <c r="W46" s="1557">
        <f t="shared" si="14"/>
        <v>100</v>
      </c>
      <c r="X46" s="1550"/>
      <c r="Y46" s="3936"/>
      <c r="Z46" s="1558">
        <f t="shared" si="15"/>
        <v>111</v>
      </c>
      <c r="AA46" s="1559">
        <f t="shared" si="3"/>
        <v>1</v>
      </c>
      <c r="AB46" s="1559">
        <f t="shared" si="4"/>
        <v>1</v>
      </c>
      <c r="AC46" s="1559">
        <f t="shared" si="5"/>
        <v>1</v>
      </c>
    </row>
    <row r="47" spans="1:29" ht="15">
      <c r="A47" s="605" t="s">
        <v>733</v>
      </c>
      <c r="B47" s="885"/>
      <c r="C47" s="2587" t="s">
        <v>9</v>
      </c>
      <c r="D47" s="2588"/>
      <c r="E47" s="2589"/>
      <c r="F47" s="2590"/>
      <c r="G47" s="2591"/>
      <c r="H47" s="2592"/>
      <c r="I47" s="2589"/>
      <c r="J47" s="2592"/>
      <c r="K47" s="1588"/>
      <c r="L47" s="2125"/>
      <c r="M47" s="2126"/>
      <c r="N47" s="2115"/>
      <c r="O47" s="2126"/>
      <c r="P47" s="3824" t="str">
        <f>A47</f>
        <v>成交单价（元/平方米）</v>
      </c>
      <c r="Q47" s="3824"/>
      <c r="R47" s="3935">
        <f>E47</f>
        <v>0</v>
      </c>
      <c r="S47" s="3935"/>
      <c r="T47" s="3935">
        <f>G47</f>
        <v>0</v>
      </c>
      <c r="U47" s="3935"/>
      <c r="V47" s="3935">
        <f>I47</f>
        <v>0</v>
      </c>
      <c r="W47" s="3935"/>
      <c r="X47" s="1542"/>
      <c r="Y47" s="1564"/>
      <c r="Z47" s="1542"/>
      <c r="AA47" s="1542"/>
      <c r="AB47" s="1542"/>
      <c r="AC47" s="1542"/>
    </row>
    <row r="48" spans="1:29" ht="15.75" thickBot="1">
      <c r="A48" s="613" t="s">
        <v>2754</v>
      </c>
      <c r="B48" s="886"/>
      <c r="C48" s="2593" t="e">
        <f>R49</f>
        <v>#DIV/0!</v>
      </c>
      <c r="D48" s="2594"/>
      <c r="E48" s="2595" t="e">
        <f>R48</f>
        <v>#DIV/0!</v>
      </c>
      <c r="F48" s="2595"/>
      <c r="G48" s="2593" t="e">
        <f>T48</f>
        <v>#DIV/0!</v>
      </c>
      <c r="H48" s="2594"/>
      <c r="I48" s="2595" t="e">
        <f>V48</f>
        <v>#DIV/0!</v>
      </c>
      <c r="J48" s="2594"/>
      <c r="K48" s="1589"/>
      <c r="L48" s="2125"/>
      <c r="M48" s="2126"/>
      <c r="N48" s="2126"/>
      <c r="O48" s="2126"/>
      <c r="P48" s="3824" t="str">
        <f>A48</f>
        <v>比较价格（元/平方米）</v>
      </c>
      <c r="Q48" s="3824"/>
      <c r="R48" s="3935" t="e">
        <f>IF(F1="售价",ROUND(PRODUCT(R47,AA7:AA46),0),ROUND(PRODUCT(R47,AA7:AA46),1))</f>
        <v>#DIV/0!</v>
      </c>
      <c r="S48" s="3935"/>
      <c r="T48" s="3935" t="e">
        <f>IF(F1="售价",ROUND(PRODUCT(T47,AB7:AB46),0),ROUND(PRODUCT(T47,AB7:AB46),1))</f>
        <v>#DIV/0!</v>
      </c>
      <c r="U48" s="3935"/>
      <c r="V48" s="3935" t="e">
        <f>IF(F1="售价",ROUND(PRODUCT(V47,AC7:AC46),0),ROUND(PRODUCT(V47,AC7:AC46),1))</f>
        <v>#DIV/0!</v>
      </c>
      <c r="W48" s="3935"/>
      <c r="X48" s="1542"/>
      <c r="Y48" s="1542"/>
      <c r="Z48" s="1542"/>
      <c r="AA48" s="1542"/>
      <c r="AB48" s="1542"/>
      <c r="AC48" s="1542"/>
    </row>
    <row r="49" spans="1:29" ht="15.75" thickBot="1">
      <c r="A49" s="619" t="s">
        <v>2930</v>
      </c>
      <c r="B49" s="620"/>
      <c r="C49" s="2596" t="e">
        <f>R49</f>
        <v>#DIV/0!</v>
      </c>
      <c r="D49" s="2596"/>
      <c r="E49" s="2596"/>
      <c r="F49" s="2596"/>
      <c r="G49" s="2596"/>
      <c r="H49" s="2596"/>
      <c r="I49" s="2596"/>
      <c r="J49" s="2596"/>
      <c r="K49" s="1590"/>
      <c r="L49" s="2125"/>
      <c r="M49" s="2126"/>
      <c r="N49" s="2126"/>
      <c r="O49" s="2126"/>
      <c r="P49" s="3821" t="str">
        <f>A49</f>
        <v>估价对象XX用房的比较价格（楼面单价，元/平方米）</v>
      </c>
      <c r="Q49" s="3822"/>
      <c r="R49" s="3934" t="e">
        <f>IF(F1="售价",ROUND(AVERAGE(R48:V48),0),ROUND(AVERAGE(R48:V48),1))</f>
        <v>#DIV/0!</v>
      </c>
      <c r="S49" s="3934"/>
      <c r="T49" s="3934"/>
      <c r="U49" s="3934"/>
      <c r="V49" s="3934"/>
      <c r="W49" s="3934"/>
      <c r="X49" s="1542"/>
      <c r="Y49" s="1542"/>
      <c r="Z49" s="1542"/>
      <c r="AA49" s="1542"/>
      <c r="AB49" s="1542"/>
      <c r="AC49" s="1542"/>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7" t="s">
        <v>571</v>
      </c>
      <c r="B57" s="1542"/>
      <c r="C57" s="1566"/>
      <c r="D57" s="1566"/>
      <c r="E57" s="1566"/>
      <c r="F57" s="1568"/>
      <c r="G57" s="1568"/>
      <c r="H57" s="1566"/>
      <c r="I57" s="1566"/>
      <c r="J57" s="1566"/>
      <c r="K57" s="1569"/>
      <c r="L57" s="1565"/>
      <c r="M57" s="1566"/>
      <c r="N57" s="1566"/>
      <c r="O57" s="1566"/>
      <c r="P57" s="2138"/>
      <c r="Q57" s="2139"/>
      <c r="R57" s="2126"/>
      <c r="S57" s="2126"/>
      <c r="T57" s="2126"/>
      <c r="U57" s="2126"/>
      <c r="V57" s="2126"/>
      <c r="W57" s="2126"/>
      <c r="X57" s="2126"/>
      <c r="Y57" s="2126"/>
      <c r="Z57" s="2126"/>
      <c r="AA57" s="2126"/>
      <c r="AB57" s="2126"/>
      <c r="AC57" s="2126"/>
    </row>
    <row r="58" spans="1:29" s="1341" customFormat="1" ht="15">
      <c r="A58" s="643" t="s">
        <v>526</v>
      </c>
      <c r="B58" s="644"/>
      <c r="C58" s="2755"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4" customFormat="1" ht="15.75" thickBot="1">
      <c r="A60" s="651" t="s">
        <v>572</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528</v>
      </c>
      <c r="B61" s="646"/>
      <c r="C61" s="658" t="s">
        <v>573</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574</v>
      </c>
      <c r="B63" s="663" t="s">
        <v>531</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1"/>
      <c r="F64" s="1591"/>
      <c r="G64" s="1591"/>
      <c r="H64" s="1591"/>
      <c r="I64" s="1591"/>
      <c r="J64" s="1591"/>
      <c r="K64" s="1591"/>
      <c r="L64" s="1591"/>
      <c r="M64" s="1592"/>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535</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536</v>
      </c>
      <c r="B76" s="663" t="s">
        <v>575</v>
      </c>
      <c r="C76" s="701" t="s">
        <v>576</v>
      </c>
      <c r="D76" s="701" t="s">
        <v>577</v>
      </c>
      <c r="E76" s="701" t="s">
        <v>578</v>
      </c>
      <c r="F76" s="701" t="s">
        <v>579</v>
      </c>
      <c r="G76" s="701" t="s">
        <v>580</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583</v>
      </c>
      <c r="C78" s="706" t="s">
        <v>576</v>
      </c>
      <c r="D78" s="706" t="s">
        <v>577</v>
      </c>
      <c r="E78" s="706" t="s">
        <v>578</v>
      </c>
      <c r="F78" s="706" t="s">
        <v>579</v>
      </c>
      <c r="G78" s="706" t="s">
        <v>580</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8" t="s">
        <v>2551</v>
      </c>
      <c r="C80" s="706" t="s">
        <v>576</v>
      </c>
      <c r="D80" s="706" t="s">
        <v>577</v>
      </c>
      <c r="E80" s="706" t="s">
        <v>578</v>
      </c>
      <c r="F80" s="706" t="s">
        <v>579</v>
      </c>
      <c r="G80" s="706" t="s">
        <v>580</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2552</v>
      </c>
      <c r="C82" s="2558" t="s">
        <v>2553</v>
      </c>
      <c r="D82" s="2558" t="s">
        <v>2554</v>
      </c>
      <c r="E82" s="2558" t="s">
        <v>2555</v>
      </c>
      <c r="F82" s="2558" t="s">
        <v>2556</v>
      </c>
      <c r="G82" s="2558" t="s">
        <v>2557</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741</v>
      </c>
      <c r="C84" s="706" t="s">
        <v>576</v>
      </c>
      <c r="D84" s="706" t="s">
        <v>577</v>
      </c>
      <c r="E84" s="706" t="s">
        <v>578</v>
      </c>
      <c r="F84" s="706" t="s">
        <v>579</v>
      </c>
      <c r="G84" s="706" t="s">
        <v>580</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1878" t="s">
        <v>2254</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
        <v>743</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548</v>
      </c>
      <c r="B100" s="663" t="s">
        <v>744</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745</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746</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747</v>
      </c>
      <c r="C107" s="716"/>
      <c r="D107" s="716"/>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748</v>
      </c>
      <c r="C109" s="686"/>
      <c r="D109" s="686"/>
      <c r="E109" s="686"/>
      <c r="F109" s="716"/>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6"/>
      <c r="B112" s="679"/>
      <c r="C112" s="892">
        <v>0.5</v>
      </c>
      <c r="D112" s="892">
        <v>0.6</v>
      </c>
      <c r="E112" s="892">
        <v>0.7</v>
      </c>
      <c r="F112" s="892">
        <v>0.8</v>
      </c>
      <c r="G112" s="892">
        <v>0.9</v>
      </c>
      <c r="H112" s="892">
        <v>1.0001</v>
      </c>
      <c r="I112" s="892"/>
      <c r="J112" s="893"/>
      <c r="K112" s="893"/>
      <c r="L112" s="894"/>
      <c r="M112" s="895"/>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750</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8" t="s">
        <v>2550</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751</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6"/>
      <c r="B120" s="671" t="s">
        <v>730</v>
      </c>
      <c r="C120" s="686"/>
      <c r="D120" s="686"/>
      <c r="E120" s="686"/>
      <c r="F120" s="686"/>
      <c r="G120" s="686"/>
      <c r="H120" s="686"/>
      <c r="I120" s="686"/>
      <c r="J120" s="686"/>
      <c r="K120" s="686"/>
      <c r="L120" s="888"/>
      <c r="M120" s="8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752</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7" t="s">
        <v>2255</v>
      </c>
      <c r="C136" s="1898"/>
      <c r="D136" s="1898"/>
      <c r="E136" s="1898"/>
      <c r="F136" s="1898"/>
      <c r="G136" s="1898"/>
      <c r="H136" s="1898"/>
      <c r="I136" s="1898"/>
      <c r="J136" s="1898"/>
      <c r="K136" s="1899"/>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900" t="s">
        <v>2256</v>
      </c>
      <c r="C137" s="1901"/>
      <c r="D137" s="1901"/>
      <c r="E137" s="1901"/>
      <c r="F137" s="1901"/>
      <c r="G137" s="1902"/>
      <c r="H137" s="1903"/>
      <c r="I137" s="1904" t="s">
        <v>2257</v>
      </c>
      <c r="J137" s="1901"/>
      <c r="K137" s="1905"/>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6"/>
      <c r="C138" s="1907" t="s">
        <v>2258</v>
      </c>
      <c r="D138" s="1907" t="s">
        <v>2259</v>
      </c>
      <c r="E138" s="1908" t="s">
        <v>2260</v>
      </c>
      <c r="F138" s="1909" t="s">
        <v>2261</v>
      </c>
      <c r="G138" s="1907" t="s">
        <v>2262</v>
      </c>
      <c r="H138" s="1910" t="s">
        <v>2263</v>
      </c>
      <c r="I138" s="1911"/>
      <c r="J138" s="1907" t="s">
        <v>2264</v>
      </c>
      <c r="K138" s="1910" t="s">
        <v>2265</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9">
        <v>6</v>
      </c>
      <c r="C139" s="1880">
        <v>96</v>
      </c>
      <c r="D139" s="1912" t="s">
        <v>2266</v>
      </c>
      <c r="E139" s="1881">
        <v>100</v>
      </c>
      <c r="F139" s="1882">
        <v>102.5</v>
      </c>
      <c r="G139" s="1912" t="s">
        <v>2267</v>
      </c>
      <c r="H139" s="1883">
        <v>105</v>
      </c>
      <c r="I139" s="1913" t="s">
        <v>2268</v>
      </c>
      <c r="J139" s="1880">
        <v>20</v>
      </c>
      <c r="K139" s="1884">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5">
        <v>5</v>
      </c>
      <c r="C140" s="1886">
        <v>100</v>
      </c>
      <c r="D140" s="1914"/>
      <c r="E140" s="1887"/>
      <c r="F140" s="1888">
        <v>102</v>
      </c>
      <c r="G140" s="1914"/>
      <c r="H140" s="1889"/>
      <c r="I140" s="1915" t="s">
        <v>2269</v>
      </c>
      <c r="J140" s="844">
        <f>ROUNDUP((J139-1)/2,0)</f>
        <v>10</v>
      </c>
      <c r="K140" s="1890">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5">
        <v>4</v>
      </c>
      <c r="C141" s="1886">
        <v>102</v>
      </c>
      <c r="D141" s="1914"/>
      <c r="E141" s="1887"/>
      <c r="F141" s="1888">
        <v>101.5</v>
      </c>
      <c r="G141" s="1914"/>
      <c r="H141" s="1889"/>
      <c r="I141" s="1915" t="s">
        <v>2270</v>
      </c>
      <c r="J141" s="844">
        <v>1</v>
      </c>
      <c r="K141" s="1891">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5">
        <v>3</v>
      </c>
      <c r="C142" s="1886">
        <v>103</v>
      </c>
      <c r="D142" s="1914"/>
      <c r="E142" s="1887"/>
      <c r="F142" s="1888">
        <v>101</v>
      </c>
      <c r="G142" s="1914"/>
      <c r="H142" s="1889"/>
      <c r="I142" s="1915" t="s">
        <v>2271</v>
      </c>
      <c r="J142" s="844">
        <f>J139</f>
        <v>20</v>
      </c>
      <c r="K142" s="1892">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5">
        <v>2</v>
      </c>
      <c r="C143" s="1886">
        <v>100</v>
      </c>
      <c r="D143" s="1914"/>
      <c r="E143" s="1887"/>
      <c r="F143" s="1888">
        <v>100.5</v>
      </c>
      <c r="G143" s="1914"/>
      <c r="H143" s="1889"/>
      <c r="I143" s="1915" t="s">
        <v>2272</v>
      </c>
      <c r="J143" s="1886">
        <v>15</v>
      </c>
      <c r="K143" s="1891">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5">
        <v>1</v>
      </c>
      <c r="C144" s="1886">
        <v>98</v>
      </c>
      <c r="D144" s="1916" t="s">
        <v>2273</v>
      </c>
      <c r="E144" s="1887">
        <v>102</v>
      </c>
      <c r="F144" s="1893">
        <v>100</v>
      </c>
      <c r="G144" s="1916" t="s">
        <v>2273</v>
      </c>
      <c r="H144" s="1889">
        <v>105</v>
      </c>
      <c r="I144" s="1915" t="s">
        <v>2272</v>
      </c>
      <c r="J144" s="1886">
        <v>18</v>
      </c>
      <c r="K144" s="1891">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2283</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2284</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0"/>
      <c r="E1" s="504"/>
      <c r="F1" s="2758"/>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8"/>
      <c r="D2" s="2108"/>
      <c r="E2" s="2042"/>
      <c r="F2" s="2110"/>
      <c r="G2" s="2109"/>
      <c r="H2" s="2109"/>
      <c r="I2" s="2109"/>
      <c r="J2" s="2109"/>
      <c r="K2" s="2109"/>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thickBot="1">
      <c r="A3" s="507" t="s">
        <v>516</v>
      </c>
      <c r="B3" s="508" t="e">
        <f>C49</f>
        <v>#DIV/0!</v>
      </c>
      <c r="C3" s="850" t="s">
        <v>719</v>
      </c>
      <c r="D3" s="849">
        <f>SUMIF('数据-汇总表'!$C19:$C33,D1,'数据-汇总表'!$E19:$E33)</f>
        <v>0</v>
      </c>
      <c r="E3" s="2042"/>
      <c r="F3" s="2110"/>
      <c r="G3" s="2109"/>
      <c r="H3" s="2109"/>
      <c r="I3" s="2109"/>
      <c r="J3" s="2109"/>
      <c r="K3" s="2111"/>
      <c r="L3" s="2112"/>
      <c r="M3" s="2113"/>
      <c r="N3" s="2113"/>
      <c r="O3" s="2113"/>
      <c r="P3" s="1547"/>
      <c r="Q3" s="1547"/>
      <c r="R3" s="1547"/>
      <c r="S3" s="1547"/>
      <c r="T3" s="1547"/>
      <c r="U3" s="1547"/>
      <c r="V3" s="1547"/>
      <c r="W3" s="1547"/>
      <c r="X3" s="1547"/>
      <c r="Y3" s="1547"/>
      <c r="Z3" s="1547"/>
      <c r="AA3" s="1547"/>
      <c r="AB3" s="1547"/>
      <c r="AC3" s="426"/>
    </row>
    <row r="4" spans="1:29" ht="15">
      <c r="A4" s="510" t="s">
        <v>518</v>
      </c>
      <c r="B4" s="511"/>
      <c r="C4" s="3830" t="s">
        <v>519</v>
      </c>
      <c r="D4" s="3831"/>
      <c r="E4" s="3864" t="s">
        <v>520</v>
      </c>
      <c r="F4" s="3865"/>
      <c r="G4" s="3830" t="s">
        <v>521</v>
      </c>
      <c r="H4" s="3831"/>
      <c r="I4" s="3830" t="s">
        <v>522</v>
      </c>
      <c r="J4" s="3831"/>
      <c r="K4" s="512" t="s">
        <v>523</v>
      </c>
      <c r="L4" s="2114"/>
      <c r="M4" s="2115"/>
      <c r="N4" s="2115"/>
      <c r="O4" s="2115"/>
      <c r="P4" s="3832" t="s">
        <v>524</v>
      </c>
      <c r="Q4" s="3833"/>
      <c r="R4" s="3838" t="s">
        <v>520</v>
      </c>
      <c r="S4" s="3839"/>
      <c r="T4" s="3838" t="s">
        <v>521</v>
      </c>
      <c r="U4" s="3839"/>
      <c r="V4" s="3825" t="s">
        <v>522</v>
      </c>
      <c r="W4" s="3825"/>
      <c r="X4" s="1550"/>
      <c r="Y4" s="3838" t="s">
        <v>524</v>
      </c>
      <c r="Z4" s="3839"/>
      <c r="AA4" s="3827" t="s">
        <v>520</v>
      </c>
      <c r="AB4" s="3825" t="s">
        <v>521</v>
      </c>
      <c r="AC4" s="3827" t="s">
        <v>522</v>
      </c>
    </row>
    <row r="5" spans="1:29" ht="15">
      <c r="A5" s="513"/>
      <c r="B5" s="514"/>
      <c r="C5" s="3846" t="s">
        <v>2924</v>
      </c>
      <c r="D5" s="3847"/>
      <c r="E5" s="3866" t="s">
        <v>2925</v>
      </c>
      <c r="F5" s="3867"/>
      <c r="G5" s="3846" t="s">
        <v>2926</v>
      </c>
      <c r="H5" s="3847"/>
      <c r="I5" s="3846" t="s">
        <v>2927</v>
      </c>
      <c r="J5" s="3847"/>
      <c r="K5" s="512"/>
      <c r="L5" s="2114"/>
      <c r="M5" s="2115"/>
      <c r="N5" s="2115"/>
      <c r="O5" s="2115"/>
      <c r="P5" s="3834"/>
      <c r="Q5" s="3835"/>
      <c r="R5" s="3840"/>
      <c r="S5" s="3841"/>
      <c r="T5" s="3840"/>
      <c r="U5" s="3841"/>
      <c r="V5" s="3825"/>
      <c r="W5" s="3825"/>
      <c r="X5" s="1550"/>
      <c r="Y5" s="3840"/>
      <c r="Z5" s="3841"/>
      <c r="AA5" s="3828"/>
      <c r="AB5" s="3825"/>
      <c r="AC5" s="3828"/>
    </row>
    <row r="6" spans="1:29" ht="15.75" thickBot="1">
      <c r="A6" s="515"/>
      <c r="B6" s="516"/>
      <c r="C6" s="3844" t="s">
        <v>2928</v>
      </c>
      <c r="D6" s="3845"/>
      <c r="E6" s="3862" t="s">
        <v>2928</v>
      </c>
      <c r="F6" s="3863"/>
      <c r="G6" s="3844" t="s">
        <v>2928</v>
      </c>
      <c r="H6" s="3845"/>
      <c r="I6" s="3844" t="s">
        <v>2928</v>
      </c>
      <c r="J6" s="3845"/>
      <c r="K6" s="512" t="s">
        <v>525</v>
      </c>
      <c r="L6" s="2114"/>
      <c r="M6" s="2115"/>
      <c r="N6" s="2115"/>
      <c r="O6" s="2115"/>
      <c r="P6" s="3836"/>
      <c r="Q6" s="3837"/>
      <c r="R6" s="3840"/>
      <c r="S6" s="3841"/>
      <c r="T6" s="3842"/>
      <c r="U6" s="3843"/>
      <c r="V6" s="3825"/>
      <c r="W6" s="3825"/>
      <c r="X6" s="1550"/>
      <c r="Y6" s="3842"/>
      <c r="Z6" s="3843"/>
      <c r="AA6" s="3829"/>
      <c r="AB6" s="3825"/>
      <c r="AC6" s="3829"/>
    </row>
    <row r="7" spans="1:29" s="1214" customFormat="1" ht="15.75" thickBot="1">
      <c r="A7" s="2863"/>
      <c r="B7" s="2870" t="s">
        <v>526</v>
      </c>
      <c r="C7" s="517">
        <f>'数据-取费表'!B2</f>
        <v>43764</v>
      </c>
      <c r="D7" s="518">
        <v>100</v>
      </c>
      <c r="E7" s="519"/>
      <c r="F7" s="520">
        <f>SUMIF(58:58,YEAR(E7)&amp;"-"&amp;MONTH(E7),59:59)</f>
        <v>0</v>
      </c>
      <c r="G7" s="519"/>
      <c r="H7" s="518">
        <f>SUMIF(58:58,YEAR(G7)&amp;"-"&amp;MONTH(G7),59:59)</f>
        <v>0</v>
      </c>
      <c r="I7" s="519"/>
      <c r="J7" s="518">
        <f>SUMIF(58:58,YEAR(I7)&amp;"-"&amp;MONTH(I7),59:59)</f>
        <v>0</v>
      </c>
      <c r="K7" s="522"/>
      <c r="L7" s="2116"/>
      <c r="M7" s="2117"/>
      <c r="N7" s="2117"/>
      <c r="O7" s="2117"/>
      <c r="P7" s="3855" t="s">
        <v>527</v>
      </c>
      <c r="Q7" s="3857"/>
      <c r="R7" s="1551" t="s">
        <v>8</v>
      </c>
      <c r="S7" s="1552">
        <f t="shared" ref="S7:S15" si="0">F7</f>
        <v>0</v>
      </c>
      <c r="T7" s="1551" t="s">
        <v>8</v>
      </c>
      <c r="U7" s="1552">
        <f t="shared" ref="U7:U15" si="1">H7</f>
        <v>0</v>
      </c>
      <c r="V7" s="1551" t="s">
        <v>8</v>
      </c>
      <c r="W7" s="1552">
        <f t="shared" ref="W7:W15" si="2">J7</f>
        <v>0</v>
      </c>
      <c r="X7" s="1553"/>
      <c r="Y7" s="3855" t="s">
        <v>527</v>
      </c>
      <c r="Z7" s="3856"/>
      <c r="AA7" s="1554" t="e">
        <f>D7/F7</f>
        <v>#DIV/0!</v>
      </c>
      <c r="AB7" s="1554" t="e">
        <f>D7/H7</f>
        <v>#DIV/0!</v>
      </c>
      <c r="AC7" s="1554" t="e">
        <f>D7/J7</f>
        <v>#DIV/0!</v>
      </c>
    </row>
    <row r="8" spans="1:29" s="1214" customFormat="1" ht="15.75" thickBot="1">
      <c r="A8" s="2864"/>
      <c r="B8" s="2871" t="s">
        <v>528</v>
      </c>
      <c r="C8" s="523" t="s">
        <v>573</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855" t="s">
        <v>530</v>
      </c>
      <c r="Q8" s="3856"/>
      <c r="R8" s="1551" t="s">
        <v>8</v>
      </c>
      <c r="S8" s="1552">
        <f t="shared" si="0"/>
        <v>0</v>
      </c>
      <c r="T8" s="1551" t="s">
        <v>8</v>
      </c>
      <c r="U8" s="1552">
        <f t="shared" si="1"/>
        <v>0</v>
      </c>
      <c r="V8" s="1551" t="s">
        <v>8</v>
      </c>
      <c r="W8" s="1552">
        <f t="shared" si="2"/>
        <v>0</v>
      </c>
      <c r="X8" s="1553"/>
      <c r="Y8" s="3855" t="s">
        <v>530</v>
      </c>
      <c r="Z8" s="3856"/>
      <c r="AA8" s="1554" t="e">
        <f t="shared" ref="AA8:AA46" si="3">D8/F8</f>
        <v>#DIV/0!</v>
      </c>
      <c r="AB8" s="1554" t="e">
        <f t="shared" ref="AB8:AB46" si="4">D8/H8</f>
        <v>#DIV/0!</v>
      </c>
      <c r="AC8" s="1554" t="e">
        <f t="shared" ref="AC8:AC46" si="5">D8/J8</f>
        <v>#DIV/0!</v>
      </c>
    </row>
    <row r="9" spans="1:29" s="1214" customFormat="1" ht="15">
      <c r="A9" s="2865"/>
      <c r="B9" s="2872" t="s">
        <v>2750</v>
      </c>
      <c r="C9" s="855"/>
      <c r="D9" s="252">
        <v>100</v>
      </c>
      <c r="E9" s="858"/>
      <c r="F9" s="252">
        <f>SUMIF(63:63,E9,64:64)-SUMIF(63:63,C9,64:64)+100</f>
        <v>100</v>
      </c>
      <c r="G9" s="856"/>
      <c r="H9" s="252">
        <f>SUMIF(63:63,G9,64:64)-SUMIF(63:63,C9,64:64)+100</f>
        <v>100</v>
      </c>
      <c r="I9" s="856"/>
      <c r="J9" s="252">
        <f>SUMIF(63:63,I9,64:64)-SUMIF(63:63,C9,64:64)+100</f>
        <v>100</v>
      </c>
      <c r="K9" s="522"/>
      <c r="L9" s="2116"/>
      <c r="M9" s="2117"/>
      <c r="N9" s="2117"/>
      <c r="O9" s="2118"/>
      <c r="P9" s="3824" t="s">
        <v>532</v>
      </c>
      <c r="Q9" s="1145" t="str">
        <f t="shared" ref="Q9:Q15" si="6">B9</f>
        <v>用途</v>
      </c>
      <c r="R9" s="1551" t="s">
        <v>8</v>
      </c>
      <c r="S9" s="1552">
        <f t="shared" si="0"/>
        <v>100</v>
      </c>
      <c r="T9" s="1551" t="s">
        <v>8</v>
      </c>
      <c r="U9" s="1552">
        <f t="shared" si="1"/>
        <v>100</v>
      </c>
      <c r="V9" s="1551" t="s">
        <v>8</v>
      </c>
      <c r="W9" s="1552">
        <f t="shared" si="2"/>
        <v>100</v>
      </c>
      <c r="X9" s="1553"/>
      <c r="Y9" s="3712"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59"/>
      <c r="F10" s="253">
        <f>SUMIF(65:65,E10,66:66)-SUMIF(65:65,C10,66:66)+100</f>
        <v>100</v>
      </c>
      <c r="G10" s="860"/>
      <c r="H10" s="253">
        <f>SUMIF(65:65,G10,66:66)-SUMIF(65:65,C10,66:66)+100</f>
        <v>100</v>
      </c>
      <c r="I10" s="859"/>
      <c r="J10" s="253">
        <f>SUMIF(65:65,I10,66:66)-SUMIF(65:65,C10,66:66)+100</f>
        <v>100</v>
      </c>
      <c r="K10" s="582"/>
      <c r="L10" s="2119"/>
      <c r="M10" s="2159"/>
      <c r="N10" s="2159"/>
      <c r="O10" s="2120"/>
      <c r="P10" s="3824"/>
      <c r="Q10" s="1145" t="str">
        <f t="shared" si="6"/>
        <v>土地使用年限（年）</v>
      </c>
      <c r="R10" s="1551" t="s">
        <v>8</v>
      </c>
      <c r="S10" s="1552">
        <f t="shared" si="0"/>
        <v>100</v>
      </c>
      <c r="T10" s="1551" t="s">
        <v>8</v>
      </c>
      <c r="U10" s="1552">
        <f t="shared" si="1"/>
        <v>100</v>
      </c>
      <c r="V10" s="1551" t="s">
        <v>8</v>
      </c>
      <c r="W10" s="1552">
        <f t="shared" si="2"/>
        <v>100</v>
      </c>
      <c r="X10" s="1553"/>
      <c r="Y10" s="3712"/>
      <c r="Z10" s="1144" t="str">
        <f t="shared" si="7"/>
        <v>土地使用年限（年）</v>
      </c>
      <c r="AA10" s="1554">
        <f t="shared" si="3"/>
        <v>1</v>
      </c>
      <c r="AB10" s="1554">
        <f t="shared" si="4"/>
        <v>1</v>
      </c>
      <c r="AC10" s="1554">
        <f t="shared" si="5"/>
        <v>1</v>
      </c>
    </row>
    <row r="11" spans="1:29" ht="15">
      <c r="A11" s="2867"/>
      <c r="B11" s="2871" t="s">
        <v>2752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1"/>
      <c r="M11" s="2115"/>
      <c r="N11" s="2115"/>
      <c r="O11" s="2122"/>
      <c r="P11" s="3824"/>
      <c r="Q11" s="1145" t="str">
        <f t="shared" si="6"/>
        <v>容积率</v>
      </c>
      <c r="R11" s="1551" t="s">
        <v>8</v>
      </c>
      <c r="S11" s="1552" t="e">
        <f t="shared" si="0"/>
        <v>#N/A</v>
      </c>
      <c r="T11" s="1551" t="s">
        <v>8</v>
      </c>
      <c r="U11" s="1552" t="e">
        <f t="shared" si="1"/>
        <v>#N/A</v>
      </c>
      <c r="V11" s="1551" t="s">
        <v>8</v>
      </c>
      <c r="W11" s="1552" t="e">
        <f t="shared" si="2"/>
        <v>#N/A</v>
      </c>
      <c r="X11" s="1553"/>
      <c r="Y11" s="3712"/>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37"/>
      <c r="F12" s="253">
        <f>SUMIF(70:70,E12,71:71)-SUMIF(70:70,C12,71:71)+100</f>
        <v>100</v>
      </c>
      <c r="G12" s="910"/>
      <c r="H12" s="253">
        <f>SUMIF(70:70,G12,71:71)-SUMIF(70:70,C12,71:71)+100</f>
        <v>100</v>
      </c>
      <c r="I12" s="537"/>
      <c r="J12" s="253">
        <f>SUMIF(70:70,I12,71:71)-SUMIF(70:70,C12,71:71)+100</f>
        <v>100</v>
      </c>
      <c r="K12" s="579"/>
      <c r="L12" s="2116"/>
      <c r="M12" s="2117"/>
      <c r="N12" s="2117"/>
      <c r="O12" s="2118"/>
      <c r="P12" s="3824"/>
      <c r="Q12" s="1145">
        <f t="shared" si="6"/>
        <v>111</v>
      </c>
      <c r="R12" s="1551" t="s">
        <v>8</v>
      </c>
      <c r="S12" s="1552">
        <f t="shared" si="0"/>
        <v>100</v>
      </c>
      <c r="T12" s="1551" t="s">
        <v>8</v>
      </c>
      <c r="U12" s="1552">
        <f t="shared" si="1"/>
        <v>100</v>
      </c>
      <c r="V12" s="1551" t="s">
        <v>8</v>
      </c>
      <c r="W12" s="1552">
        <f t="shared" si="2"/>
        <v>100</v>
      </c>
      <c r="X12" s="1553"/>
      <c r="Y12" s="3712"/>
      <c r="Z12" s="1144">
        <f t="shared" si="7"/>
        <v>111</v>
      </c>
      <c r="AA12" s="1554">
        <f>D12/F12</f>
        <v>1</v>
      </c>
      <c r="AB12" s="1554">
        <f>D12/H12</f>
        <v>1</v>
      </c>
      <c r="AC12" s="1554">
        <f>D12/J12</f>
        <v>1</v>
      </c>
    </row>
    <row r="13" spans="1:29" ht="15">
      <c r="A13" s="2868"/>
      <c r="B13" s="2874">
        <v>111</v>
      </c>
      <c r="C13" s="537"/>
      <c r="D13" s="538">
        <v>100</v>
      </c>
      <c r="E13" s="537"/>
      <c r="F13" s="253">
        <f>SUMIF(72:72,E13,73:73)-SUMIF(72:72,C13,73:73)+100</f>
        <v>100</v>
      </c>
      <c r="G13" s="910"/>
      <c r="H13" s="538">
        <f>SUMIF(72:72,G13,73:73)-SUMIF(72:72,C13,73:73)+100</f>
        <v>100</v>
      </c>
      <c r="I13" s="537"/>
      <c r="J13" s="538">
        <f>SUMIF(72:72,I13,73:73)-SUMIF(72:72,C13,73:73)+100</f>
        <v>100</v>
      </c>
      <c r="K13" s="579"/>
      <c r="L13" s="2123"/>
      <c r="M13" s="2115"/>
      <c r="N13" s="2115"/>
      <c r="O13" s="2122"/>
      <c r="P13" s="3824"/>
      <c r="Q13" s="1145">
        <f t="shared" si="6"/>
        <v>111</v>
      </c>
      <c r="R13" s="1551" t="s">
        <v>8</v>
      </c>
      <c r="S13" s="1552">
        <f t="shared" si="0"/>
        <v>100</v>
      </c>
      <c r="T13" s="1551" t="s">
        <v>8</v>
      </c>
      <c r="U13" s="1552">
        <f t="shared" si="1"/>
        <v>100</v>
      </c>
      <c r="V13" s="1551" t="s">
        <v>8</v>
      </c>
      <c r="W13" s="1552">
        <f t="shared" si="2"/>
        <v>100</v>
      </c>
      <c r="X13" s="1553"/>
      <c r="Y13" s="3712"/>
      <c r="Z13" s="1144">
        <f t="shared" si="7"/>
        <v>111</v>
      </c>
      <c r="AA13" s="1554">
        <f t="shared" si="3"/>
        <v>1</v>
      </c>
      <c r="AB13" s="1554">
        <f t="shared" si="4"/>
        <v>1</v>
      </c>
      <c r="AC13" s="1554">
        <f t="shared" si="5"/>
        <v>1</v>
      </c>
    </row>
    <row r="14" spans="1:29" ht="15.75" thickBot="1">
      <c r="A14" s="2869"/>
      <c r="B14" s="2875">
        <v>111</v>
      </c>
      <c r="C14" s="543"/>
      <c r="D14" s="544">
        <v>100</v>
      </c>
      <c r="E14" s="543"/>
      <c r="F14" s="544">
        <f>SUMIF(74:74,E14,75:75)-SUMIF(74:74,C14,75:75)+100</f>
        <v>100</v>
      </c>
      <c r="G14" s="910"/>
      <c r="H14" s="544">
        <f>SUMIF(74:74,G14,75:75)-SUMIF(74:74,C14,75:75)+100</f>
        <v>100</v>
      </c>
      <c r="I14" s="537"/>
      <c r="J14" s="544">
        <f>SUMIF(74:74,I14,75:75)-SUMIF(74:74,C14,75:75)+100</f>
        <v>100</v>
      </c>
      <c r="K14" s="579"/>
      <c r="L14" s="2123"/>
      <c r="M14" s="2115"/>
      <c r="N14" s="2115"/>
      <c r="O14" s="2122"/>
      <c r="P14" s="3824"/>
      <c r="Q14" s="1145">
        <f t="shared" si="6"/>
        <v>111</v>
      </c>
      <c r="R14" s="1551" t="s">
        <v>8</v>
      </c>
      <c r="S14" s="1552">
        <f t="shared" si="0"/>
        <v>100</v>
      </c>
      <c r="T14" s="1551" t="s">
        <v>8</v>
      </c>
      <c r="U14" s="1552">
        <f t="shared" si="1"/>
        <v>100</v>
      </c>
      <c r="V14" s="1551" t="s">
        <v>8</v>
      </c>
      <c r="W14" s="1552">
        <f t="shared" si="2"/>
        <v>100</v>
      </c>
      <c r="X14" s="1553"/>
      <c r="Y14" s="3712"/>
      <c r="Z14" s="1144">
        <f t="shared" si="7"/>
        <v>111</v>
      </c>
      <c r="AA14" s="1554">
        <f t="shared" si="3"/>
        <v>1</v>
      </c>
      <c r="AB14" s="1554">
        <f t="shared" si="4"/>
        <v>1</v>
      </c>
      <c r="AC14" s="1554">
        <f t="shared" si="5"/>
        <v>1</v>
      </c>
    </row>
    <row r="15" spans="1:29" ht="71.25">
      <c r="A15" s="2861" t="s">
        <v>2748</v>
      </c>
      <c r="B15" s="164"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3"/>
      <c r="M15" s="2115"/>
      <c r="N15" s="2115"/>
      <c r="O15" s="2122"/>
      <c r="P15" s="3858" t="s">
        <v>537</v>
      </c>
      <c r="Q15" s="1555" t="str">
        <f t="shared" si="6"/>
        <v>商业繁华度</v>
      </c>
      <c r="R15" s="1556" t="s">
        <v>8</v>
      </c>
      <c r="S15" s="1557">
        <f t="shared" si="0"/>
        <v>100</v>
      </c>
      <c r="T15" s="1556" t="s">
        <v>8</v>
      </c>
      <c r="U15" s="1557">
        <f t="shared" si="1"/>
        <v>100</v>
      </c>
      <c r="V15" s="1556" t="s">
        <v>8</v>
      </c>
      <c r="W15" s="1557">
        <f t="shared" si="2"/>
        <v>100</v>
      </c>
      <c r="X15" s="1550"/>
      <c r="Y15" s="3858" t="s">
        <v>537</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3"/>
      <c r="M16" s="2115"/>
      <c r="N16" s="2115"/>
      <c r="O16" s="2122"/>
      <c r="P16" s="3859"/>
      <c r="Q16" s="1555"/>
      <c r="R16" s="1556"/>
      <c r="S16" s="1557"/>
      <c r="T16" s="1556"/>
      <c r="U16" s="1557"/>
      <c r="V16" s="1556"/>
      <c r="W16" s="1557"/>
      <c r="X16" s="1550"/>
      <c r="Y16" s="3859"/>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3"/>
      <c r="M17" s="2115"/>
      <c r="N17" s="2115"/>
      <c r="O17" s="2122"/>
      <c r="P17" s="3859"/>
      <c r="Q17" s="1555" t="str">
        <f>B17</f>
        <v>交通便捷度</v>
      </c>
      <c r="R17" s="1556" t="s">
        <v>8</v>
      </c>
      <c r="S17" s="1557">
        <f>F17</f>
        <v>100</v>
      </c>
      <c r="T17" s="1556" t="s">
        <v>8</v>
      </c>
      <c r="U17" s="1557">
        <f>H17</f>
        <v>100</v>
      </c>
      <c r="V17" s="1556" t="s">
        <v>8</v>
      </c>
      <c r="W17" s="1557">
        <f>J17</f>
        <v>100</v>
      </c>
      <c r="X17" s="1550"/>
      <c r="Y17" s="3859"/>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3"/>
      <c r="M18" s="2115"/>
      <c r="N18" s="2115"/>
      <c r="O18" s="2122"/>
      <c r="P18" s="3859"/>
      <c r="Q18" s="1555"/>
      <c r="R18" s="1556"/>
      <c r="S18" s="1557"/>
      <c r="T18" s="1556"/>
      <c r="U18" s="1557"/>
      <c r="V18" s="1556"/>
      <c r="W18" s="1557"/>
      <c r="X18" s="1550"/>
      <c r="Y18" s="3859"/>
      <c r="Z18" s="1558"/>
      <c r="AA18" s="1559">
        <v>1</v>
      </c>
      <c r="AB18" s="1559">
        <v>1</v>
      </c>
      <c r="AC18" s="1559">
        <v>1</v>
      </c>
    </row>
    <row r="19" spans="1:29" ht="42.75">
      <c r="A19" s="530"/>
      <c r="B19" s="2560"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3"/>
      <c r="M19" s="2115"/>
      <c r="N19" s="2115"/>
      <c r="O19" s="2122"/>
      <c r="P19" s="3859"/>
      <c r="Q19" s="1555" t="str">
        <f>B19</f>
        <v>公共配套设施</v>
      </c>
      <c r="R19" s="1556" t="s">
        <v>8</v>
      </c>
      <c r="S19" s="1557">
        <f>F19</f>
        <v>100</v>
      </c>
      <c r="T19" s="1556" t="s">
        <v>8</v>
      </c>
      <c r="U19" s="1557">
        <f>H19</f>
        <v>100</v>
      </c>
      <c r="V19" s="1556" t="s">
        <v>8</v>
      </c>
      <c r="W19" s="1557">
        <f>J19</f>
        <v>100</v>
      </c>
      <c r="X19" s="1550"/>
      <c r="Y19" s="3859"/>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3"/>
      <c r="M20" s="2115"/>
      <c r="N20" s="2115"/>
      <c r="O20" s="2122"/>
      <c r="P20" s="3859"/>
      <c r="Q20" s="1555"/>
      <c r="R20" s="1556"/>
      <c r="S20" s="1557"/>
      <c r="T20" s="1556"/>
      <c r="U20" s="1557"/>
      <c r="V20" s="1556"/>
      <c r="W20" s="1557"/>
      <c r="X20" s="1550"/>
      <c r="Y20" s="3859"/>
      <c r="Z20" s="1558"/>
      <c r="AA20" s="1559">
        <v>1</v>
      </c>
      <c r="AB20" s="1559">
        <v>1</v>
      </c>
      <c r="AC20" s="1559">
        <v>1</v>
      </c>
    </row>
    <row r="21" spans="1:29" ht="28.5">
      <c r="A21" s="530"/>
      <c r="B21" s="2553"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3"/>
      <c r="M21" s="2115"/>
      <c r="N21" s="2115"/>
      <c r="O21" s="2122"/>
      <c r="P21" s="3859"/>
      <c r="Q21" s="2539" t="str">
        <f>B21</f>
        <v>基础设施水平</v>
      </c>
      <c r="R21" s="1556" t="s">
        <v>8</v>
      </c>
      <c r="S21" s="1557">
        <f>F21</f>
        <v>100</v>
      </c>
      <c r="T21" s="1556" t="s">
        <v>8</v>
      </c>
      <c r="U21" s="1557">
        <f>H21</f>
        <v>100</v>
      </c>
      <c r="V21" s="1556" t="s">
        <v>8</v>
      </c>
      <c r="W21" s="1557">
        <f>J21</f>
        <v>100</v>
      </c>
      <c r="X21" s="2541"/>
      <c r="Y21" s="3859"/>
      <c r="Z21" s="2540"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2"/>
      <c r="L22" s="2123"/>
      <c r="M22" s="2115"/>
      <c r="N22" s="2115"/>
      <c r="O22" s="2122"/>
      <c r="P22" s="3859"/>
      <c r="Q22" s="2539"/>
      <c r="R22" s="1556"/>
      <c r="S22" s="1557"/>
      <c r="T22" s="1556"/>
      <c r="U22" s="1557"/>
      <c r="V22" s="1556"/>
      <c r="W22" s="1557"/>
      <c r="X22" s="2541"/>
      <c r="Y22" s="3859"/>
      <c r="Z22" s="2540"/>
      <c r="AA22" s="1559">
        <v>1</v>
      </c>
      <c r="AB22" s="1559">
        <v>1</v>
      </c>
      <c r="AC22" s="1559">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3"/>
      <c r="M23" s="2115"/>
      <c r="N23" s="2115"/>
      <c r="O23" s="2122"/>
      <c r="P23" s="3859"/>
      <c r="Q23" s="1555" t="str">
        <f>B23</f>
        <v>自然及人文环境</v>
      </c>
      <c r="R23" s="1556" t="s">
        <v>8</v>
      </c>
      <c r="S23" s="1557">
        <f>F23</f>
        <v>100</v>
      </c>
      <c r="T23" s="1556" t="s">
        <v>8</v>
      </c>
      <c r="U23" s="1557">
        <f>H23</f>
        <v>100</v>
      </c>
      <c r="V23" s="1556" t="s">
        <v>8</v>
      </c>
      <c r="W23" s="1557">
        <f>J23</f>
        <v>100</v>
      </c>
      <c r="X23" s="1550"/>
      <c r="Y23" s="3859"/>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3"/>
      <c r="M24" s="2115"/>
      <c r="N24" s="2115"/>
      <c r="O24" s="2122"/>
      <c r="P24" s="3859"/>
      <c r="Q24" s="1555"/>
      <c r="R24" s="1556"/>
      <c r="S24" s="1557"/>
      <c r="T24" s="1556"/>
      <c r="U24" s="1557"/>
      <c r="V24" s="1556"/>
      <c r="W24" s="1557"/>
      <c r="X24" s="1550"/>
      <c r="Y24" s="3859"/>
      <c r="Z24" s="1558"/>
      <c r="AA24" s="1559">
        <v>1</v>
      </c>
      <c r="AB24" s="1559">
        <v>1</v>
      </c>
      <c r="AC24" s="1559">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859"/>
      <c r="Q25" s="1555" t="str">
        <f t="shared" ref="Q25:Q46" si="11">B25</f>
        <v>临街状况</v>
      </c>
      <c r="R25" s="1556" t="s">
        <v>8</v>
      </c>
      <c r="S25" s="1557">
        <f>F25</f>
        <v>100</v>
      </c>
      <c r="T25" s="1556" t="s">
        <v>8</v>
      </c>
      <c r="U25" s="1557">
        <f>H25</f>
        <v>100</v>
      </c>
      <c r="V25" s="1556" t="s">
        <v>8</v>
      </c>
      <c r="W25" s="1557">
        <f>J25</f>
        <v>100</v>
      </c>
      <c r="X25" s="1550"/>
      <c r="Y25" s="3859"/>
      <c r="Z25" s="1558" t="str">
        <f>Q25</f>
        <v>临街状况</v>
      </c>
      <c r="AA25" s="1559">
        <f t="shared" si="3"/>
        <v>1</v>
      </c>
      <c r="AB25" s="1559">
        <f t="shared" si="4"/>
        <v>1</v>
      </c>
      <c r="AC25" s="1559">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859"/>
      <c r="Q26" s="1555" t="str">
        <f t="shared" si="11"/>
        <v>平面位置/可视性</v>
      </c>
      <c r="R26" s="1556" t="s">
        <v>8</v>
      </c>
      <c r="S26" s="1557">
        <f>F26</f>
        <v>100</v>
      </c>
      <c r="T26" s="1556" t="s">
        <v>8</v>
      </c>
      <c r="U26" s="1557">
        <f>H26</f>
        <v>100</v>
      </c>
      <c r="V26" s="1556" t="s">
        <v>8</v>
      </c>
      <c r="W26" s="1557">
        <f>J26</f>
        <v>100</v>
      </c>
      <c r="X26" s="1550"/>
      <c r="Y26" s="3859"/>
      <c r="Z26" s="1558" t="str">
        <f>Q26</f>
        <v>平面位置/可视性</v>
      </c>
      <c r="AA26" s="1559">
        <f t="shared" si="3"/>
        <v>1</v>
      </c>
      <c r="AB26" s="1559">
        <f t="shared" si="4"/>
        <v>1</v>
      </c>
      <c r="AC26" s="1559">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6"/>
      <c r="M27" s="2117"/>
      <c r="N27" s="2117"/>
      <c r="O27" s="2118"/>
      <c r="P27" s="3859"/>
      <c r="Q27" s="1145" t="str">
        <f t="shared" si="11"/>
        <v>人流量</v>
      </c>
      <c r="R27" s="1551" t="s">
        <v>8</v>
      </c>
      <c r="S27" s="1552">
        <f>F27</f>
        <v>100</v>
      </c>
      <c r="T27" s="1551" t="s">
        <v>8</v>
      </c>
      <c r="U27" s="1552">
        <f>H27</f>
        <v>100</v>
      </c>
      <c r="V27" s="1551" t="s">
        <v>8</v>
      </c>
      <c r="W27" s="1552">
        <f>J27</f>
        <v>100</v>
      </c>
      <c r="X27" s="1553"/>
      <c r="Y27" s="3859"/>
      <c r="Z27" s="1144" t="str">
        <f>Q27</f>
        <v>人流量</v>
      </c>
      <c r="AA27" s="1559">
        <f>D27/F27</f>
        <v>1</v>
      </c>
      <c r="AB27" s="1559">
        <f>D27/H27</f>
        <v>1</v>
      </c>
      <c r="AC27" s="1559">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859"/>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859"/>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859"/>
      <c r="Q29" s="1555">
        <f t="shared" si="11"/>
        <v>111</v>
      </c>
      <c r="R29" s="1556" t="s">
        <v>8</v>
      </c>
      <c r="S29" s="1557">
        <f t="shared" si="12"/>
        <v>100</v>
      </c>
      <c r="T29" s="1556" t="s">
        <v>8</v>
      </c>
      <c r="U29" s="1557">
        <f t="shared" si="13"/>
        <v>100</v>
      </c>
      <c r="V29" s="1556" t="s">
        <v>8</v>
      </c>
      <c r="W29" s="1557">
        <f t="shared" si="14"/>
        <v>100</v>
      </c>
      <c r="X29" s="1550"/>
      <c r="Y29" s="3859"/>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859"/>
      <c r="Q30" s="1555">
        <f t="shared" si="11"/>
        <v>111</v>
      </c>
      <c r="R30" s="1556" t="s">
        <v>8</v>
      </c>
      <c r="S30" s="1557">
        <f t="shared" si="12"/>
        <v>100</v>
      </c>
      <c r="T30" s="1556" t="s">
        <v>8</v>
      </c>
      <c r="U30" s="1557">
        <f t="shared" si="13"/>
        <v>100</v>
      </c>
      <c r="V30" s="1556" t="s">
        <v>8</v>
      </c>
      <c r="W30" s="1557">
        <f t="shared" si="14"/>
        <v>100</v>
      </c>
      <c r="X30" s="1550"/>
      <c r="Y30" s="3859"/>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859"/>
      <c r="Q31" s="1555">
        <f t="shared" si="11"/>
        <v>111</v>
      </c>
      <c r="R31" s="1556" t="s">
        <v>8</v>
      </c>
      <c r="S31" s="1557">
        <f t="shared" si="12"/>
        <v>100</v>
      </c>
      <c r="T31" s="1556" t="s">
        <v>8</v>
      </c>
      <c r="U31" s="1557">
        <f t="shared" si="13"/>
        <v>100</v>
      </c>
      <c r="V31" s="1556" t="s">
        <v>8</v>
      </c>
      <c r="W31" s="1557">
        <f t="shared" si="14"/>
        <v>100</v>
      </c>
      <c r="X31" s="1550"/>
      <c r="Y31" s="3859"/>
      <c r="Z31" s="1558">
        <f t="shared" si="15"/>
        <v>111</v>
      </c>
      <c r="AA31" s="1559">
        <f t="shared" si="3"/>
        <v>1</v>
      </c>
      <c r="AB31" s="1559">
        <f t="shared" si="4"/>
        <v>1</v>
      </c>
      <c r="AC31" s="1559">
        <f t="shared" si="5"/>
        <v>1</v>
      </c>
    </row>
    <row r="32" spans="1:29" ht="15">
      <c r="A32" s="2858" t="s">
        <v>2749</v>
      </c>
      <c r="B32" s="170"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860" t="s">
        <v>547</v>
      </c>
      <c r="Q32" s="1555" t="str">
        <f t="shared" si="11"/>
        <v>商业类型</v>
      </c>
      <c r="R32" s="1556" t="s">
        <v>8</v>
      </c>
      <c r="S32" s="1557">
        <f t="shared" si="12"/>
        <v>100</v>
      </c>
      <c r="T32" s="1556" t="s">
        <v>8</v>
      </c>
      <c r="U32" s="1557">
        <f t="shared" si="13"/>
        <v>100</v>
      </c>
      <c r="V32" s="1556" t="s">
        <v>8</v>
      </c>
      <c r="W32" s="1557">
        <f t="shared" si="14"/>
        <v>100</v>
      </c>
      <c r="X32" s="1550"/>
      <c r="Y32" s="3861" t="s">
        <v>547</v>
      </c>
      <c r="Z32" s="1558" t="str">
        <f t="shared" si="15"/>
        <v>商业类型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1"/>
      <c r="M33" s="2152"/>
      <c r="N33" s="2152"/>
      <c r="O33" s="2124"/>
      <c r="P33" s="3861"/>
      <c r="Q33" s="1587" t="str">
        <f t="shared" si="11"/>
        <v>项目建筑规模</v>
      </c>
      <c r="R33" s="1560" t="s">
        <v>8</v>
      </c>
      <c r="S33" s="1561" t="e">
        <f t="shared" si="12"/>
        <v>#N/A</v>
      </c>
      <c r="T33" s="1560" t="s">
        <v>8</v>
      </c>
      <c r="U33" s="1561" t="e">
        <f t="shared" si="13"/>
        <v>#N/A</v>
      </c>
      <c r="V33" s="1560" t="s">
        <v>8</v>
      </c>
      <c r="W33" s="1561" t="e">
        <f t="shared" si="14"/>
        <v>#N/A</v>
      </c>
      <c r="X33" s="1562"/>
      <c r="Y33" s="3861"/>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3"/>
      <c r="M34" s="2115"/>
      <c r="N34" s="2115"/>
      <c r="O34" s="2122"/>
      <c r="P34" s="3861"/>
      <c r="Q34" s="1555" t="str">
        <f t="shared" si="11"/>
        <v>建筑结构</v>
      </c>
      <c r="R34" s="1556" t="s">
        <v>8</v>
      </c>
      <c r="S34" s="1557">
        <f t="shared" si="12"/>
        <v>100</v>
      </c>
      <c r="T34" s="1556" t="s">
        <v>8</v>
      </c>
      <c r="U34" s="1557">
        <f t="shared" si="13"/>
        <v>100</v>
      </c>
      <c r="V34" s="1556" t="s">
        <v>8</v>
      </c>
      <c r="W34" s="1557">
        <f t="shared" si="14"/>
        <v>100</v>
      </c>
      <c r="X34" s="1550"/>
      <c r="Y34" s="3861"/>
      <c r="Z34" s="1558" t="str">
        <f t="shared" si="15"/>
        <v>建筑结构</v>
      </c>
      <c r="AA34" s="1559">
        <f t="shared" si="3"/>
        <v>1</v>
      </c>
      <c r="AB34" s="1559">
        <f t="shared" si="4"/>
        <v>1</v>
      </c>
      <c r="AC34" s="1559">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861"/>
      <c r="Q35" s="1555" t="str">
        <f t="shared" si="11"/>
        <v>公共部分装修</v>
      </c>
      <c r="R35" s="1556" t="s">
        <v>8</v>
      </c>
      <c r="S35" s="1557">
        <f t="shared" si="12"/>
        <v>100</v>
      </c>
      <c r="T35" s="1556" t="s">
        <v>8</v>
      </c>
      <c r="U35" s="1557">
        <f t="shared" si="13"/>
        <v>100</v>
      </c>
      <c r="V35" s="1556" t="s">
        <v>8</v>
      </c>
      <c r="W35" s="1557">
        <f t="shared" si="14"/>
        <v>100</v>
      </c>
      <c r="X35" s="1550"/>
      <c r="Y35" s="3861"/>
      <c r="Z35" s="1558" t="str">
        <f t="shared" si="15"/>
        <v>公共部分装修</v>
      </c>
      <c r="AA35" s="1559">
        <f t="shared" si="3"/>
        <v>1</v>
      </c>
      <c r="AB35" s="1559">
        <f t="shared" si="4"/>
        <v>1</v>
      </c>
      <c r="AC35" s="1559">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3"/>
      <c r="M36" s="2115"/>
      <c r="N36" s="2115"/>
      <c r="O36" s="2122"/>
      <c r="P36" s="3861"/>
      <c r="Q36" s="1555" t="str">
        <f t="shared" si="11"/>
        <v>成新度</v>
      </c>
      <c r="R36" s="1556" t="s">
        <v>8</v>
      </c>
      <c r="S36" s="1557" t="e">
        <f t="shared" si="12"/>
        <v>#N/A</v>
      </c>
      <c r="T36" s="1556" t="s">
        <v>8</v>
      </c>
      <c r="U36" s="1557" t="e">
        <f t="shared" si="13"/>
        <v>#N/A</v>
      </c>
      <c r="V36" s="1556" t="s">
        <v>8</v>
      </c>
      <c r="W36" s="1557" t="e">
        <f t="shared" si="14"/>
        <v>#N/A</v>
      </c>
      <c r="X36" s="1550"/>
      <c r="Y36" s="3861"/>
      <c r="Z36" s="1558" t="str">
        <f t="shared" si="15"/>
        <v>成新度</v>
      </c>
      <c r="AA36" s="1559" t="e">
        <f t="shared" si="3"/>
        <v>#N/A</v>
      </c>
      <c r="AB36" s="1559" t="e">
        <f t="shared" si="4"/>
        <v>#N/A</v>
      </c>
      <c r="AC36" s="1559" t="e">
        <f t="shared" si="5"/>
        <v>#N/A</v>
      </c>
    </row>
    <row r="37" spans="1:29" s="1214" customFormat="1" ht="15">
      <c r="A37" s="598"/>
      <c r="B37" s="1877"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861"/>
      <c r="Q37" s="1145" t="str">
        <f t="shared" si="11"/>
        <v>市政基础设施</v>
      </c>
      <c r="R37" s="1551" t="s">
        <v>8</v>
      </c>
      <c r="S37" s="1552">
        <f t="shared" si="12"/>
        <v>100</v>
      </c>
      <c r="T37" s="1551" t="s">
        <v>8</v>
      </c>
      <c r="U37" s="1552">
        <f t="shared" si="13"/>
        <v>100</v>
      </c>
      <c r="V37" s="1551" t="s">
        <v>8</v>
      </c>
      <c r="W37" s="1552">
        <f t="shared" si="14"/>
        <v>100</v>
      </c>
      <c r="X37" s="1553"/>
      <c r="Y37" s="3861"/>
      <c r="Z37" s="1144" t="str">
        <f t="shared" si="15"/>
        <v>市政基础设施</v>
      </c>
      <c r="AA37" s="1554">
        <f t="shared" si="3"/>
        <v>1</v>
      </c>
      <c r="AB37" s="1554">
        <f t="shared" si="4"/>
        <v>1</v>
      </c>
      <c r="AC37" s="1554">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861" t="s">
        <v>763</v>
      </c>
      <c r="Q38" s="1555" t="str">
        <f t="shared" si="11"/>
        <v>业态</v>
      </c>
      <c r="R38" s="1556" t="s">
        <v>8</v>
      </c>
      <c r="S38" s="1557">
        <f t="shared" si="12"/>
        <v>100</v>
      </c>
      <c r="T38" s="1556" t="s">
        <v>8</v>
      </c>
      <c r="U38" s="1557">
        <f t="shared" si="13"/>
        <v>100</v>
      </c>
      <c r="V38" s="1556" t="s">
        <v>8</v>
      </c>
      <c r="W38" s="1557">
        <f t="shared" si="14"/>
        <v>100</v>
      </c>
      <c r="X38" s="1550"/>
      <c r="Y38" s="3861" t="s">
        <v>763</v>
      </c>
      <c r="Z38" s="1558" t="str">
        <f t="shared" si="15"/>
        <v>业态</v>
      </c>
      <c r="AA38" s="1559">
        <f t="shared" si="3"/>
        <v>1</v>
      </c>
      <c r="AB38" s="1559">
        <f t="shared" si="4"/>
        <v>1</v>
      </c>
      <c r="AC38" s="1559">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61"/>
      <c r="Q39" s="1555" t="str">
        <f t="shared" si="11"/>
        <v>层高</v>
      </c>
      <c r="R39" s="1556" t="s">
        <v>8</v>
      </c>
      <c r="S39" s="1557">
        <f t="shared" si="12"/>
        <v>100</v>
      </c>
      <c r="T39" s="1556" t="s">
        <v>8</v>
      </c>
      <c r="U39" s="1557">
        <f t="shared" si="13"/>
        <v>100</v>
      </c>
      <c r="V39" s="1556" t="s">
        <v>8</v>
      </c>
      <c r="W39" s="1557">
        <f t="shared" si="14"/>
        <v>100</v>
      </c>
      <c r="X39" s="1550"/>
      <c r="Y39" s="3861"/>
      <c r="Z39" s="1558" t="str">
        <f t="shared" si="15"/>
        <v>层高</v>
      </c>
      <c r="AA39" s="1559">
        <f t="shared" si="3"/>
        <v>1</v>
      </c>
      <c r="AB39" s="1559">
        <f t="shared" si="4"/>
        <v>1</v>
      </c>
      <c r="AC39" s="1559">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3"/>
      <c r="M40" s="2115"/>
      <c r="N40" s="2115"/>
      <c r="O40" s="2122"/>
      <c r="P40" s="3861"/>
      <c r="Q40" s="1555" t="str">
        <f t="shared" si="11"/>
        <v>单套建筑面积</v>
      </c>
      <c r="R40" s="1556" t="s">
        <v>8</v>
      </c>
      <c r="S40" s="1557">
        <f t="shared" si="12"/>
        <v>100</v>
      </c>
      <c r="T40" s="1556" t="s">
        <v>8</v>
      </c>
      <c r="U40" s="1557">
        <f t="shared" si="13"/>
        <v>100</v>
      </c>
      <c r="V40" s="1556" t="s">
        <v>8</v>
      </c>
      <c r="W40" s="1557">
        <f t="shared" si="14"/>
        <v>100</v>
      </c>
      <c r="X40" s="1550"/>
      <c r="Y40" s="3861"/>
      <c r="Z40" s="1558" t="str">
        <f t="shared" si="15"/>
        <v>单套建筑面积</v>
      </c>
      <c r="AA40" s="1559">
        <f t="shared" si="3"/>
        <v>1</v>
      </c>
      <c r="AB40" s="1559">
        <f t="shared" si="4"/>
        <v>1</v>
      </c>
      <c r="AC40" s="1559">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861"/>
      <c r="Q41" s="1587" t="str">
        <f t="shared" si="11"/>
        <v>进深比</v>
      </c>
      <c r="R41" s="1560" t="s">
        <v>8</v>
      </c>
      <c r="S41" s="1561">
        <f t="shared" si="12"/>
        <v>100</v>
      </c>
      <c r="T41" s="1560" t="s">
        <v>8</v>
      </c>
      <c r="U41" s="1561">
        <f t="shared" si="13"/>
        <v>100</v>
      </c>
      <c r="V41" s="1560" t="s">
        <v>8</v>
      </c>
      <c r="W41" s="1561">
        <f t="shared" si="14"/>
        <v>100</v>
      </c>
      <c r="X41" s="1562"/>
      <c r="Y41" s="3861"/>
      <c r="Z41" s="1563" t="str">
        <f t="shared" si="15"/>
        <v>进深比</v>
      </c>
      <c r="AA41" s="1559">
        <f t="shared" si="3"/>
        <v>1</v>
      </c>
      <c r="AB41" s="1559">
        <f t="shared" si="4"/>
        <v>1</v>
      </c>
      <c r="AC41" s="1559">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861"/>
      <c r="Q42" s="1555" t="str">
        <f t="shared" si="11"/>
        <v>内部装修</v>
      </c>
      <c r="R42" s="1556" t="s">
        <v>8</v>
      </c>
      <c r="S42" s="1557">
        <f t="shared" si="12"/>
        <v>100</v>
      </c>
      <c r="T42" s="1556" t="s">
        <v>8</v>
      </c>
      <c r="U42" s="1557">
        <f t="shared" si="13"/>
        <v>100</v>
      </c>
      <c r="V42" s="1556" t="s">
        <v>8</v>
      </c>
      <c r="W42" s="1557">
        <f t="shared" si="14"/>
        <v>100</v>
      </c>
      <c r="X42" s="1550"/>
      <c r="Y42" s="3861"/>
      <c r="Z42" s="1558" t="str">
        <f t="shared" si="15"/>
        <v>内部装修</v>
      </c>
      <c r="AA42" s="1559">
        <f t="shared" si="3"/>
        <v>1</v>
      </c>
      <c r="AB42" s="1559">
        <f t="shared" si="4"/>
        <v>1</v>
      </c>
      <c r="AC42" s="1559">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861"/>
      <c r="Q43" s="1555" t="str">
        <f t="shared" si="11"/>
        <v>内部装修维护情况</v>
      </c>
      <c r="R43" s="1556" t="s">
        <v>8</v>
      </c>
      <c r="S43" s="1557">
        <f t="shared" si="12"/>
        <v>100</v>
      </c>
      <c r="T43" s="1556" t="s">
        <v>8</v>
      </c>
      <c r="U43" s="1557">
        <f t="shared" si="13"/>
        <v>100</v>
      </c>
      <c r="V43" s="1556" t="s">
        <v>8</v>
      </c>
      <c r="W43" s="1557">
        <f t="shared" si="14"/>
        <v>100</v>
      </c>
      <c r="X43" s="1550"/>
      <c r="Y43" s="3861"/>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6"/>
      <c r="M44" s="2117"/>
      <c r="N44" s="2117"/>
      <c r="O44" s="2118"/>
      <c r="P44" s="3861"/>
      <c r="Q44" s="1145">
        <f t="shared" si="11"/>
        <v>111</v>
      </c>
      <c r="R44" s="1551" t="s">
        <v>8</v>
      </c>
      <c r="S44" s="1552">
        <f t="shared" si="12"/>
        <v>100</v>
      </c>
      <c r="T44" s="1551" t="s">
        <v>8</v>
      </c>
      <c r="U44" s="1552">
        <f t="shared" si="13"/>
        <v>100</v>
      </c>
      <c r="V44" s="1551" t="s">
        <v>8</v>
      </c>
      <c r="W44" s="1552">
        <f t="shared" si="14"/>
        <v>100</v>
      </c>
      <c r="X44" s="1553"/>
      <c r="Y44" s="3861"/>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861"/>
      <c r="Q45" s="1555">
        <f t="shared" si="11"/>
        <v>111</v>
      </c>
      <c r="R45" s="1556" t="s">
        <v>8</v>
      </c>
      <c r="S45" s="1557">
        <f t="shared" si="12"/>
        <v>100</v>
      </c>
      <c r="T45" s="1556" t="s">
        <v>8</v>
      </c>
      <c r="U45" s="1557">
        <f t="shared" si="13"/>
        <v>100</v>
      </c>
      <c r="V45" s="1556" t="s">
        <v>8</v>
      </c>
      <c r="W45" s="1557">
        <f t="shared" si="14"/>
        <v>100</v>
      </c>
      <c r="X45" s="1550"/>
      <c r="Y45" s="3861"/>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936"/>
      <c r="Q46" s="1555">
        <f t="shared" si="11"/>
        <v>111</v>
      </c>
      <c r="R46" s="1556" t="s">
        <v>8</v>
      </c>
      <c r="S46" s="1557">
        <f t="shared" si="12"/>
        <v>100</v>
      </c>
      <c r="T46" s="1556" t="s">
        <v>8</v>
      </c>
      <c r="U46" s="1557">
        <f t="shared" si="13"/>
        <v>100</v>
      </c>
      <c r="V46" s="1556" t="s">
        <v>8</v>
      </c>
      <c r="W46" s="1557">
        <f t="shared" si="14"/>
        <v>100</v>
      </c>
      <c r="X46" s="1550"/>
      <c r="Y46" s="3936"/>
      <c r="Z46" s="1558">
        <f t="shared" si="15"/>
        <v>111</v>
      </c>
      <c r="AA46" s="1559">
        <f t="shared" si="3"/>
        <v>1</v>
      </c>
      <c r="AB46" s="1559">
        <f t="shared" si="4"/>
        <v>1</v>
      </c>
      <c r="AC46" s="1559">
        <f t="shared" si="5"/>
        <v>1</v>
      </c>
    </row>
    <row r="47" spans="1:29" ht="15">
      <c r="A47" s="605" t="s">
        <v>733</v>
      </c>
      <c r="B47" s="885"/>
      <c r="C47" s="2587" t="s">
        <v>1</v>
      </c>
      <c r="D47" s="2588"/>
      <c r="E47" s="2589"/>
      <c r="F47" s="2590"/>
      <c r="G47" s="2591"/>
      <c r="H47" s="2592"/>
      <c r="I47" s="2589"/>
      <c r="J47" s="2592"/>
      <c r="K47" s="1593"/>
      <c r="L47" s="2125"/>
      <c r="M47" s="2126"/>
      <c r="N47" s="2115"/>
      <c r="O47" s="2126"/>
      <c r="P47" s="3824" t="str">
        <f>A47</f>
        <v>成交单价（元/平方米）</v>
      </c>
      <c r="Q47" s="3824"/>
      <c r="R47" s="3935">
        <f>E47</f>
        <v>0</v>
      </c>
      <c r="S47" s="3935"/>
      <c r="T47" s="3935">
        <f>G47</f>
        <v>0</v>
      </c>
      <c r="U47" s="3935"/>
      <c r="V47" s="3935">
        <f>I47</f>
        <v>0</v>
      </c>
      <c r="W47" s="3935"/>
      <c r="X47" s="1542"/>
      <c r="Y47" s="1564"/>
      <c r="Z47" s="1542"/>
      <c r="AA47" s="1542"/>
      <c r="AB47" s="1542"/>
      <c r="AC47" s="1542"/>
    </row>
    <row r="48" spans="1:29" ht="15.75" thickBot="1">
      <c r="A48" s="613" t="s">
        <v>2754</v>
      </c>
      <c r="B48" s="886"/>
      <c r="C48" s="2593" t="e">
        <f>R49</f>
        <v>#DIV/0!</v>
      </c>
      <c r="D48" s="2594"/>
      <c r="E48" s="2595" t="e">
        <f>R48</f>
        <v>#DIV/0!</v>
      </c>
      <c r="F48" s="2595"/>
      <c r="G48" s="2593" t="e">
        <f>T48</f>
        <v>#DIV/0!</v>
      </c>
      <c r="H48" s="2594"/>
      <c r="I48" s="2595" t="e">
        <f>V48</f>
        <v>#DIV/0!</v>
      </c>
      <c r="J48" s="2594"/>
      <c r="K48" s="1594"/>
      <c r="L48" s="2125"/>
      <c r="M48" s="2126"/>
      <c r="N48" s="2115"/>
      <c r="O48" s="2126"/>
      <c r="P48" s="3824" t="str">
        <f>A48</f>
        <v>比较价格（元/平方米）</v>
      </c>
      <c r="Q48" s="3824"/>
      <c r="R48" s="3935" t="e">
        <f>IF(F1="售价",ROUND(PRODUCT(R47,AA7:AA46),0),ROUND(PRODUCT(R47,AA7:AA46),1))</f>
        <v>#DIV/0!</v>
      </c>
      <c r="S48" s="3935"/>
      <c r="T48" s="3935" t="e">
        <f>IF(F1="售价",ROUND(PRODUCT(T47,AB7:AB46),0),ROUND(PRODUCT(T47,AB7:AB46),1))</f>
        <v>#DIV/0!</v>
      </c>
      <c r="U48" s="3935"/>
      <c r="V48" s="3935" t="e">
        <f>IF(F1="售价",ROUND(PRODUCT(V47,AC7:AC46),0),ROUND(PRODUCT(V47,AC7:AC46),1))</f>
        <v>#DIV/0!</v>
      </c>
      <c r="W48" s="3935"/>
      <c r="X48" s="1542"/>
      <c r="Y48" s="1542"/>
      <c r="Z48" s="1542"/>
      <c r="AA48" s="1542"/>
      <c r="AB48" s="1542"/>
      <c r="AC48" s="1542"/>
    </row>
    <row r="49" spans="1:29" ht="15.75" thickBot="1">
      <c r="A49" s="619" t="s">
        <v>2930</v>
      </c>
      <c r="B49" s="620"/>
      <c r="C49" s="2596" t="e">
        <f>R49</f>
        <v>#DIV/0!</v>
      </c>
      <c r="D49" s="2596"/>
      <c r="E49" s="2596"/>
      <c r="F49" s="2596"/>
      <c r="G49" s="2596"/>
      <c r="H49" s="2596"/>
      <c r="I49" s="2596"/>
      <c r="J49" s="2596"/>
      <c r="K49" s="1595"/>
      <c r="L49" s="2125"/>
      <c r="M49" s="2126"/>
      <c r="N49" s="2115"/>
      <c r="O49" s="2126"/>
      <c r="P49" s="3821" t="str">
        <f>A49</f>
        <v>估价对象XX用房的比较价格（楼面单价，元/平方米）</v>
      </c>
      <c r="Q49" s="3822"/>
      <c r="R49" s="3934" t="e">
        <f>IF(F1="售价",ROUND(AVERAGE(R48:V48),0),ROUND(AVERAGE(R48:V48),1))</f>
        <v>#DIV/0!</v>
      </c>
      <c r="S49" s="3934"/>
      <c r="T49" s="3934"/>
      <c r="U49" s="3934"/>
      <c r="V49" s="3934"/>
      <c r="W49" s="3934"/>
      <c r="X49" s="1542"/>
      <c r="Y49" s="1542"/>
      <c r="Z49" s="1542"/>
      <c r="AA49" s="1542"/>
      <c r="AB49" s="1542"/>
      <c r="AC49" s="1542"/>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7" t="s">
        <v>571</v>
      </c>
      <c r="B57" s="1542"/>
      <c r="C57" s="1566"/>
      <c r="D57" s="1566"/>
      <c r="E57" s="1566"/>
      <c r="F57" s="1568"/>
      <c r="G57" s="1568"/>
      <c r="H57" s="1566"/>
      <c r="I57" s="1566"/>
      <c r="J57" s="1566"/>
      <c r="K57" s="1569"/>
      <c r="L57" s="1565"/>
      <c r="M57" s="1566"/>
      <c r="N57" s="1566"/>
      <c r="O57" s="1566"/>
      <c r="P57" s="2138"/>
      <c r="Q57" s="2139"/>
      <c r="R57" s="2126"/>
      <c r="S57" s="2126"/>
      <c r="T57" s="2126"/>
      <c r="U57" s="2126"/>
      <c r="V57" s="2126"/>
      <c r="W57" s="2126"/>
      <c r="X57" s="2126"/>
      <c r="Y57" s="2126"/>
      <c r="Z57" s="2126"/>
      <c r="AA57" s="2126"/>
      <c r="AB57" s="2126"/>
      <c r="AC57" s="2126"/>
    </row>
    <row r="58" spans="1:29" s="1341" customFormat="1" ht="15">
      <c r="A58" s="643" t="s">
        <v>526</v>
      </c>
      <c r="B58" s="644"/>
      <c r="C58" s="2753"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4" customFormat="1" ht="15.75" thickBot="1">
      <c r="A60" s="651" t="s">
        <v>572</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528</v>
      </c>
      <c r="B61" s="646"/>
      <c r="C61" s="658" t="s">
        <v>573</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9"/>
    </row>
    <row r="63" spans="1:29">
      <c r="A63" s="662" t="s">
        <v>574</v>
      </c>
      <c r="B63" s="663" t="s">
        <v>531</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536</v>
      </c>
      <c r="B76" s="663" t="s">
        <v>575</v>
      </c>
      <c r="C76" s="701" t="s">
        <v>576</v>
      </c>
      <c r="D76" s="701" t="s">
        <v>577</v>
      </c>
      <c r="E76" s="701" t="s">
        <v>578</v>
      </c>
      <c r="F76" s="701" t="s">
        <v>579</v>
      </c>
      <c r="G76" s="701" t="s">
        <v>580</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583</v>
      </c>
      <c r="C78" s="706" t="s">
        <v>576</v>
      </c>
      <c r="D78" s="706" t="s">
        <v>577</v>
      </c>
      <c r="E78" s="706" t="s">
        <v>578</v>
      </c>
      <c r="F78" s="706" t="s">
        <v>579</v>
      </c>
      <c r="G78" s="706" t="s">
        <v>580</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8" t="s">
        <v>2551</v>
      </c>
      <c r="C80" s="706" t="s">
        <v>576</v>
      </c>
      <c r="D80" s="706" t="s">
        <v>577</v>
      </c>
      <c r="E80" s="706" t="s">
        <v>578</v>
      </c>
      <c r="F80" s="706" t="s">
        <v>579</v>
      </c>
      <c r="G80" s="706" t="s">
        <v>580</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2552</v>
      </c>
      <c r="C82" s="2558" t="s">
        <v>2553</v>
      </c>
      <c r="D82" s="2558" t="s">
        <v>2554</v>
      </c>
      <c r="E82" s="2558" t="s">
        <v>2555</v>
      </c>
      <c r="F82" s="2558" t="s">
        <v>2556</v>
      </c>
      <c r="G82" s="2558" t="s">
        <v>2557</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741</v>
      </c>
      <c r="C84" s="706" t="s">
        <v>576</v>
      </c>
      <c r="D84" s="706" t="s">
        <v>577</v>
      </c>
      <c r="E84" s="706" t="s">
        <v>578</v>
      </c>
      <c r="F84" s="706" t="s">
        <v>579</v>
      </c>
      <c r="G84" s="706" t="s">
        <v>580</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671" t="s">
        <v>768</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tr">
        <f>B26</f>
        <v>平面位置/可视性</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8"/>
      <c r="M92" s="88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548</v>
      </c>
      <c r="B100" s="663" t="s">
        <v>769</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746</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748</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2">
        <v>0.5</v>
      </c>
      <c r="D110" s="892">
        <v>0.6</v>
      </c>
      <c r="E110" s="892">
        <v>0.7</v>
      </c>
      <c r="F110" s="892">
        <v>0.8</v>
      </c>
      <c r="G110" s="892">
        <v>0.9</v>
      </c>
      <c r="H110" s="892">
        <v>1.0001</v>
      </c>
      <c r="I110" s="903"/>
      <c r="J110" s="903"/>
      <c r="K110" s="904"/>
      <c r="L110" s="905"/>
      <c r="M110" s="906"/>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6"/>
      <c r="B112" s="1878" t="s">
        <v>2550</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770</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771</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772</v>
      </c>
      <c r="C118" s="907"/>
      <c r="D118" s="907"/>
      <c r="E118" s="907"/>
      <c r="F118" s="907"/>
      <c r="G118" s="907"/>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6"/>
      <c r="B120" s="671" t="s">
        <v>773</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752</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58"/>
      <c r="G1" s="1583" t="s">
        <v>718</v>
      </c>
      <c r="H1" s="504"/>
      <c r="I1" s="504"/>
      <c r="J1" s="504"/>
      <c r="K1" s="505"/>
      <c r="L1" s="1545"/>
      <c r="M1" s="1546"/>
      <c r="N1" s="1546"/>
      <c r="O1" s="1546"/>
      <c r="P1" s="2188"/>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8"/>
      <c r="D2" s="2108"/>
      <c r="E2" s="2042"/>
      <c r="F2" s="2110"/>
      <c r="G2" s="2109"/>
      <c r="H2" s="2109"/>
      <c r="I2" s="2109"/>
      <c r="J2" s="2109"/>
      <c r="K2" s="2109"/>
      <c r="L2" s="2112"/>
      <c r="M2" s="2113"/>
      <c r="N2" s="2113"/>
      <c r="O2" s="2113"/>
      <c r="P2" s="2188"/>
      <c r="Q2" s="1547"/>
      <c r="R2" s="1547"/>
      <c r="S2" s="1547"/>
      <c r="T2" s="1547"/>
      <c r="U2" s="1547"/>
      <c r="V2" s="1547"/>
      <c r="W2" s="1547"/>
      <c r="X2" s="1547"/>
      <c r="Y2" s="1547"/>
      <c r="Z2" s="1547"/>
      <c r="AA2" s="1547"/>
      <c r="AB2" s="1547"/>
      <c r="AC2" s="1548"/>
    </row>
    <row r="3" spans="1:29" s="1330" customFormat="1" ht="28.5" customHeight="1" thickBot="1">
      <c r="A3" s="507" t="s">
        <v>516</v>
      </c>
      <c r="B3" s="508" t="e">
        <f>C50</f>
        <v>#DIV/0!</v>
      </c>
      <c r="C3" s="850" t="s">
        <v>719</v>
      </c>
      <c r="D3" s="849">
        <f>SUMIF('数据-汇总表'!$C19:$C33,D1,'数据-汇总表'!$E19:$E33)</f>
        <v>0</v>
      </c>
      <c r="E3" s="2042"/>
      <c r="F3" s="2110"/>
      <c r="G3" s="2109"/>
      <c r="H3" s="2109"/>
      <c r="I3" s="2109"/>
      <c r="J3" s="2109"/>
      <c r="K3" s="2111"/>
      <c r="L3" s="2112"/>
      <c r="M3" s="2113"/>
      <c r="N3" s="2113"/>
      <c r="O3" s="2113"/>
      <c r="P3" s="2188"/>
      <c r="Q3" s="1547"/>
      <c r="R3" s="1547"/>
      <c r="S3" s="1547"/>
      <c r="T3" s="1547"/>
      <c r="U3" s="1547"/>
      <c r="V3" s="1547"/>
      <c r="W3" s="1547"/>
      <c r="X3" s="1547"/>
      <c r="Y3" s="1547"/>
      <c r="Z3" s="1547"/>
      <c r="AA3" s="1547"/>
      <c r="AB3" s="1547"/>
      <c r="AC3" s="1548"/>
    </row>
    <row r="4" spans="1:29" ht="15">
      <c r="A4" s="510" t="s">
        <v>518</v>
      </c>
      <c r="B4" s="511"/>
      <c r="C4" s="3830" t="s">
        <v>519</v>
      </c>
      <c r="D4" s="3831"/>
      <c r="E4" s="3864" t="s">
        <v>520</v>
      </c>
      <c r="F4" s="3865"/>
      <c r="G4" s="3830" t="s">
        <v>521</v>
      </c>
      <c r="H4" s="3831"/>
      <c r="I4" s="3830" t="s">
        <v>522</v>
      </c>
      <c r="J4" s="3831"/>
      <c r="K4" s="512" t="s">
        <v>523</v>
      </c>
      <c r="L4" s="2114"/>
      <c r="M4" s="2115"/>
      <c r="N4" s="2115"/>
      <c r="O4" s="2115"/>
      <c r="P4" s="3938" t="s">
        <v>524</v>
      </c>
      <c r="Q4" s="3833"/>
      <c r="R4" s="3838" t="s">
        <v>520</v>
      </c>
      <c r="S4" s="3839"/>
      <c r="T4" s="3838" t="s">
        <v>521</v>
      </c>
      <c r="U4" s="3839"/>
      <c r="V4" s="3825" t="s">
        <v>522</v>
      </c>
      <c r="W4" s="3825"/>
      <c r="X4" s="1550"/>
      <c r="Y4" s="3838" t="s">
        <v>524</v>
      </c>
      <c r="Z4" s="3839"/>
      <c r="AA4" s="3827" t="s">
        <v>520</v>
      </c>
      <c r="AB4" s="3827" t="s">
        <v>521</v>
      </c>
      <c r="AC4" s="3827" t="s">
        <v>522</v>
      </c>
    </row>
    <row r="5" spans="1:29" ht="15">
      <c r="A5" s="513"/>
      <c r="B5" s="514"/>
      <c r="C5" s="3846" t="s">
        <v>2924</v>
      </c>
      <c r="D5" s="3847"/>
      <c r="E5" s="3866" t="s">
        <v>2925</v>
      </c>
      <c r="F5" s="3867"/>
      <c r="G5" s="3846" t="s">
        <v>2926</v>
      </c>
      <c r="H5" s="3847"/>
      <c r="I5" s="3846" t="s">
        <v>2927</v>
      </c>
      <c r="J5" s="3847"/>
      <c r="K5" s="512"/>
      <c r="L5" s="2114"/>
      <c r="M5" s="2115"/>
      <c r="N5" s="2115"/>
      <c r="O5" s="2115"/>
      <c r="P5" s="3939"/>
      <c r="Q5" s="3835"/>
      <c r="R5" s="3840"/>
      <c r="S5" s="3841"/>
      <c r="T5" s="3840"/>
      <c r="U5" s="3841"/>
      <c r="V5" s="3825"/>
      <c r="W5" s="3825"/>
      <c r="X5" s="1550"/>
      <c r="Y5" s="3840"/>
      <c r="Z5" s="3841"/>
      <c r="AA5" s="3828"/>
      <c r="AB5" s="3828"/>
      <c r="AC5" s="3828"/>
    </row>
    <row r="6" spans="1:29" ht="15.75" thickBot="1">
      <c r="A6" s="515"/>
      <c r="B6" s="516"/>
      <c r="C6" s="3844" t="s">
        <v>2928</v>
      </c>
      <c r="D6" s="3845"/>
      <c r="E6" s="3862" t="s">
        <v>2928</v>
      </c>
      <c r="F6" s="3863"/>
      <c r="G6" s="3844" t="s">
        <v>2928</v>
      </c>
      <c r="H6" s="3845"/>
      <c r="I6" s="3844" t="s">
        <v>2928</v>
      </c>
      <c r="J6" s="3845"/>
      <c r="K6" s="512" t="s">
        <v>525</v>
      </c>
      <c r="L6" s="2114"/>
      <c r="M6" s="2115"/>
      <c r="N6" s="2115"/>
      <c r="O6" s="2115"/>
      <c r="P6" s="3940"/>
      <c r="Q6" s="3837"/>
      <c r="R6" s="3840"/>
      <c r="S6" s="3841"/>
      <c r="T6" s="3842"/>
      <c r="U6" s="3843"/>
      <c r="V6" s="3825"/>
      <c r="W6" s="3825"/>
      <c r="X6" s="1550"/>
      <c r="Y6" s="3842"/>
      <c r="Z6" s="3843"/>
      <c r="AA6" s="3829"/>
      <c r="AB6" s="3829"/>
      <c r="AC6" s="3829"/>
    </row>
    <row r="7" spans="1:29" s="1214" customFormat="1" ht="15.75" thickBot="1">
      <c r="A7" s="2863"/>
      <c r="B7" s="2870" t="s">
        <v>526</v>
      </c>
      <c r="C7" s="517">
        <f>'数据-取费表'!B2</f>
        <v>43764</v>
      </c>
      <c r="D7" s="518">
        <v>100</v>
      </c>
      <c r="E7" s="519"/>
      <c r="F7" s="520">
        <f>SUMIF(59:59,YEAR(E7)&amp;"-"&amp;MONTH(E7),60:60)</f>
        <v>0</v>
      </c>
      <c r="G7" s="519"/>
      <c r="H7" s="518">
        <f>SUMIF(59:59,YEAR(G7)&amp;"-"&amp;MONTH(G7),60:60)</f>
        <v>0</v>
      </c>
      <c r="I7" s="519"/>
      <c r="J7" s="518">
        <f>SUMIF(59:59,YEAR(I7)&amp;"-"&amp;MONTH(I7),60:60)</f>
        <v>0</v>
      </c>
      <c r="K7" s="522"/>
      <c r="L7" s="2116"/>
      <c r="M7" s="2117"/>
      <c r="N7" s="2117"/>
      <c r="O7" s="2117"/>
      <c r="P7" s="3857" t="s">
        <v>527</v>
      </c>
      <c r="Q7" s="3857"/>
      <c r="R7" s="1551" t="s">
        <v>8</v>
      </c>
      <c r="S7" s="1552">
        <f t="shared" ref="S7:S15" si="0">F7</f>
        <v>0</v>
      </c>
      <c r="T7" s="1551" t="s">
        <v>8</v>
      </c>
      <c r="U7" s="1552">
        <f t="shared" ref="U7:U15" si="1">H7</f>
        <v>0</v>
      </c>
      <c r="V7" s="1551" t="s">
        <v>8</v>
      </c>
      <c r="W7" s="1552">
        <f t="shared" ref="W7:W15" si="2">J7</f>
        <v>0</v>
      </c>
      <c r="X7" s="1553"/>
      <c r="Y7" s="3855" t="s">
        <v>527</v>
      </c>
      <c r="Z7" s="3856"/>
      <c r="AA7" s="1554" t="e">
        <f>D7/F7</f>
        <v>#DIV/0!</v>
      </c>
      <c r="AB7" s="1554" t="e">
        <f>D7/H7</f>
        <v>#DIV/0!</v>
      </c>
      <c r="AC7" s="1554" t="e">
        <f>D7/J7</f>
        <v>#DIV/0!</v>
      </c>
    </row>
    <row r="8" spans="1:29" s="1214" customFormat="1" ht="15.75" thickBot="1">
      <c r="A8" s="2864"/>
      <c r="B8" s="2871" t="s">
        <v>528</v>
      </c>
      <c r="C8" s="523" t="s">
        <v>573</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857" t="s">
        <v>530</v>
      </c>
      <c r="Q8" s="3856"/>
      <c r="R8" s="1551" t="s">
        <v>8</v>
      </c>
      <c r="S8" s="1552">
        <f t="shared" si="0"/>
        <v>0</v>
      </c>
      <c r="T8" s="1551" t="s">
        <v>8</v>
      </c>
      <c r="U8" s="1552">
        <f t="shared" si="1"/>
        <v>0</v>
      </c>
      <c r="V8" s="1551" t="s">
        <v>8</v>
      </c>
      <c r="W8" s="1552">
        <f t="shared" si="2"/>
        <v>0</v>
      </c>
      <c r="X8" s="1553"/>
      <c r="Y8" s="3855" t="s">
        <v>530</v>
      </c>
      <c r="Z8" s="3856"/>
      <c r="AA8" s="1554" t="e">
        <f t="shared" ref="AA8:AA47" si="3">D8/F8</f>
        <v>#DIV/0!</v>
      </c>
      <c r="AB8" s="1554" t="e">
        <f t="shared" ref="AB8:AB47" si="4">D8/H8</f>
        <v>#DIV/0!</v>
      </c>
      <c r="AC8" s="1554" t="e">
        <f t="shared" ref="AC8:AC47" si="5">D8/J8</f>
        <v>#DIV/0!</v>
      </c>
    </row>
    <row r="9" spans="1:29" s="1214" customFormat="1" ht="15">
      <c r="A9" s="2865"/>
      <c r="B9" s="2872" t="s">
        <v>2750</v>
      </c>
      <c r="C9" s="855"/>
      <c r="D9" s="252">
        <v>100</v>
      </c>
      <c r="E9" s="858"/>
      <c r="F9" s="252">
        <f>SUMIF(64:64,E9,65:65)-SUMIF(64:64,C9,65:65)+100</f>
        <v>100</v>
      </c>
      <c r="G9" s="856"/>
      <c r="H9" s="252">
        <f>SUMIF(64:64,G9,65:65)-SUMIF(64:64,C9,65:65)+100</f>
        <v>100</v>
      </c>
      <c r="I9" s="856"/>
      <c r="J9" s="252">
        <f>SUMIF(64:64,I9,65:65)-SUMIF(64:64,C9,65:65)+100</f>
        <v>100</v>
      </c>
      <c r="K9" s="522"/>
      <c r="L9" s="2116"/>
      <c r="M9" s="2117"/>
      <c r="N9" s="2117"/>
      <c r="O9" s="2117"/>
      <c r="P9" s="3824" t="s">
        <v>532</v>
      </c>
      <c r="Q9" s="1145" t="str">
        <f t="shared" ref="Q9:Q15" si="6">B9</f>
        <v>用途</v>
      </c>
      <c r="R9" s="1551" t="s">
        <v>8</v>
      </c>
      <c r="S9" s="1552">
        <f t="shared" si="0"/>
        <v>100</v>
      </c>
      <c r="T9" s="1551" t="s">
        <v>8</v>
      </c>
      <c r="U9" s="1552">
        <f t="shared" si="1"/>
        <v>100</v>
      </c>
      <c r="V9" s="1551" t="s">
        <v>8</v>
      </c>
      <c r="W9" s="1552">
        <f t="shared" si="2"/>
        <v>100</v>
      </c>
      <c r="X9" s="1553"/>
      <c r="Y9" s="3712"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59"/>
      <c r="F10" s="253">
        <f>SUMIF(66:66,E10,67:67)-SUMIF(66:66,C10,67:67)+100</f>
        <v>100</v>
      </c>
      <c r="G10" s="860"/>
      <c r="H10" s="253">
        <f>SUMIF(66:66,G10,67:67)-SUMIF(66:66,C10,67:67)+100</f>
        <v>100</v>
      </c>
      <c r="I10" s="859"/>
      <c r="J10" s="253">
        <f>SUMIF(66:66,I10,67:67)-SUMIF(66:66,C10,67:67)+100</f>
        <v>100</v>
      </c>
      <c r="K10" s="582"/>
      <c r="L10" s="2119"/>
      <c r="M10" s="2159"/>
      <c r="N10" s="2159"/>
      <c r="O10" s="2159"/>
      <c r="P10" s="3824"/>
      <c r="Q10" s="1145" t="str">
        <f t="shared" si="6"/>
        <v>土地使用年限（年）</v>
      </c>
      <c r="R10" s="1551" t="s">
        <v>8</v>
      </c>
      <c r="S10" s="1552">
        <f t="shared" si="0"/>
        <v>100</v>
      </c>
      <c r="T10" s="1551" t="s">
        <v>8</v>
      </c>
      <c r="U10" s="1552">
        <f t="shared" si="1"/>
        <v>100</v>
      </c>
      <c r="V10" s="1551" t="s">
        <v>8</v>
      </c>
      <c r="W10" s="1552">
        <f t="shared" si="2"/>
        <v>100</v>
      </c>
      <c r="X10" s="1553"/>
      <c r="Y10" s="3712"/>
      <c r="Z10" s="1144" t="str">
        <f t="shared" si="7"/>
        <v>土地使用年限（年）</v>
      </c>
      <c r="AA10" s="1554">
        <f t="shared" si="3"/>
        <v>1</v>
      </c>
      <c r="AB10" s="1554">
        <f t="shared" si="4"/>
        <v>1</v>
      </c>
      <c r="AC10" s="1554">
        <f t="shared" si="5"/>
        <v>1</v>
      </c>
    </row>
    <row r="11" spans="1:29" ht="15">
      <c r="A11" s="2867"/>
      <c r="B11" s="2871" t="s">
        <v>2752</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1"/>
      <c r="M11" s="2115"/>
      <c r="N11" s="2115"/>
      <c r="O11" s="2115"/>
      <c r="P11" s="3824"/>
      <c r="Q11" s="1145" t="str">
        <f t="shared" si="6"/>
        <v>容积率</v>
      </c>
      <c r="R11" s="1551" t="s">
        <v>8</v>
      </c>
      <c r="S11" s="1552" t="e">
        <f t="shared" si="0"/>
        <v>#N/A</v>
      </c>
      <c r="T11" s="1551" t="s">
        <v>8</v>
      </c>
      <c r="U11" s="1552" t="e">
        <f t="shared" si="1"/>
        <v>#N/A</v>
      </c>
      <c r="V11" s="1551" t="s">
        <v>8</v>
      </c>
      <c r="W11" s="1552" t="e">
        <f t="shared" si="2"/>
        <v>#N/A</v>
      </c>
      <c r="X11" s="1553"/>
      <c r="Y11" s="3712"/>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26"/>
      <c r="F12" s="253">
        <f>SUMIF(71:71,E12,72:72)-SUMIF(71:71,C12,72:72)+100</f>
        <v>100</v>
      </c>
      <c r="G12" s="908"/>
      <c r="H12" s="253">
        <f>SUMIF(71:71,G12,72:72)-SUMIF(71:71,C12,72:72)+100</f>
        <v>100</v>
      </c>
      <c r="I12" s="526"/>
      <c r="J12" s="253">
        <f>SUMIF(71:71,I12,72:72)-SUMIF(71:71,C12,72:72)+100</f>
        <v>100</v>
      </c>
      <c r="K12" s="579"/>
      <c r="L12" s="2116"/>
      <c r="M12" s="2117"/>
      <c r="N12" s="2117"/>
      <c r="O12" s="2117"/>
      <c r="P12" s="3824"/>
      <c r="Q12" s="1145">
        <f t="shared" si="6"/>
        <v>111</v>
      </c>
      <c r="R12" s="1551" t="s">
        <v>8</v>
      </c>
      <c r="S12" s="1552">
        <f t="shared" si="0"/>
        <v>100</v>
      </c>
      <c r="T12" s="1551" t="s">
        <v>8</v>
      </c>
      <c r="U12" s="1552">
        <f t="shared" si="1"/>
        <v>100</v>
      </c>
      <c r="V12" s="1551" t="s">
        <v>8</v>
      </c>
      <c r="W12" s="1552">
        <f t="shared" si="2"/>
        <v>100</v>
      </c>
      <c r="X12" s="1553"/>
      <c r="Y12" s="3712"/>
      <c r="Z12" s="1144">
        <f t="shared" si="7"/>
        <v>111</v>
      </c>
      <c r="AA12" s="1554">
        <f>D12/F12</f>
        <v>1</v>
      </c>
      <c r="AB12" s="1554">
        <f>D12/H12</f>
        <v>1</v>
      </c>
      <c r="AC12" s="1554">
        <f>D12/J12</f>
        <v>1</v>
      </c>
    </row>
    <row r="13" spans="1:29" ht="15">
      <c r="A13" s="2868"/>
      <c r="B13" s="2874">
        <v>111</v>
      </c>
      <c r="C13" s="537"/>
      <c r="D13" s="538">
        <v>100</v>
      </c>
      <c r="E13" s="526"/>
      <c r="F13" s="253">
        <f>SUMIF(73:73,E13,74:74)-SUMIF(73:73,C13,74:74)+100</f>
        <v>100</v>
      </c>
      <c r="G13" s="908"/>
      <c r="H13" s="538">
        <f>SUMIF(73:73,G13,74:74)-SUMIF(73:73,C13,74:74)+100</f>
        <v>100</v>
      </c>
      <c r="I13" s="526"/>
      <c r="J13" s="538">
        <f>SUMIF(73:73,I13,74:74)-SUMIF(73:73,C13,74:74)+100</f>
        <v>100</v>
      </c>
      <c r="K13" s="579"/>
      <c r="L13" s="2123"/>
      <c r="M13" s="2115"/>
      <c r="N13" s="2115"/>
      <c r="O13" s="2115"/>
      <c r="P13" s="3824"/>
      <c r="Q13" s="1145">
        <f t="shared" si="6"/>
        <v>111</v>
      </c>
      <c r="R13" s="1551" t="s">
        <v>8</v>
      </c>
      <c r="S13" s="1552">
        <f t="shared" si="0"/>
        <v>100</v>
      </c>
      <c r="T13" s="1551" t="s">
        <v>8</v>
      </c>
      <c r="U13" s="1552">
        <f t="shared" si="1"/>
        <v>100</v>
      </c>
      <c r="V13" s="1551" t="s">
        <v>8</v>
      </c>
      <c r="W13" s="1552">
        <f t="shared" si="2"/>
        <v>100</v>
      </c>
      <c r="X13" s="1553"/>
      <c r="Y13" s="3712"/>
      <c r="Z13" s="1144">
        <f t="shared" si="7"/>
        <v>111</v>
      </c>
      <c r="AA13" s="1554">
        <f t="shared" si="3"/>
        <v>1</v>
      </c>
      <c r="AB13" s="1554">
        <f t="shared" si="4"/>
        <v>1</v>
      </c>
      <c r="AC13" s="1554">
        <f t="shared" si="5"/>
        <v>1</v>
      </c>
    </row>
    <row r="14" spans="1:29" ht="15.75" thickBot="1">
      <c r="A14" s="2869"/>
      <c r="B14" s="2875">
        <v>111</v>
      </c>
      <c r="C14" s="543"/>
      <c r="D14" s="544">
        <v>100</v>
      </c>
      <c r="E14" s="909"/>
      <c r="F14" s="544">
        <f>SUMIF(75:75,E14,76:76)-SUMIF(75:75,C14,76:76)+100</f>
        <v>100</v>
      </c>
      <c r="G14" s="908"/>
      <c r="H14" s="544">
        <f>SUMIF(75:75,G14,76:76)-SUMIF(75:75,C14,76:76)+100</f>
        <v>100</v>
      </c>
      <c r="I14" s="526"/>
      <c r="J14" s="544">
        <f>SUMIF(75:75,I14,76:76)-SUMIF(75:75,C14,76:76)+100</f>
        <v>100</v>
      </c>
      <c r="K14" s="579"/>
      <c r="L14" s="2123"/>
      <c r="M14" s="2115"/>
      <c r="N14" s="2115"/>
      <c r="O14" s="2115"/>
      <c r="P14" s="3824"/>
      <c r="Q14" s="1145">
        <f t="shared" si="6"/>
        <v>111</v>
      </c>
      <c r="R14" s="1551" t="s">
        <v>8</v>
      </c>
      <c r="S14" s="1552">
        <f t="shared" si="0"/>
        <v>100</v>
      </c>
      <c r="T14" s="1551" t="s">
        <v>8</v>
      </c>
      <c r="U14" s="1552">
        <f t="shared" si="1"/>
        <v>100</v>
      </c>
      <c r="V14" s="1551" t="s">
        <v>8</v>
      </c>
      <c r="W14" s="1552">
        <f t="shared" si="2"/>
        <v>100</v>
      </c>
      <c r="X14" s="1553"/>
      <c r="Y14" s="3712"/>
      <c r="Z14" s="1144">
        <f t="shared" si="7"/>
        <v>111</v>
      </c>
      <c r="AA14" s="1554">
        <f t="shared" si="3"/>
        <v>1</v>
      </c>
      <c r="AB14" s="1554">
        <f t="shared" si="4"/>
        <v>1</v>
      </c>
      <c r="AC14" s="1554">
        <f t="shared" si="5"/>
        <v>1</v>
      </c>
    </row>
    <row r="15" spans="1:29" ht="71.25">
      <c r="A15" s="2861" t="s">
        <v>2748</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3"/>
      <c r="M15" s="2115"/>
      <c r="N15" s="2115"/>
      <c r="O15" s="2115"/>
      <c r="P15" s="3858" t="s">
        <v>537</v>
      </c>
      <c r="Q15" s="1555" t="str">
        <f t="shared" si="6"/>
        <v>办公集聚程度</v>
      </c>
      <c r="R15" s="1556" t="s">
        <v>8</v>
      </c>
      <c r="S15" s="1557">
        <f t="shared" si="0"/>
        <v>100</v>
      </c>
      <c r="T15" s="1556" t="s">
        <v>8</v>
      </c>
      <c r="U15" s="1557">
        <f t="shared" si="1"/>
        <v>100</v>
      </c>
      <c r="V15" s="1556" t="s">
        <v>8</v>
      </c>
      <c r="W15" s="1557">
        <f t="shared" si="2"/>
        <v>100</v>
      </c>
      <c r="X15" s="1550"/>
      <c r="Y15" s="3858" t="s">
        <v>537</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3"/>
      <c r="M16" s="2115"/>
      <c r="N16" s="2115"/>
      <c r="O16" s="2115"/>
      <c r="P16" s="3859"/>
      <c r="Q16" s="1555"/>
      <c r="R16" s="1556"/>
      <c r="S16" s="1557"/>
      <c r="T16" s="1556"/>
      <c r="U16" s="1557"/>
      <c r="V16" s="1556"/>
      <c r="W16" s="1557"/>
      <c r="X16" s="1550"/>
      <c r="Y16" s="3859"/>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3"/>
      <c r="M17" s="2115"/>
      <c r="N17" s="2115"/>
      <c r="O17" s="2115"/>
      <c r="P17" s="3859"/>
      <c r="Q17" s="1555" t="str">
        <f>B17</f>
        <v>交通便捷度</v>
      </c>
      <c r="R17" s="1556" t="s">
        <v>8</v>
      </c>
      <c r="S17" s="1557">
        <f>F17</f>
        <v>100</v>
      </c>
      <c r="T17" s="1556" t="s">
        <v>8</v>
      </c>
      <c r="U17" s="1557">
        <f>H17</f>
        <v>100</v>
      </c>
      <c r="V17" s="1556" t="s">
        <v>8</v>
      </c>
      <c r="W17" s="1557">
        <f>J17</f>
        <v>100</v>
      </c>
      <c r="X17" s="1550"/>
      <c r="Y17" s="3859"/>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3"/>
      <c r="M18" s="2115"/>
      <c r="N18" s="2115"/>
      <c r="O18" s="2115"/>
      <c r="P18" s="3859"/>
      <c r="Q18" s="1555"/>
      <c r="R18" s="1556"/>
      <c r="S18" s="1557"/>
      <c r="T18" s="1556"/>
      <c r="U18" s="1557"/>
      <c r="V18" s="1556"/>
      <c r="W18" s="1557"/>
      <c r="X18" s="1550"/>
      <c r="Y18" s="3859"/>
      <c r="Z18" s="1558"/>
      <c r="AA18" s="1559">
        <v>1</v>
      </c>
      <c r="AB18" s="1559">
        <v>1</v>
      </c>
      <c r="AC18" s="1559">
        <v>1</v>
      </c>
    </row>
    <row r="19" spans="1:29" ht="42.75">
      <c r="A19" s="530"/>
      <c r="B19" s="2563" t="s">
        <v>2540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3"/>
      <c r="M19" s="2115"/>
      <c r="N19" s="2115"/>
      <c r="O19" s="2115"/>
      <c r="P19" s="3859"/>
      <c r="Q19" s="1555" t="str">
        <f>B19</f>
        <v>公共配套设施</v>
      </c>
      <c r="R19" s="1556" t="s">
        <v>8</v>
      </c>
      <c r="S19" s="1557">
        <f>F19</f>
        <v>100</v>
      </c>
      <c r="T19" s="1556" t="s">
        <v>8</v>
      </c>
      <c r="U19" s="1557">
        <f>H19</f>
        <v>100</v>
      </c>
      <c r="V19" s="1556" t="s">
        <v>8</v>
      </c>
      <c r="W19" s="1557">
        <f>J19</f>
        <v>100</v>
      </c>
      <c r="X19" s="1550"/>
      <c r="Y19" s="3859"/>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3"/>
      <c r="M20" s="2115"/>
      <c r="N20" s="2115"/>
      <c r="O20" s="2115"/>
      <c r="P20" s="3859"/>
      <c r="Q20" s="1555"/>
      <c r="R20" s="1556"/>
      <c r="S20" s="1557"/>
      <c r="T20" s="1556"/>
      <c r="U20" s="1557"/>
      <c r="V20" s="1556"/>
      <c r="W20" s="1557"/>
      <c r="X20" s="1550"/>
      <c r="Y20" s="3859"/>
      <c r="Z20" s="1558"/>
      <c r="AA20" s="1559">
        <v>1</v>
      </c>
      <c r="AB20" s="1559">
        <v>1</v>
      </c>
      <c r="AC20" s="1559">
        <v>1</v>
      </c>
    </row>
    <row r="21" spans="1:29" ht="28.5">
      <c r="A21" s="530"/>
      <c r="B21" s="2551" t="s">
        <v>2552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3"/>
      <c r="M21" s="2115"/>
      <c r="N21" s="2115"/>
      <c r="O21" s="2115"/>
      <c r="P21" s="3859"/>
      <c r="Q21" s="2539" t="str">
        <f>B21</f>
        <v>基础设施水平</v>
      </c>
      <c r="R21" s="1556" t="s">
        <v>8</v>
      </c>
      <c r="S21" s="1557">
        <f>F21</f>
        <v>100</v>
      </c>
      <c r="T21" s="1556" t="s">
        <v>8</v>
      </c>
      <c r="U21" s="1557">
        <f>H21</f>
        <v>100</v>
      </c>
      <c r="V21" s="1556" t="s">
        <v>8</v>
      </c>
      <c r="W21" s="1557">
        <f>J21</f>
        <v>100</v>
      </c>
      <c r="X21" s="2541"/>
      <c r="Y21" s="3859"/>
      <c r="Z21" s="2540"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2"/>
      <c r="L22" s="2123"/>
      <c r="M22" s="2115"/>
      <c r="N22" s="2115"/>
      <c r="O22" s="2115"/>
      <c r="P22" s="3859"/>
      <c r="Q22" s="2539"/>
      <c r="R22" s="1556"/>
      <c r="S22" s="1557"/>
      <c r="T22" s="1556"/>
      <c r="U22" s="1557"/>
      <c r="V22" s="1556"/>
      <c r="W22" s="1557"/>
      <c r="X22" s="2541"/>
      <c r="Y22" s="3859"/>
      <c r="Z22" s="2540"/>
      <c r="AA22" s="1559">
        <v>1</v>
      </c>
      <c r="AB22" s="1559">
        <v>1</v>
      </c>
      <c r="AC22" s="1559">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3"/>
      <c r="M23" s="2115"/>
      <c r="N23" s="2115"/>
      <c r="O23" s="2115"/>
      <c r="P23" s="3859"/>
      <c r="Q23" s="1555" t="str">
        <f>B23</f>
        <v>环境质量</v>
      </c>
      <c r="R23" s="1556" t="s">
        <v>8</v>
      </c>
      <c r="S23" s="1557">
        <f>F23</f>
        <v>100</v>
      </c>
      <c r="T23" s="1556" t="s">
        <v>8</v>
      </c>
      <c r="U23" s="1557">
        <f>H23</f>
        <v>100</v>
      </c>
      <c r="V23" s="1556" t="s">
        <v>8</v>
      </c>
      <c r="W23" s="1557">
        <f>J23</f>
        <v>100</v>
      </c>
      <c r="X23" s="1550"/>
      <c r="Y23" s="3859"/>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3"/>
      <c r="M24" s="2115"/>
      <c r="N24" s="2115"/>
      <c r="O24" s="2115"/>
      <c r="P24" s="3859"/>
      <c r="Q24" s="1555"/>
      <c r="R24" s="1556"/>
      <c r="S24" s="1557"/>
      <c r="T24" s="1556"/>
      <c r="U24" s="1557"/>
      <c r="V24" s="1556"/>
      <c r="W24" s="1557"/>
      <c r="X24" s="1550"/>
      <c r="Y24" s="3859"/>
      <c r="Z24" s="1558"/>
      <c r="AA24" s="1559">
        <v>1</v>
      </c>
      <c r="AB24" s="1559">
        <v>1</v>
      </c>
      <c r="AC24" s="1559">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3"/>
      <c r="M25" s="2115"/>
      <c r="N25" s="2115"/>
      <c r="O25" s="2115"/>
      <c r="P25" s="3859"/>
      <c r="Q25" s="1555" t="str">
        <f>B25</f>
        <v>毗邻道路的类型与等级</v>
      </c>
      <c r="R25" s="1556" t="s">
        <v>8</v>
      </c>
      <c r="S25" s="1557">
        <f>F25</f>
        <v>100</v>
      </c>
      <c r="T25" s="1556" t="s">
        <v>8</v>
      </c>
      <c r="U25" s="1557">
        <f>H25</f>
        <v>100</v>
      </c>
      <c r="V25" s="1556" t="s">
        <v>8</v>
      </c>
      <c r="W25" s="1557">
        <f>J25</f>
        <v>100</v>
      </c>
      <c r="X25" s="1550"/>
      <c r="Y25" s="3859"/>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3"/>
      <c r="M26" s="2115"/>
      <c r="N26" s="2115"/>
      <c r="O26" s="2115"/>
      <c r="P26" s="3859"/>
      <c r="Q26" s="1555"/>
      <c r="R26" s="1556"/>
      <c r="S26" s="1557"/>
      <c r="T26" s="1556"/>
      <c r="U26" s="1557"/>
      <c r="V26" s="1556"/>
      <c r="W26" s="1557"/>
      <c r="X26" s="1550"/>
      <c r="Y26" s="3859"/>
      <c r="Z26" s="1558"/>
      <c r="AA26" s="1559">
        <v>1</v>
      </c>
      <c r="AB26" s="1559">
        <v>1</v>
      </c>
      <c r="AC26" s="1559">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859"/>
      <c r="Q27" s="1555" t="str">
        <f t="shared" ref="Q27:Q47" si="11">B27</f>
        <v>楼层</v>
      </c>
      <c r="R27" s="1556" t="s">
        <v>8</v>
      </c>
      <c r="S27" s="1557">
        <f>F27</f>
        <v>100</v>
      </c>
      <c r="T27" s="1556" t="s">
        <v>8</v>
      </c>
      <c r="U27" s="1557">
        <f>H27</f>
        <v>100</v>
      </c>
      <c r="V27" s="1556" t="s">
        <v>8</v>
      </c>
      <c r="W27" s="1557">
        <f>J27</f>
        <v>100</v>
      </c>
      <c r="X27" s="1550"/>
      <c r="Y27" s="3859"/>
      <c r="Z27" s="1558" t="str">
        <f>Q27</f>
        <v>楼层</v>
      </c>
      <c r="AA27" s="1559">
        <f t="shared" si="3"/>
        <v>1</v>
      </c>
      <c r="AB27" s="1559">
        <f t="shared" si="4"/>
        <v>1</v>
      </c>
      <c r="AC27" s="1559">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6"/>
      <c r="M28" s="2117"/>
      <c r="N28" s="2117"/>
      <c r="O28" s="2117"/>
      <c r="P28" s="3859"/>
      <c r="Q28" s="1145" t="str">
        <f t="shared" si="11"/>
        <v>朝向</v>
      </c>
      <c r="R28" s="1551" t="s">
        <v>8</v>
      </c>
      <c r="S28" s="1552">
        <f>F28</f>
        <v>100</v>
      </c>
      <c r="T28" s="1551" t="s">
        <v>8</v>
      </c>
      <c r="U28" s="1552">
        <f>H28</f>
        <v>100</v>
      </c>
      <c r="V28" s="1551" t="s">
        <v>8</v>
      </c>
      <c r="W28" s="1552">
        <f>J28</f>
        <v>100</v>
      </c>
      <c r="X28" s="1553"/>
      <c r="Y28" s="3859"/>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3"/>
      <c r="M29" s="2115"/>
      <c r="N29" s="2115"/>
      <c r="O29" s="2115"/>
      <c r="P29" s="3859"/>
      <c r="Q29" s="1555">
        <f t="shared" si="11"/>
        <v>111</v>
      </c>
      <c r="R29" s="1556" t="s">
        <v>8</v>
      </c>
      <c r="S29" s="1557">
        <f t="shared" ref="S29:S47" si="12">F29</f>
        <v>100</v>
      </c>
      <c r="T29" s="1556" t="s">
        <v>8</v>
      </c>
      <c r="U29" s="1557">
        <f t="shared" ref="U29:U47" si="13">H29</f>
        <v>100</v>
      </c>
      <c r="V29" s="1556" t="s">
        <v>8</v>
      </c>
      <c r="W29" s="1557">
        <f t="shared" ref="W29:W47" si="14">J29</f>
        <v>100</v>
      </c>
      <c r="X29" s="1550"/>
      <c r="Y29" s="3859"/>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3"/>
      <c r="M30" s="2115"/>
      <c r="N30" s="2115"/>
      <c r="O30" s="2115"/>
      <c r="P30" s="3859"/>
      <c r="Q30" s="1555">
        <f t="shared" si="11"/>
        <v>111</v>
      </c>
      <c r="R30" s="1556" t="s">
        <v>8</v>
      </c>
      <c r="S30" s="1557">
        <f t="shared" si="12"/>
        <v>100</v>
      </c>
      <c r="T30" s="1556" t="s">
        <v>8</v>
      </c>
      <c r="U30" s="1557">
        <f t="shared" si="13"/>
        <v>100</v>
      </c>
      <c r="V30" s="1556" t="s">
        <v>8</v>
      </c>
      <c r="W30" s="1557">
        <f t="shared" si="14"/>
        <v>100</v>
      </c>
      <c r="X30" s="1550"/>
      <c r="Y30" s="3859"/>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3"/>
      <c r="M31" s="2115"/>
      <c r="N31" s="2115"/>
      <c r="O31" s="2115"/>
      <c r="P31" s="3859"/>
      <c r="Q31" s="1555">
        <f t="shared" si="11"/>
        <v>111</v>
      </c>
      <c r="R31" s="1556" t="s">
        <v>8</v>
      </c>
      <c r="S31" s="1557">
        <f t="shared" si="12"/>
        <v>100</v>
      </c>
      <c r="T31" s="1556" t="s">
        <v>8</v>
      </c>
      <c r="U31" s="1557">
        <f t="shared" si="13"/>
        <v>100</v>
      </c>
      <c r="V31" s="1556" t="s">
        <v>8</v>
      </c>
      <c r="W31" s="1557">
        <f t="shared" si="14"/>
        <v>100</v>
      </c>
      <c r="X31" s="1550"/>
      <c r="Y31" s="3859"/>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3"/>
      <c r="M32" s="2115"/>
      <c r="N32" s="2115"/>
      <c r="O32" s="2115"/>
      <c r="P32" s="3859"/>
      <c r="Q32" s="1555">
        <f t="shared" si="11"/>
        <v>111</v>
      </c>
      <c r="R32" s="1556" t="s">
        <v>8</v>
      </c>
      <c r="S32" s="1557">
        <f t="shared" si="12"/>
        <v>100</v>
      </c>
      <c r="T32" s="1556" t="s">
        <v>8</v>
      </c>
      <c r="U32" s="1557">
        <f t="shared" si="13"/>
        <v>100</v>
      </c>
      <c r="V32" s="1556" t="s">
        <v>8</v>
      </c>
      <c r="W32" s="1557">
        <f t="shared" si="14"/>
        <v>100</v>
      </c>
      <c r="X32" s="1550"/>
      <c r="Y32" s="3859"/>
      <c r="Z32" s="1558">
        <f t="shared" si="15"/>
        <v>111</v>
      </c>
      <c r="AA32" s="1559">
        <f t="shared" si="3"/>
        <v>1</v>
      </c>
      <c r="AB32" s="1559">
        <f t="shared" si="4"/>
        <v>1</v>
      </c>
      <c r="AC32" s="1559">
        <f t="shared" si="5"/>
        <v>1</v>
      </c>
    </row>
    <row r="33" spans="1:29" ht="15">
      <c r="A33" s="2858" t="s">
        <v>2749</v>
      </c>
      <c r="B33" s="170"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3"/>
      <c r="M33" s="2115"/>
      <c r="N33" s="2115"/>
      <c r="O33" s="2115"/>
      <c r="P33" s="3860" t="s">
        <v>547</v>
      </c>
      <c r="Q33" s="1555" t="str">
        <f t="shared" si="11"/>
        <v>建筑类型</v>
      </c>
      <c r="R33" s="1556" t="s">
        <v>8</v>
      </c>
      <c r="S33" s="1557">
        <f t="shared" si="12"/>
        <v>100</v>
      </c>
      <c r="T33" s="1556" t="s">
        <v>8</v>
      </c>
      <c r="U33" s="1557">
        <f t="shared" si="13"/>
        <v>100</v>
      </c>
      <c r="V33" s="1556" t="s">
        <v>8</v>
      </c>
      <c r="W33" s="1557">
        <f t="shared" si="14"/>
        <v>100</v>
      </c>
      <c r="X33" s="1550"/>
      <c r="Y33" s="3861" t="s">
        <v>547</v>
      </c>
      <c r="Z33" s="1558" t="str">
        <f t="shared" si="15"/>
        <v>建筑类型</v>
      </c>
      <c r="AA33" s="1559">
        <f t="shared" si="3"/>
        <v>1</v>
      </c>
      <c r="AB33" s="1559">
        <f t="shared" si="4"/>
        <v>1</v>
      </c>
      <c r="AC33" s="1559">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1"/>
      <c r="M34" s="2152"/>
      <c r="N34" s="2152"/>
      <c r="O34" s="2152"/>
      <c r="P34" s="3861"/>
      <c r="Q34" s="1587" t="str">
        <f t="shared" si="11"/>
        <v>项目建筑规模</v>
      </c>
      <c r="R34" s="1560" t="s">
        <v>8</v>
      </c>
      <c r="S34" s="1561" t="e">
        <f t="shared" si="12"/>
        <v>#N/A</v>
      </c>
      <c r="T34" s="1560" t="s">
        <v>8</v>
      </c>
      <c r="U34" s="1561" t="e">
        <f t="shared" si="13"/>
        <v>#N/A</v>
      </c>
      <c r="V34" s="1560" t="s">
        <v>8</v>
      </c>
      <c r="W34" s="1561" t="e">
        <f t="shared" si="14"/>
        <v>#N/A</v>
      </c>
      <c r="X34" s="1562"/>
      <c r="Y34" s="3861"/>
      <c r="Z34" s="1563" t="str">
        <f t="shared" si="15"/>
        <v>项目建筑规模</v>
      </c>
      <c r="AA34" s="1559" t="e">
        <f t="shared" si="3"/>
        <v>#N/A</v>
      </c>
      <c r="AB34" s="1559" t="e">
        <f t="shared" si="4"/>
        <v>#N/A</v>
      </c>
      <c r="AC34" s="1559"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861"/>
      <c r="Q35" s="1555" t="str">
        <f t="shared" si="11"/>
        <v>建筑结构</v>
      </c>
      <c r="R35" s="1556" t="s">
        <v>8</v>
      </c>
      <c r="S35" s="1557">
        <f t="shared" si="12"/>
        <v>100</v>
      </c>
      <c r="T35" s="1556" t="s">
        <v>8</v>
      </c>
      <c r="U35" s="1557">
        <f t="shared" si="13"/>
        <v>100</v>
      </c>
      <c r="V35" s="1556" t="s">
        <v>8</v>
      </c>
      <c r="W35" s="1557">
        <f t="shared" si="14"/>
        <v>100</v>
      </c>
      <c r="X35" s="1550"/>
      <c r="Y35" s="3861"/>
      <c r="Z35" s="1558" t="str">
        <f t="shared" si="15"/>
        <v>建筑结构</v>
      </c>
      <c r="AA35" s="1559">
        <f t="shared" si="3"/>
        <v>1</v>
      </c>
      <c r="AB35" s="1559">
        <f t="shared" si="4"/>
        <v>1</v>
      </c>
      <c r="AC35" s="1559">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861"/>
      <c r="Q36" s="1555" t="str">
        <f t="shared" si="11"/>
        <v>公共部分装修</v>
      </c>
      <c r="R36" s="1556" t="s">
        <v>8</v>
      </c>
      <c r="S36" s="1557">
        <f t="shared" si="12"/>
        <v>100</v>
      </c>
      <c r="T36" s="1556" t="s">
        <v>8</v>
      </c>
      <c r="U36" s="1557">
        <f t="shared" si="13"/>
        <v>100</v>
      </c>
      <c r="V36" s="1556" t="s">
        <v>8</v>
      </c>
      <c r="W36" s="1557">
        <f t="shared" si="14"/>
        <v>100</v>
      </c>
      <c r="X36" s="1550"/>
      <c r="Y36" s="3861"/>
      <c r="Z36" s="1558" t="str">
        <f t="shared" si="15"/>
        <v>公共部分装修</v>
      </c>
      <c r="AA36" s="1559">
        <f t="shared" si="3"/>
        <v>1</v>
      </c>
      <c r="AB36" s="1559">
        <f t="shared" si="4"/>
        <v>1</v>
      </c>
      <c r="AC36" s="1559">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3"/>
      <c r="M37" s="2115"/>
      <c r="N37" s="2115"/>
      <c r="O37" s="2115"/>
      <c r="P37" s="3861"/>
      <c r="Q37" s="1555" t="str">
        <f t="shared" si="11"/>
        <v>成新度</v>
      </c>
      <c r="R37" s="1556" t="s">
        <v>8</v>
      </c>
      <c r="S37" s="1557" t="e">
        <f t="shared" si="12"/>
        <v>#N/A</v>
      </c>
      <c r="T37" s="1556" t="s">
        <v>8</v>
      </c>
      <c r="U37" s="1557" t="e">
        <f t="shared" si="13"/>
        <v>#N/A</v>
      </c>
      <c r="V37" s="1556" t="s">
        <v>8</v>
      </c>
      <c r="W37" s="1557" t="e">
        <f t="shared" si="14"/>
        <v>#N/A</v>
      </c>
      <c r="X37" s="1550"/>
      <c r="Y37" s="3861"/>
      <c r="Z37" s="1558" t="str">
        <f t="shared" si="15"/>
        <v>成新度</v>
      </c>
      <c r="AA37" s="1559" t="e">
        <f t="shared" si="3"/>
        <v>#N/A</v>
      </c>
      <c r="AB37" s="1559" t="e">
        <f t="shared" si="4"/>
        <v>#N/A</v>
      </c>
      <c r="AC37" s="1559"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861"/>
      <c r="Q38" s="1145" t="str">
        <f t="shared" si="11"/>
        <v>写字楼等级</v>
      </c>
      <c r="R38" s="1551" t="s">
        <v>8</v>
      </c>
      <c r="S38" s="1552">
        <f t="shared" si="12"/>
        <v>100</v>
      </c>
      <c r="T38" s="1551" t="s">
        <v>8</v>
      </c>
      <c r="U38" s="1552">
        <f t="shared" si="13"/>
        <v>100</v>
      </c>
      <c r="V38" s="1551" t="s">
        <v>8</v>
      </c>
      <c r="W38" s="1552">
        <f t="shared" si="14"/>
        <v>100</v>
      </c>
      <c r="X38" s="1553"/>
      <c r="Y38" s="3861"/>
      <c r="Z38" s="1144" t="str">
        <f t="shared" si="15"/>
        <v>写字楼等级</v>
      </c>
      <c r="AA38" s="1554">
        <f t="shared" si="3"/>
        <v>1</v>
      </c>
      <c r="AB38" s="1554">
        <f t="shared" si="4"/>
        <v>1</v>
      </c>
      <c r="AC38" s="1554">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861" t="s">
        <v>547</v>
      </c>
      <c r="Q39" s="1555" t="str">
        <f t="shared" si="11"/>
        <v>物业管理</v>
      </c>
      <c r="R39" s="1556" t="s">
        <v>8</v>
      </c>
      <c r="S39" s="1557">
        <f t="shared" si="12"/>
        <v>100</v>
      </c>
      <c r="T39" s="1556" t="s">
        <v>8</v>
      </c>
      <c r="U39" s="1557">
        <f t="shared" si="13"/>
        <v>100</v>
      </c>
      <c r="V39" s="1556" t="s">
        <v>8</v>
      </c>
      <c r="W39" s="1557">
        <f t="shared" si="14"/>
        <v>100</v>
      </c>
      <c r="X39" s="1550"/>
      <c r="Y39" s="3861" t="s">
        <v>547</v>
      </c>
      <c r="Z39" s="1558" t="str">
        <f t="shared" si="15"/>
        <v>物业管理</v>
      </c>
      <c r="AA39" s="1559">
        <f t="shared" si="3"/>
        <v>1</v>
      </c>
      <c r="AB39" s="1559">
        <f t="shared" si="4"/>
        <v>1</v>
      </c>
      <c r="AC39" s="1559">
        <f t="shared" si="5"/>
        <v>1</v>
      </c>
    </row>
    <row r="40" spans="1:29" ht="15">
      <c r="A40" s="592"/>
      <c r="B40" s="1877"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861"/>
      <c r="Q40" s="1555" t="str">
        <f t="shared" si="11"/>
        <v>市政基础设施</v>
      </c>
      <c r="R40" s="1556" t="s">
        <v>8</v>
      </c>
      <c r="S40" s="1557">
        <f t="shared" si="12"/>
        <v>100</v>
      </c>
      <c r="T40" s="1556" t="s">
        <v>8</v>
      </c>
      <c r="U40" s="1557">
        <f t="shared" si="13"/>
        <v>100</v>
      </c>
      <c r="V40" s="1556" t="s">
        <v>8</v>
      </c>
      <c r="W40" s="1557">
        <f t="shared" si="14"/>
        <v>100</v>
      </c>
      <c r="X40" s="1550"/>
      <c r="Y40" s="3861"/>
      <c r="Z40" s="1558" t="str">
        <f t="shared" si="15"/>
        <v>市政基础设施</v>
      </c>
      <c r="AA40" s="1559">
        <f t="shared" si="3"/>
        <v>1</v>
      </c>
      <c r="AB40" s="1559">
        <f t="shared" si="4"/>
        <v>1</v>
      </c>
      <c r="AC40" s="1559">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861"/>
      <c r="Q41" s="1555" t="str">
        <f t="shared" si="11"/>
        <v>层高</v>
      </c>
      <c r="R41" s="1556" t="s">
        <v>8</v>
      </c>
      <c r="S41" s="1557">
        <f t="shared" si="12"/>
        <v>100</v>
      </c>
      <c r="T41" s="1556" t="s">
        <v>8</v>
      </c>
      <c r="U41" s="1557">
        <f t="shared" si="13"/>
        <v>100</v>
      </c>
      <c r="V41" s="1556" t="s">
        <v>8</v>
      </c>
      <c r="W41" s="1557">
        <f t="shared" si="14"/>
        <v>100</v>
      </c>
      <c r="X41" s="1550"/>
      <c r="Y41" s="3861"/>
      <c r="Z41" s="1558" t="str">
        <f t="shared" si="15"/>
        <v>层高</v>
      </c>
      <c r="AA41" s="1559">
        <f t="shared" si="3"/>
        <v>1</v>
      </c>
      <c r="AB41" s="1559">
        <f t="shared" si="4"/>
        <v>1</v>
      </c>
      <c r="AC41" s="1559">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861"/>
      <c r="Q42" s="1587" t="str">
        <f t="shared" si="11"/>
        <v>单套建筑面积</v>
      </c>
      <c r="R42" s="1560" t="s">
        <v>8</v>
      </c>
      <c r="S42" s="1561">
        <f t="shared" si="12"/>
        <v>100</v>
      </c>
      <c r="T42" s="1560" t="s">
        <v>8</v>
      </c>
      <c r="U42" s="1561">
        <f t="shared" si="13"/>
        <v>100</v>
      </c>
      <c r="V42" s="1560" t="s">
        <v>8</v>
      </c>
      <c r="W42" s="1561">
        <f t="shared" si="14"/>
        <v>100</v>
      </c>
      <c r="X42" s="1562"/>
      <c r="Y42" s="3861"/>
      <c r="Z42" s="1563" t="str">
        <f t="shared" si="15"/>
        <v>单套建筑面积</v>
      </c>
      <c r="AA42" s="1559">
        <f t="shared" si="3"/>
        <v>1</v>
      </c>
      <c r="AB42" s="1559">
        <f t="shared" si="4"/>
        <v>1</v>
      </c>
      <c r="AC42" s="1559">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861"/>
      <c r="Q43" s="1555" t="str">
        <f t="shared" si="11"/>
        <v>内部装修</v>
      </c>
      <c r="R43" s="1556" t="s">
        <v>8</v>
      </c>
      <c r="S43" s="1557">
        <f t="shared" si="12"/>
        <v>100</v>
      </c>
      <c r="T43" s="1556" t="s">
        <v>8</v>
      </c>
      <c r="U43" s="1557">
        <f t="shared" si="13"/>
        <v>100</v>
      </c>
      <c r="V43" s="1556" t="s">
        <v>8</v>
      </c>
      <c r="W43" s="1557">
        <f t="shared" si="14"/>
        <v>100</v>
      </c>
      <c r="X43" s="1550"/>
      <c r="Y43" s="3861"/>
      <c r="Z43" s="1558" t="str">
        <f t="shared" si="15"/>
        <v>内部装修</v>
      </c>
      <c r="AA43" s="1559">
        <f t="shared" si="3"/>
        <v>1</v>
      </c>
      <c r="AB43" s="1559">
        <f t="shared" si="4"/>
        <v>1</v>
      </c>
      <c r="AC43" s="1559">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861"/>
      <c r="Q44" s="1555" t="str">
        <f t="shared" si="11"/>
        <v>内部装修维护情况</v>
      </c>
      <c r="R44" s="1556" t="s">
        <v>8</v>
      </c>
      <c r="S44" s="1557">
        <f t="shared" si="12"/>
        <v>100</v>
      </c>
      <c r="T44" s="1556" t="s">
        <v>8</v>
      </c>
      <c r="U44" s="1557">
        <f t="shared" si="13"/>
        <v>100</v>
      </c>
      <c r="V44" s="1556" t="s">
        <v>8</v>
      </c>
      <c r="W44" s="1557">
        <f t="shared" si="14"/>
        <v>100</v>
      </c>
      <c r="X44" s="1550"/>
      <c r="Y44" s="3861"/>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6"/>
      <c r="M45" s="2117"/>
      <c r="N45" s="2117"/>
      <c r="O45" s="2117"/>
      <c r="P45" s="3861"/>
      <c r="Q45" s="1145">
        <f t="shared" si="11"/>
        <v>111</v>
      </c>
      <c r="R45" s="1551" t="s">
        <v>8</v>
      </c>
      <c r="S45" s="1552">
        <f t="shared" si="12"/>
        <v>100</v>
      </c>
      <c r="T45" s="1551" t="s">
        <v>8</v>
      </c>
      <c r="U45" s="1552">
        <f t="shared" si="13"/>
        <v>100</v>
      </c>
      <c r="V45" s="1551" t="s">
        <v>8</v>
      </c>
      <c r="W45" s="1552">
        <f t="shared" si="14"/>
        <v>100</v>
      </c>
      <c r="X45" s="1553"/>
      <c r="Y45" s="3861"/>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861"/>
      <c r="Q46" s="1555">
        <f t="shared" si="11"/>
        <v>111</v>
      </c>
      <c r="R46" s="1556" t="s">
        <v>8</v>
      </c>
      <c r="S46" s="1557">
        <f t="shared" si="12"/>
        <v>100</v>
      </c>
      <c r="T46" s="1556" t="s">
        <v>8</v>
      </c>
      <c r="U46" s="1557">
        <f t="shared" si="13"/>
        <v>100</v>
      </c>
      <c r="V46" s="1556" t="s">
        <v>8</v>
      </c>
      <c r="W46" s="1557">
        <f t="shared" si="14"/>
        <v>100</v>
      </c>
      <c r="X46" s="1550"/>
      <c r="Y46" s="3861"/>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936"/>
      <c r="Q47" s="1555">
        <f t="shared" si="11"/>
        <v>111</v>
      </c>
      <c r="R47" s="1556" t="s">
        <v>8</v>
      </c>
      <c r="S47" s="1557">
        <f t="shared" si="12"/>
        <v>100</v>
      </c>
      <c r="T47" s="1556" t="s">
        <v>8</v>
      </c>
      <c r="U47" s="1557">
        <f t="shared" si="13"/>
        <v>100</v>
      </c>
      <c r="V47" s="1556" t="s">
        <v>8</v>
      </c>
      <c r="W47" s="1557">
        <f t="shared" si="14"/>
        <v>100</v>
      </c>
      <c r="X47" s="1550"/>
      <c r="Y47" s="3936"/>
      <c r="Z47" s="1558">
        <f t="shared" si="15"/>
        <v>111</v>
      </c>
      <c r="AA47" s="1559">
        <f t="shared" si="3"/>
        <v>1</v>
      </c>
      <c r="AB47" s="1559">
        <f t="shared" si="4"/>
        <v>1</v>
      </c>
      <c r="AC47" s="1559">
        <f t="shared" si="5"/>
        <v>1</v>
      </c>
    </row>
    <row r="48" spans="1:29" ht="15">
      <c r="A48" s="605" t="s">
        <v>733</v>
      </c>
      <c r="B48" s="885"/>
      <c r="C48" s="2587" t="s">
        <v>1</v>
      </c>
      <c r="D48" s="2588"/>
      <c r="E48" s="2589"/>
      <c r="F48" s="2590"/>
      <c r="G48" s="2591"/>
      <c r="H48" s="2592"/>
      <c r="I48" s="2589"/>
      <c r="J48" s="2592"/>
      <c r="K48" s="1593"/>
      <c r="L48" s="2125"/>
      <c r="M48" s="2115"/>
      <c r="N48" s="2115"/>
      <c r="O48" s="2115"/>
      <c r="P48" s="3822" t="str">
        <f>A48</f>
        <v>成交单价（元/平方米）</v>
      </c>
      <c r="Q48" s="3824"/>
      <c r="R48" s="3935">
        <f>E48</f>
        <v>0</v>
      </c>
      <c r="S48" s="3935"/>
      <c r="T48" s="3935">
        <f>G48</f>
        <v>0</v>
      </c>
      <c r="U48" s="3935"/>
      <c r="V48" s="3935">
        <f>I48</f>
        <v>0</v>
      </c>
      <c r="W48" s="3935"/>
      <c r="X48" s="1542"/>
      <c r="Y48" s="1564"/>
      <c r="Z48" s="1542"/>
      <c r="AA48" s="1542"/>
      <c r="AB48" s="1542"/>
      <c r="AC48" s="1542"/>
    </row>
    <row r="49" spans="1:29" ht="15.75" thickBot="1">
      <c r="A49" s="613" t="s">
        <v>2754</v>
      </c>
      <c r="B49" s="886"/>
      <c r="C49" s="2593" t="e">
        <f>R50</f>
        <v>#DIV/0!</v>
      </c>
      <c r="D49" s="2594"/>
      <c r="E49" s="2595" t="e">
        <f>R49</f>
        <v>#DIV/0!</v>
      </c>
      <c r="F49" s="2595"/>
      <c r="G49" s="2593" t="e">
        <f>T49</f>
        <v>#DIV/0!</v>
      </c>
      <c r="H49" s="2594"/>
      <c r="I49" s="2595" t="e">
        <f>V49</f>
        <v>#DIV/0!</v>
      </c>
      <c r="J49" s="2594"/>
      <c r="K49" s="1594"/>
      <c r="L49" s="2125"/>
      <c r="M49" s="2115"/>
      <c r="N49" s="2115"/>
      <c r="O49" s="2115"/>
      <c r="P49" s="3822" t="str">
        <f>A49</f>
        <v>比较价格（元/平方米）</v>
      </c>
      <c r="Q49" s="3824"/>
      <c r="R49" s="3935" t="e">
        <f>IF(F1="售价",ROUND(PRODUCT(R48,AA7:AA47),0),ROUND(PRODUCT(R48,AA7:AA47),1))</f>
        <v>#DIV/0!</v>
      </c>
      <c r="S49" s="3935"/>
      <c r="T49" s="3935" t="e">
        <f>IF(F1="售价",ROUND(PRODUCT(T48,AB7:AB47),0),ROUND(PRODUCT(T48,AB7:AB47),1))</f>
        <v>#DIV/0!</v>
      </c>
      <c r="U49" s="3935"/>
      <c r="V49" s="3935" t="e">
        <f>IF(F1="售价",ROUND(PRODUCT(V48,AC7:AC47),0),ROUND(PRODUCT(V48,AC7:AC47),1))</f>
        <v>#DIV/0!</v>
      </c>
      <c r="W49" s="3935"/>
      <c r="X49" s="1542"/>
      <c r="Y49" s="1542"/>
      <c r="Z49" s="1542"/>
      <c r="AA49" s="1542"/>
      <c r="AB49" s="1542"/>
      <c r="AC49" s="1542"/>
    </row>
    <row r="50" spans="1:29" ht="15.75" thickBot="1">
      <c r="A50" s="619" t="s">
        <v>2930</v>
      </c>
      <c r="B50" s="620"/>
      <c r="C50" s="2596" t="e">
        <f>R50</f>
        <v>#DIV/0!</v>
      </c>
      <c r="D50" s="2596"/>
      <c r="E50" s="2596"/>
      <c r="F50" s="2596"/>
      <c r="G50" s="2596"/>
      <c r="H50" s="2596"/>
      <c r="I50" s="2596"/>
      <c r="J50" s="2596"/>
      <c r="K50" s="1595"/>
      <c r="L50" s="2125"/>
      <c r="M50" s="2115"/>
      <c r="N50" s="2115"/>
      <c r="O50" s="2115"/>
      <c r="P50" s="3937" t="str">
        <f>A50</f>
        <v>估价对象XX用房的比较价格（楼面单价，元/平方米）</v>
      </c>
      <c r="Q50" s="3822"/>
      <c r="R50" s="3934" t="e">
        <f>IF(F1="售价",ROUND(AVERAGE(R49:V49),0),ROUND(AVERAGE(R49:V49),1))</f>
        <v>#DIV/0!</v>
      </c>
      <c r="S50" s="3934"/>
      <c r="T50" s="3934"/>
      <c r="U50" s="3934"/>
      <c r="V50" s="3934"/>
      <c r="W50" s="3934"/>
      <c r="X50" s="1542"/>
      <c r="Y50" s="1542"/>
      <c r="Z50" s="1542"/>
      <c r="AA50" s="1542"/>
      <c r="AB50" s="1542"/>
      <c r="AC50" s="1542"/>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7" t="s">
        <v>571</v>
      </c>
      <c r="B58" s="1542"/>
      <c r="C58" s="1566"/>
      <c r="D58" s="1566"/>
      <c r="E58" s="1566"/>
      <c r="F58" s="1568"/>
      <c r="G58" s="1568"/>
      <c r="H58" s="1566"/>
      <c r="I58" s="1566"/>
      <c r="J58" s="1566"/>
      <c r="K58" s="1569"/>
      <c r="L58" s="1565"/>
      <c r="M58" s="1566"/>
      <c r="N58" s="1566"/>
      <c r="O58" s="1566"/>
      <c r="P58" s="2191"/>
      <c r="Q58" s="2139"/>
      <c r="R58" s="2126"/>
      <c r="S58" s="2126"/>
      <c r="T58" s="2126"/>
      <c r="U58" s="2126"/>
      <c r="V58" s="2126"/>
      <c r="W58" s="2126"/>
      <c r="X58" s="2126"/>
      <c r="Y58" s="2126"/>
      <c r="Z58" s="2126"/>
      <c r="AA58" s="2126"/>
      <c r="AB58" s="2126"/>
      <c r="AC58" s="2126"/>
    </row>
    <row r="59" spans="1:29" s="1341" customFormat="1" ht="15">
      <c r="A59" s="643" t="s">
        <v>526</v>
      </c>
      <c r="B59" s="644"/>
      <c r="C59" s="2753" t="str">
        <f>YEAR(C7)&amp;"-"&amp;MONTH(C7)</f>
        <v>2019-10</v>
      </c>
      <c r="D59" s="2755">
        <f>EDATE(C59,-1)</f>
        <v>43709</v>
      </c>
      <c r="E59" s="2755">
        <f t="shared" ref="E59:O59" si="16">EDATE(D59,-1)</f>
        <v>43678</v>
      </c>
      <c r="F59" s="2755">
        <f t="shared" si="16"/>
        <v>43647</v>
      </c>
      <c r="G59" s="2755">
        <f t="shared" si="16"/>
        <v>43617</v>
      </c>
      <c r="H59" s="2755">
        <f t="shared" si="16"/>
        <v>43586</v>
      </c>
      <c r="I59" s="2755">
        <f t="shared" si="16"/>
        <v>43556</v>
      </c>
      <c r="J59" s="2755">
        <f t="shared" si="16"/>
        <v>43525</v>
      </c>
      <c r="K59" s="2755">
        <f t="shared" si="16"/>
        <v>43497</v>
      </c>
      <c r="L59" s="2755">
        <f t="shared" si="16"/>
        <v>43466</v>
      </c>
      <c r="M59" s="2755">
        <f t="shared" si="16"/>
        <v>43435</v>
      </c>
      <c r="N59" s="2755">
        <f t="shared" si="16"/>
        <v>43405</v>
      </c>
      <c r="O59" s="2755">
        <f t="shared" si="16"/>
        <v>43374</v>
      </c>
      <c r="P59" s="2192"/>
      <c r="Q59" s="2142"/>
      <c r="R59" s="2142"/>
      <c r="S59" s="2142"/>
      <c r="T59" s="2142"/>
      <c r="U59" s="2142"/>
      <c r="V59" s="2142"/>
      <c r="W59" s="2142"/>
      <c r="X59" s="2142"/>
      <c r="Y59" s="2142"/>
      <c r="Z59" s="2142"/>
      <c r="AA59" s="2142"/>
      <c r="AB59" s="2142"/>
      <c r="AC59" s="2142"/>
    </row>
    <row r="60" spans="1:29" s="1214"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4" customFormat="1" ht="15.75" thickBot="1">
      <c r="A61" s="651" t="s">
        <v>572</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4" customFormat="1" ht="15">
      <c r="A62" s="657" t="s">
        <v>528</v>
      </c>
      <c r="B62" s="646"/>
      <c r="C62" s="658" t="s">
        <v>573</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7"/>
      <c r="B63" s="646"/>
      <c r="C63" s="887">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574</v>
      </c>
      <c r="B64" s="663" t="s">
        <v>531</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536</v>
      </c>
      <c r="B77" s="663" t="s">
        <v>582</v>
      </c>
      <c r="C77" s="701" t="s">
        <v>576</v>
      </c>
      <c r="D77" s="701" t="s">
        <v>577</v>
      </c>
      <c r="E77" s="701" t="s">
        <v>578</v>
      </c>
      <c r="F77" s="701" t="s">
        <v>579</v>
      </c>
      <c r="G77" s="701" t="s">
        <v>580</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583</v>
      </c>
      <c r="C79" s="706" t="s">
        <v>576</v>
      </c>
      <c r="D79" s="706" t="s">
        <v>577</v>
      </c>
      <c r="E79" s="706" t="s">
        <v>578</v>
      </c>
      <c r="F79" s="706" t="s">
        <v>579</v>
      </c>
      <c r="G79" s="706" t="s">
        <v>580</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8" t="s">
        <v>2551</v>
      </c>
      <c r="C81" s="706" t="s">
        <v>576</v>
      </c>
      <c r="D81" s="706" t="s">
        <v>577</v>
      </c>
      <c r="E81" s="706" t="s">
        <v>578</v>
      </c>
      <c r="F81" s="706" t="s">
        <v>579</v>
      </c>
      <c r="G81" s="706" t="s">
        <v>580</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7" t="s">
        <v>2552</v>
      </c>
      <c r="C83" s="2558" t="s">
        <v>2553</v>
      </c>
      <c r="D83" s="2558" t="s">
        <v>2554</v>
      </c>
      <c r="E83" s="2558" t="s">
        <v>2555</v>
      </c>
      <c r="F83" s="2558" t="s">
        <v>2556</v>
      </c>
      <c r="G83" s="2558" t="s">
        <v>2557</v>
      </c>
      <c r="H83" s="672"/>
      <c r="I83" s="672"/>
      <c r="J83" s="672"/>
      <c r="K83" s="672"/>
      <c r="L83" s="672"/>
      <c r="M83" s="2561"/>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781</v>
      </c>
      <c r="C85" s="706" t="s">
        <v>576</v>
      </c>
      <c r="D85" s="706" t="s">
        <v>577</v>
      </c>
      <c r="E85" s="706" t="s">
        <v>578</v>
      </c>
      <c r="F85" s="706" t="s">
        <v>579</v>
      </c>
      <c r="G85" s="706" t="s">
        <v>580</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7"/>
      <c r="B87" s="671" t="s">
        <v>782</v>
      </c>
      <c r="C87" s="686"/>
      <c r="D87" s="686"/>
      <c r="E87" s="686"/>
      <c r="F87" s="686"/>
      <c r="G87" s="686"/>
      <c r="H87" s="686"/>
      <c r="I87" s="686"/>
      <c r="J87" s="686"/>
      <c r="K87" s="686"/>
      <c r="L87" s="888"/>
      <c r="M87" s="889"/>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7"/>
      <c r="B89" s="671" t="str">
        <f>B27</f>
        <v>楼层</v>
      </c>
      <c r="C89" s="686"/>
      <c r="D89" s="686"/>
      <c r="E89" s="686"/>
      <c r="F89" s="890"/>
      <c r="G89" s="686"/>
      <c r="H89" s="686"/>
      <c r="I89" s="686"/>
      <c r="J89" s="686"/>
      <c r="K89" s="686"/>
      <c r="L89" s="686"/>
      <c r="M89" s="889"/>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8"/>
      <c r="M93" s="889"/>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1"/>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548</v>
      </c>
      <c r="B101" s="663" t="s">
        <v>744</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746</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748</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2">
        <v>0.5</v>
      </c>
      <c r="D111" s="892">
        <v>0.6</v>
      </c>
      <c r="E111" s="892">
        <v>0.7</v>
      </c>
      <c r="F111" s="892">
        <v>0.8</v>
      </c>
      <c r="G111" s="892">
        <v>0.9</v>
      </c>
      <c r="H111" s="892">
        <v>1.0001</v>
      </c>
      <c r="I111" s="903"/>
      <c r="J111" s="903"/>
      <c r="K111" s="904"/>
      <c r="L111" s="905"/>
      <c r="M111" s="906"/>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6"/>
      <c r="B113" s="671" t="s">
        <v>783</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750</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8" t="s">
        <v>2550</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5" t="s">
        <v>784</v>
      </c>
      <c r="C119" s="716"/>
      <c r="D119" s="716"/>
      <c r="E119" s="716"/>
      <c r="F119" s="716"/>
      <c r="G119" s="716"/>
      <c r="H119" s="716"/>
      <c r="I119" s="716"/>
      <c r="J119" s="716"/>
      <c r="K119" s="716"/>
      <c r="L119" s="916"/>
      <c r="M119" s="917"/>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6"/>
      <c r="B121" s="671" t="s">
        <v>772</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752</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1"/>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58"/>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464</v>
      </c>
      <c r="B2" s="848" t="e">
        <f>ROUND(B3*D3/10000,0)</f>
        <v>#DIV/0!</v>
      </c>
      <c r="C2" s="2108"/>
      <c r="D2" s="2108"/>
      <c r="E2" s="2109"/>
      <c r="F2" s="2110"/>
      <c r="G2" s="2109"/>
      <c r="H2" s="2109"/>
      <c r="I2" s="2109"/>
      <c r="J2" s="2109"/>
      <c r="K2" s="2109"/>
      <c r="L2" s="2112"/>
      <c r="M2" s="2113"/>
      <c r="N2" s="2113"/>
      <c r="O2" s="2113"/>
      <c r="P2" s="1547"/>
      <c r="Q2" s="1547"/>
      <c r="R2" s="1547"/>
      <c r="S2" s="1547"/>
      <c r="T2" s="1547"/>
      <c r="U2" s="1547"/>
      <c r="V2" s="1547"/>
      <c r="W2" s="1547"/>
      <c r="X2" s="1547"/>
      <c r="Y2" s="1547"/>
      <c r="Z2" s="1547"/>
      <c r="AA2" s="1547"/>
      <c r="AB2" s="1547"/>
      <c r="AC2" s="426"/>
    </row>
    <row r="3" spans="1:29" s="1330" customFormat="1" ht="28.5" customHeight="1" thickBot="1">
      <c r="A3" s="507" t="s">
        <v>516</v>
      </c>
      <c r="B3" s="508" t="e">
        <f>C43</f>
        <v>#DIV/0!</v>
      </c>
      <c r="C3" s="850" t="s">
        <v>719</v>
      </c>
      <c r="D3" s="849">
        <f>SUMIF('数据-汇总表'!$C19:$C33,D1,'数据-汇总表'!$E19:$E33)</f>
        <v>0</v>
      </c>
      <c r="E3" s="2109"/>
      <c r="F3" s="2110"/>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29" ht="15">
      <c r="A4" s="510" t="s">
        <v>518</v>
      </c>
      <c r="B4" s="511"/>
      <c r="C4" s="3830" t="s">
        <v>519</v>
      </c>
      <c r="D4" s="3831"/>
      <c r="E4" s="3864" t="s">
        <v>520</v>
      </c>
      <c r="F4" s="3865"/>
      <c r="G4" s="3830" t="s">
        <v>521</v>
      </c>
      <c r="H4" s="3831"/>
      <c r="I4" s="3830" t="s">
        <v>522</v>
      </c>
      <c r="J4" s="3831"/>
      <c r="K4" s="512" t="s">
        <v>523</v>
      </c>
      <c r="L4" s="2114"/>
      <c r="M4" s="2115"/>
      <c r="N4" s="2115"/>
      <c r="O4" s="2115"/>
      <c r="P4" s="3832" t="s">
        <v>524</v>
      </c>
      <c r="Q4" s="3833"/>
      <c r="R4" s="3838" t="s">
        <v>520</v>
      </c>
      <c r="S4" s="3839"/>
      <c r="T4" s="3838" t="s">
        <v>521</v>
      </c>
      <c r="U4" s="3839"/>
      <c r="V4" s="3825" t="s">
        <v>522</v>
      </c>
      <c r="W4" s="3825"/>
      <c r="X4" s="1550"/>
      <c r="Y4" s="3838" t="s">
        <v>524</v>
      </c>
      <c r="Z4" s="3839"/>
      <c r="AA4" s="3827" t="s">
        <v>520</v>
      </c>
      <c r="AB4" s="3828" t="s">
        <v>521</v>
      </c>
      <c r="AC4" s="3827" t="s">
        <v>522</v>
      </c>
    </row>
    <row r="5" spans="1:29" ht="15">
      <c r="A5" s="513"/>
      <c r="B5" s="514"/>
      <c r="C5" s="3846" t="s">
        <v>2924</v>
      </c>
      <c r="D5" s="3847"/>
      <c r="E5" s="3866" t="s">
        <v>2925</v>
      </c>
      <c r="F5" s="3867"/>
      <c r="G5" s="3846" t="s">
        <v>2926</v>
      </c>
      <c r="H5" s="3847"/>
      <c r="I5" s="3846" t="s">
        <v>2927</v>
      </c>
      <c r="J5" s="3847"/>
      <c r="K5" s="512"/>
      <c r="L5" s="2114"/>
      <c r="M5" s="2115"/>
      <c r="N5" s="2115"/>
      <c r="O5" s="2115"/>
      <c r="P5" s="3834"/>
      <c r="Q5" s="3835"/>
      <c r="R5" s="3840"/>
      <c r="S5" s="3841"/>
      <c r="T5" s="3840"/>
      <c r="U5" s="3841"/>
      <c r="V5" s="3825"/>
      <c r="W5" s="3825"/>
      <c r="X5" s="1550"/>
      <c r="Y5" s="3840"/>
      <c r="Z5" s="3841"/>
      <c r="AA5" s="3828"/>
      <c r="AB5" s="3828"/>
      <c r="AC5" s="3828"/>
    </row>
    <row r="6" spans="1:29" ht="15.75" thickBot="1">
      <c r="A6" s="515"/>
      <c r="B6" s="516"/>
      <c r="C6" s="3844" t="s">
        <v>2928</v>
      </c>
      <c r="D6" s="3845"/>
      <c r="E6" s="3862" t="s">
        <v>2928</v>
      </c>
      <c r="F6" s="3863"/>
      <c r="G6" s="3844" t="s">
        <v>2928</v>
      </c>
      <c r="H6" s="3845"/>
      <c r="I6" s="3844" t="s">
        <v>2928</v>
      </c>
      <c r="J6" s="3845"/>
      <c r="K6" s="512" t="s">
        <v>525</v>
      </c>
      <c r="L6" s="2114"/>
      <c r="M6" s="2115"/>
      <c r="N6" s="2115"/>
      <c r="O6" s="2115"/>
      <c r="P6" s="3836"/>
      <c r="Q6" s="3837"/>
      <c r="R6" s="3840"/>
      <c r="S6" s="3841"/>
      <c r="T6" s="3842"/>
      <c r="U6" s="3843"/>
      <c r="V6" s="3825"/>
      <c r="W6" s="3825"/>
      <c r="X6" s="1550"/>
      <c r="Y6" s="3842"/>
      <c r="Z6" s="3843"/>
      <c r="AA6" s="3829"/>
      <c r="AB6" s="3829"/>
      <c r="AC6" s="3829"/>
    </row>
    <row r="7" spans="1:29" s="1214" customFormat="1" ht="15.75" thickBot="1">
      <c r="A7" s="2863"/>
      <c r="B7" s="2870" t="s">
        <v>526</v>
      </c>
      <c r="C7" s="517">
        <f>'数据-取费表'!B2</f>
        <v>43764</v>
      </c>
      <c r="D7" s="518">
        <v>100</v>
      </c>
      <c r="E7" s="519"/>
      <c r="F7" s="520">
        <f>SUMIF(52:52,YEAR(E7)&amp;"-"&amp;MONTH(E7),53:53)</f>
        <v>0</v>
      </c>
      <c r="G7" s="519"/>
      <c r="H7" s="518">
        <f>SUMIF(52:52,YEAR(G7)&amp;"-"&amp;MONTH(G7),53:53)</f>
        <v>0</v>
      </c>
      <c r="I7" s="519"/>
      <c r="J7" s="518">
        <f>SUMIF(52:52,YEAR(I7)&amp;"-"&amp;MONTH(I7),53:53)</f>
        <v>0</v>
      </c>
      <c r="K7" s="522"/>
      <c r="L7" s="2116"/>
      <c r="M7" s="2117"/>
      <c r="N7" s="2117"/>
      <c r="O7" s="2117"/>
      <c r="P7" s="3855" t="s">
        <v>527</v>
      </c>
      <c r="Q7" s="3857"/>
      <c r="R7" s="1551" t="s">
        <v>8</v>
      </c>
      <c r="S7" s="1552">
        <f t="shared" ref="S7:S15" si="0">F7</f>
        <v>0</v>
      </c>
      <c r="T7" s="1551" t="s">
        <v>8</v>
      </c>
      <c r="U7" s="1552">
        <f t="shared" ref="U7:U15" si="1">H7</f>
        <v>0</v>
      </c>
      <c r="V7" s="1551" t="s">
        <v>8</v>
      </c>
      <c r="W7" s="1552">
        <f t="shared" ref="W7:W15" si="2">J7</f>
        <v>0</v>
      </c>
      <c r="X7" s="1553"/>
      <c r="Y7" s="3855" t="s">
        <v>527</v>
      </c>
      <c r="Z7" s="3856"/>
      <c r="AA7" s="1554" t="e">
        <f>D7/F7</f>
        <v>#DIV/0!</v>
      </c>
      <c r="AB7" s="1554" t="e">
        <f>D7/H7</f>
        <v>#DIV/0!</v>
      </c>
      <c r="AC7" s="1554" t="e">
        <f>D7/J7</f>
        <v>#DIV/0!</v>
      </c>
    </row>
    <row r="8" spans="1:29" s="1214" customFormat="1" ht="15.75" thickBot="1">
      <c r="A8" s="2864"/>
      <c r="B8" s="2871" t="s">
        <v>528</v>
      </c>
      <c r="C8" s="523" t="s">
        <v>573</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855" t="s">
        <v>530</v>
      </c>
      <c r="Q8" s="3856"/>
      <c r="R8" s="1551" t="s">
        <v>8</v>
      </c>
      <c r="S8" s="1552">
        <f t="shared" si="0"/>
        <v>0</v>
      </c>
      <c r="T8" s="1551" t="s">
        <v>8</v>
      </c>
      <c r="U8" s="1552">
        <f t="shared" si="1"/>
        <v>0</v>
      </c>
      <c r="V8" s="1551" t="s">
        <v>8</v>
      </c>
      <c r="W8" s="1552">
        <f t="shared" si="2"/>
        <v>0</v>
      </c>
      <c r="X8" s="1553"/>
      <c r="Y8" s="3855" t="s">
        <v>530</v>
      </c>
      <c r="Z8" s="3856"/>
      <c r="AA8" s="1554" t="e">
        <f t="shared" ref="AA8:AA40" si="3">D8/F8</f>
        <v>#DIV/0!</v>
      </c>
      <c r="AB8" s="1554" t="e">
        <f t="shared" ref="AB8:AB40" si="4">D8/H8</f>
        <v>#DIV/0!</v>
      </c>
      <c r="AC8" s="1554" t="e">
        <f t="shared" ref="AC8:AC40" si="5">D8/J8</f>
        <v>#DIV/0!</v>
      </c>
    </row>
    <row r="9" spans="1:29" s="1214" customFormat="1" ht="15">
      <c r="A9" s="2865"/>
      <c r="B9" s="2872" t="s">
        <v>2750</v>
      </c>
      <c r="C9" s="855"/>
      <c r="D9" s="252">
        <v>100</v>
      </c>
      <c r="E9" s="858"/>
      <c r="F9" s="252">
        <f>SUMIF(57:57,E9,58:58)-SUMIF(57:57,C9,58:58)+100</f>
        <v>100</v>
      </c>
      <c r="G9" s="856"/>
      <c r="H9" s="252">
        <f>SUMIF(57:57,G9,58:58)-SUMIF(57:57,C9,58:58)+100</f>
        <v>100</v>
      </c>
      <c r="I9" s="856"/>
      <c r="J9" s="252">
        <f>SUMIF(57:57,I9,58:58)-SUMIF(57:57,C9,58:58)+100</f>
        <v>100</v>
      </c>
      <c r="K9" s="522"/>
      <c r="L9" s="2116"/>
      <c r="M9" s="2117"/>
      <c r="N9" s="2117"/>
      <c r="O9" s="2118"/>
      <c r="P9" s="3824" t="s">
        <v>532</v>
      </c>
      <c r="Q9" s="1145" t="str">
        <f t="shared" ref="Q9:Q15" si="6">B9</f>
        <v>用途</v>
      </c>
      <c r="R9" s="1551" t="s">
        <v>8</v>
      </c>
      <c r="S9" s="1552">
        <f t="shared" si="0"/>
        <v>100</v>
      </c>
      <c r="T9" s="1551" t="s">
        <v>8</v>
      </c>
      <c r="U9" s="1552">
        <f t="shared" si="1"/>
        <v>100</v>
      </c>
      <c r="V9" s="1551" t="s">
        <v>8</v>
      </c>
      <c r="W9" s="1552">
        <f t="shared" si="2"/>
        <v>100</v>
      </c>
      <c r="X9" s="1553"/>
      <c r="Y9" s="3712"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59"/>
      <c r="F10" s="253">
        <f>SUMIF(59:59,E10,60:60)-SUMIF(59:59,C10,60:60)+100</f>
        <v>100</v>
      </c>
      <c r="G10" s="860"/>
      <c r="H10" s="253">
        <f>SUMIF(59:59,G10,60:60)-SUMIF(59:59,C10,60:60)+100</f>
        <v>100</v>
      </c>
      <c r="I10" s="859"/>
      <c r="J10" s="253">
        <f>SUMIF(59:59,I10,60:60)-SUMIF(59:59,C10,60:60)+100</f>
        <v>100</v>
      </c>
      <c r="K10" s="582"/>
      <c r="L10" s="2119"/>
      <c r="M10" s="2159"/>
      <c r="N10" s="2159"/>
      <c r="O10" s="2120"/>
      <c r="P10" s="3824"/>
      <c r="Q10" s="1145" t="str">
        <f t="shared" si="6"/>
        <v>土地使用年限（年）</v>
      </c>
      <c r="R10" s="1551" t="s">
        <v>8</v>
      </c>
      <c r="S10" s="1552">
        <f t="shared" si="0"/>
        <v>100</v>
      </c>
      <c r="T10" s="1551" t="s">
        <v>8</v>
      </c>
      <c r="U10" s="1552">
        <f t="shared" si="1"/>
        <v>100</v>
      </c>
      <c r="V10" s="1551" t="s">
        <v>8</v>
      </c>
      <c r="W10" s="1552">
        <f t="shared" si="2"/>
        <v>100</v>
      </c>
      <c r="X10" s="1553"/>
      <c r="Y10" s="3712"/>
      <c r="Z10" s="1144" t="str">
        <f t="shared" si="7"/>
        <v>土地使用年限（年）</v>
      </c>
      <c r="AA10" s="1554">
        <f t="shared" si="3"/>
        <v>1</v>
      </c>
      <c r="AB10" s="1554">
        <f t="shared" si="4"/>
        <v>1</v>
      </c>
      <c r="AC10" s="1554">
        <f t="shared" si="5"/>
        <v>1</v>
      </c>
    </row>
    <row r="11" spans="1:29" ht="15">
      <c r="A11" s="2867"/>
      <c r="B11" s="2871" t="s">
        <v>2752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1"/>
      <c r="M11" s="2115"/>
      <c r="N11" s="2115"/>
      <c r="O11" s="2122"/>
      <c r="P11" s="3824"/>
      <c r="Q11" s="1145" t="str">
        <f t="shared" si="6"/>
        <v>容积率</v>
      </c>
      <c r="R11" s="1551" t="s">
        <v>8</v>
      </c>
      <c r="S11" s="1552" t="e">
        <f t="shared" si="0"/>
        <v>#N/A</v>
      </c>
      <c r="T11" s="1551" t="s">
        <v>8</v>
      </c>
      <c r="U11" s="1552" t="e">
        <f t="shared" si="1"/>
        <v>#N/A</v>
      </c>
      <c r="V11" s="1551" t="s">
        <v>8</v>
      </c>
      <c r="W11" s="1552" t="e">
        <f t="shared" si="2"/>
        <v>#N/A</v>
      </c>
      <c r="X11" s="1553"/>
      <c r="Y11" s="3712"/>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37"/>
      <c r="F12" s="253">
        <f>SUMIF(64:64,E12,65:65)-SUMIF(64:64,C12,65:65)+100</f>
        <v>100</v>
      </c>
      <c r="G12" s="918"/>
      <c r="H12" s="253">
        <f>SUMIF(64:64,G12,65:65)-SUMIF(64:64,C12,65:65)+100</f>
        <v>100</v>
      </c>
      <c r="I12" s="878"/>
      <c r="J12" s="253">
        <f>SUMIF(64:64,I12,65:65)-SUMIF(64:64,C12,65:65)+100</f>
        <v>100</v>
      </c>
      <c r="K12" s="579"/>
      <c r="L12" s="2116"/>
      <c r="M12" s="2117"/>
      <c r="N12" s="2117"/>
      <c r="O12" s="2118"/>
      <c r="P12" s="3824"/>
      <c r="Q12" s="1145">
        <f t="shared" si="6"/>
        <v>111</v>
      </c>
      <c r="R12" s="1551" t="s">
        <v>8</v>
      </c>
      <c r="S12" s="1552">
        <f t="shared" si="0"/>
        <v>100</v>
      </c>
      <c r="T12" s="1551" t="s">
        <v>8</v>
      </c>
      <c r="U12" s="1552">
        <f t="shared" si="1"/>
        <v>100</v>
      </c>
      <c r="V12" s="1551" t="s">
        <v>8</v>
      </c>
      <c r="W12" s="1552">
        <f t="shared" si="2"/>
        <v>100</v>
      </c>
      <c r="X12" s="1553"/>
      <c r="Y12" s="3712"/>
      <c r="Z12" s="1144">
        <f t="shared" si="7"/>
        <v>111</v>
      </c>
      <c r="AA12" s="1554">
        <f>D12/F12</f>
        <v>1</v>
      </c>
      <c r="AB12" s="1554">
        <f>D12/H12</f>
        <v>1</v>
      </c>
      <c r="AC12" s="1554">
        <f>D12/J12</f>
        <v>1</v>
      </c>
    </row>
    <row r="13" spans="1:29" ht="15">
      <c r="A13" s="2868"/>
      <c r="B13" s="2874">
        <v>111</v>
      </c>
      <c r="C13" s="537"/>
      <c r="D13" s="538">
        <v>100</v>
      </c>
      <c r="E13" s="537"/>
      <c r="F13" s="253">
        <f>SUMIF(66:66,E13,67:67)-SUMIF(66:66,C13,67:67)+100</f>
        <v>100</v>
      </c>
      <c r="G13" s="918"/>
      <c r="H13" s="538">
        <f>SUMIF(66:66,G13,67:67)-SUMIF(66:66,C13,67:67)+100</f>
        <v>100</v>
      </c>
      <c r="I13" s="878"/>
      <c r="J13" s="538">
        <f>SUMIF(66:66,I13,67:67)-SUMIF(66:66,C13,67:67)+100</f>
        <v>100</v>
      </c>
      <c r="K13" s="579"/>
      <c r="L13" s="2123"/>
      <c r="M13" s="2115"/>
      <c r="N13" s="2115"/>
      <c r="O13" s="2122"/>
      <c r="P13" s="3824"/>
      <c r="Q13" s="1145">
        <f t="shared" si="6"/>
        <v>111</v>
      </c>
      <c r="R13" s="1551" t="s">
        <v>8</v>
      </c>
      <c r="S13" s="1552">
        <f t="shared" si="0"/>
        <v>100</v>
      </c>
      <c r="T13" s="1551" t="s">
        <v>8</v>
      </c>
      <c r="U13" s="1552">
        <f t="shared" si="1"/>
        <v>100</v>
      </c>
      <c r="V13" s="1551" t="s">
        <v>8</v>
      </c>
      <c r="W13" s="1552">
        <f t="shared" si="2"/>
        <v>100</v>
      </c>
      <c r="X13" s="1553"/>
      <c r="Y13" s="3712"/>
      <c r="Z13" s="1144">
        <f t="shared" si="7"/>
        <v>111</v>
      </c>
      <c r="AA13" s="1554">
        <f t="shared" si="3"/>
        <v>1</v>
      </c>
      <c r="AB13" s="1554">
        <f t="shared" si="4"/>
        <v>1</v>
      </c>
      <c r="AC13" s="1554">
        <f t="shared" si="5"/>
        <v>1</v>
      </c>
    </row>
    <row r="14" spans="1:29" ht="15.75" thickBot="1">
      <c r="A14" s="2869"/>
      <c r="B14" s="2875">
        <v>111</v>
      </c>
      <c r="C14" s="543"/>
      <c r="D14" s="544">
        <v>100</v>
      </c>
      <c r="E14" s="543"/>
      <c r="F14" s="544">
        <f>SUMIF(68:68,E14,69:69)-SUMIF(68:68,C14,69:69)+100</f>
        <v>100</v>
      </c>
      <c r="G14" s="918"/>
      <c r="H14" s="544">
        <f>SUMIF(68:68,G14,69:69)-SUMIF(68:68,C14,69:69)+100</f>
        <v>100</v>
      </c>
      <c r="I14" s="878"/>
      <c r="J14" s="544">
        <f>SUMIF(68:68,I14,69:69)-SUMIF(68:68,C14,69:69)+100</f>
        <v>100</v>
      </c>
      <c r="K14" s="579"/>
      <c r="L14" s="2123"/>
      <c r="M14" s="2115"/>
      <c r="N14" s="2115"/>
      <c r="O14" s="2122"/>
      <c r="P14" s="3824"/>
      <c r="Q14" s="1145">
        <f t="shared" si="6"/>
        <v>111</v>
      </c>
      <c r="R14" s="1551" t="s">
        <v>8</v>
      </c>
      <c r="S14" s="1552">
        <f t="shared" si="0"/>
        <v>100</v>
      </c>
      <c r="T14" s="1551" t="s">
        <v>8</v>
      </c>
      <c r="U14" s="1552">
        <f t="shared" si="1"/>
        <v>100</v>
      </c>
      <c r="V14" s="1551" t="s">
        <v>8</v>
      </c>
      <c r="W14" s="1552">
        <f t="shared" si="2"/>
        <v>100</v>
      </c>
      <c r="X14" s="1553"/>
      <c r="Y14" s="3712"/>
      <c r="Z14" s="1144">
        <f t="shared" si="7"/>
        <v>111</v>
      </c>
      <c r="AA14" s="1554">
        <f t="shared" si="3"/>
        <v>1</v>
      </c>
      <c r="AB14" s="1554">
        <f t="shared" si="4"/>
        <v>1</v>
      </c>
      <c r="AC14" s="1554">
        <f t="shared" si="5"/>
        <v>1</v>
      </c>
    </row>
    <row r="15" spans="1:29" ht="57">
      <c r="A15" s="2861" t="s">
        <v>2748</v>
      </c>
      <c r="B15" s="164"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3"/>
      <c r="M15" s="2115"/>
      <c r="N15" s="2115"/>
      <c r="O15" s="2122"/>
      <c r="P15" s="3858" t="s">
        <v>537</v>
      </c>
      <c r="Q15" s="1555" t="str">
        <f t="shared" si="6"/>
        <v>产业集聚程度</v>
      </c>
      <c r="R15" s="1556" t="s">
        <v>8</v>
      </c>
      <c r="S15" s="1557">
        <f t="shared" si="0"/>
        <v>100</v>
      </c>
      <c r="T15" s="1556" t="s">
        <v>8</v>
      </c>
      <c r="U15" s="1557">
        <f t="shared" si="1"/>
        <v>100</v>
      </c>
      <c r="V15" s="1556" t="s">
        <v>8</v>
      </c>
      <c r="W15" s="1557">
        <f t="shared" si="2"/>
        <v>100</v>
      </c>
      <c r="X15" s="1550"/>
      <c r="Y15" s="3858" t="s">
        <v>537</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3"/>
      <c r="M16" s="2115"/>
      <c r="N16" s="2115"/>
      <c r="O16" s="2122"/>
      <c r="P16" s="3859"/>
      <c r="Q16" s="1555"/>
      <c r="R16" s="1556"/>
      <c r="S16" s="1557"/>
      <c r="T16" s="1556"/>
      <c r="U16" s="1557"/>
      <c r="V16" s="1556"/>
      <c r="W16" s="1557"/>
      <c r="X16" s="1550"/>
      <c r="Y16" s="3859"/>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3"/>
      <c r="M17" s="2115"/>
      <c r="N17" s="2115"/>
      <c r="O17" s="2122"/>
      <c r="P17" s="3859"/>
      <c r="Q17" s="1555" t="str">
        <f>B17</f>
        <v>交通便捷度</v>
      </c>
      <c r="R17" s="1556" t="s">
        <v>8</v>
      </c>
      <c r="S17" s="1557">
        <f>F17</f>
        <v>100</v>
      </c>
      <c r="T17" s="1556" t="s">
        <v>8</v>
      </c>
      <c r="U17" s="1557">
        <f>H17</f>
        <v>100</v>
      </c>
      <c r="V17" s="1556" t="s">
        <v>8</v>
      </c>
      <c r="W17" s="1557">
        <f>J17</f>
        <v>100</v>
      </c>
      <c r="X17" s="1550"/>
      <c r="Y17" s="3859"/>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3"/>
      <c r="M18" s="2115"/>
      <c r="N18" s="2115"/>
      <c r="O18" s="2122"/>
      <c r="P18" s="3859"/>
      <c r="Q18" s="1555"/>
      <c r="R18" s="1556"/>
      <c r="S18" s="1557"/>
      <c r="T18" s="1556"/>
      <c r="U18" s="1557"/>
      <c r="V18" s="1556"/>
      <c r="W18" s="1557"/>
      <c r="X18" s="1550"/>
      <c r="Y18" s="3859"/>
      <c r="Z18" s="1558"/>
      <c r="AA18" s="1559">
        <v>1</v>
      </c>
      <c r="AB18" s="1559">
        <v>1</v>
      </c>
      <c r="AC18" s="1559">
        <v>1</v>
      </c>
    </row>
    <row r="19" spans="1:29" ht="42.75">
      <c r="A19" s="530"/>
      <c r="B19" s="2563"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3"/>
      <c r="M19" s="2115"/>
      <c r="N19" s="2115"/>
      <c r="O19" s="2122"/>
      <c r="P19" s="3859"/>
      <c r="Q19" s="1555" t="str">
        <f>B19</f>
        <v>公共配套设施</v>
      </c>
      <c r="R19" s="1556" t="s">
        <v>8</v>
      </c>
      <c r="S19" s="1557">
        <f>F19</f>
        <v>100</v>
      </c>
      <c r="T19" s="1556" t="s">
        <v>8</v>
      </c>
      <c r="U19" s="1557">
        <f>H19</f>
        <v>100</v>
      </c>
      <c r="V19" s="1556" t="s">
        <v>8</v>
      </c>
      <c r="W19" s="1557">
        <f>J19</f>
        <v>100</v>
      </c>
      <c r="X19" s="1550"/>
      <c r="Y19" s="3859"/>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3"/>
      <c r="M20" s="2115"/>
      <c r="N20" s="2115"/>
      <c r="O20" s="2122"/>
      <c r="P20" s="3859"/>
      <c r="Q20" s="1555"/>
      <c r="R20" s="1556"/>
      <c r="S20" s="1557"/>
      <c r="T20" s="1556"/>
      <c r="U20" s="1557"/>
      <c r="V20" s="1556"/>
      <c r="W20" s="1557"/>
      <c r="X20" s="1550"/>
      <c r="Y20" s="3859"/>
      <c r="Z20" s="1558"/>
      <c r="AA20" s="1559">
        <v>1</v>
      </c>
      <c r="AB20" s="1559">
        <v>1</v>
      </c>
      <c r="AC20" s="1559">
        <v>1</v>
      </c>
    </row>
    <row r="21" spans="1:29" ht="28.5">
      <c r="A21" s="530"/>
      <c r="B21" s="2551"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3"/>
      <c r="M21" s="2115"/>
      <c r="N21" s="2115"/>
      <c r="O21" s="2122"/>
      <c r="P21" s="3859"/>
      <c r="Q21" s="2539" t="str">
        <f>B21</f>
        <v>基础设施水平</v>
      </c>
      <c r="R21" s="1556" t="s">
        <v>8</v>
      </c>
      <c r="S21" s="1557">
        <f>F21</f>
        <v>100</v>
      </c>
      <c r="T21" s="1556" t="s">
        <v>8</v>
      </c>
      <c r="U21" s="1557">
        <f>H21</f>
        <v>100</v>
      </c>
      <c r="V21" s="1556" t="s">
        <v>8</v>
      </c>
      <c r="W21" s="1557">
        <f>J21</f>
        <v>100</v>
      </c>
      <c r="X21" s="2541"/>
      <c r="Y21" s="3859"/>
      <c r="Z21" s="2540"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2"/>
      <c r="L22" s="2123"/>
      <c r="M22" s="2115"/>
      <c r="N22" s="2115"/>
      <c r="O22" s="2122"/>
      <c r="P22" s="3859"/>
      <c r="Q22" s="2539"/>
      <c r="R22" s="1556"/>
      <c r="S22" s="1557"/>
      <c r="T22" s="1556"/>
      <c r="U22" s="1557"/>
      <c r="V22" s="1556"/>
      <c r="W22" s="1557"/>
      <c r="X22" s="2541"/>
      <c r="Y22" s="3859"/>
      <c r="Z22" s="2540"/>
      <c r="AA22" s="1559">
        <v>1</v>
      </c>
      <c r="AB22" s="1559">
        <v>1</v>
      </c>
      <c r="AC22" s="1559">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3"/>
      <c r="M23" s="2115"/>
      <c r="N23" s="2115"/>
      <c r="O23" s="2122"/>
      <c r="P23" s="3859"/>
      <c r="Q23" s="1555" t="str">
        <f>B23</f>
        <v>环境质量</v>
      </c>
      <c r="R23" s="1556" t="s">
        <v>8</v>
      </c>
      <c r="S23" s="1557">
        <f>F23</f>
        <v>100</v>
      </c>
      <c r="T23" s="1556" t="s">
        <v>8</v>
      </c>
      <c r="U23" s="1557">
        <f>H23</f>
        <v>100</v>
      </c>
      <c r="V23" s="1556" t="s">
        <v>8</v>
      </c>
      <c r="W23" s="1557">
        <f>J23</f>
        <v>100</v>
      </c>
      <c r="X23" s="1550"/>
      <c r="Y23" s="3859"/>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3"/>
      <c r="M24" s="2115"/>
      <c r="N24" s="2115"/>
      <c r="O24" s="2122"/>
      <c r="P24" s="3859"/>
      <c r="Q24" s="1555"/>
      <c r="R24" s="1556"/>
      <c r="S24" s="1557"/>
      <c r="T24" s="1556"/>
      <c r="U24" s="1557"/>
      <c r="V24" s="1556"/>
      <c r="W24" s="1557"/>
      <c r="X24" s="1550"/>
      <c r="Y24" s="3859"/>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859"/>
      <c r="Q25" s="1555">
        <f>B25</f>
        <v>111</v>
      </c>
      <c r="R25" s="1556" t="s">
        <v>8</v>
      </c>
      <c r="S25" s="1557">
        <f>F25</f>
        <v>100</v>
      </c>
      <c r="T25" s="1556" t="s">
        <v>8</v>
      </c>
      <c r="U25" s="1557">
        <f>H25</f>
        <v>100</v>
      </c>
      <c r="V25" s="1556" t="s">
        <v>8</v>
      </c>
      <c r="W25" s="1557">
        <f>J25</f>
        <v>100</v>
      </c>
      <c r="X25" s="1550"/>
      <c r="Y25" s="3859"/>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859"/>
      <c r="Q26" s="1555">
        <f t="shared" ref="Q26:Q40" si="11">B26</f>
        <v>111</v>
      </c>
      <c r="R26" s="1556" t="s">
        <v>8</v>
      </c>
      <c r="S26" s="1557">
        <f>F26</f>
        <v>100</v>
      </c>
      <c r="T26" s="1556" t="s">
        <v>8</v>
      </c>
      <c r="U26" s="1557">
        <f>H26</f>
        <v>100</v>
      </c>
      <c r="V26" s="1556" t="s">
        <v>8</v>
      </c>
      <c r="W26" s="1557">
        <f>J26</f>
        <v>100</v>
      </c>
      <c r="X26" s="1550"/>
      <c r="Y26" s="3859"/>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859"/>
      <c r="Q27" s="1145">
        <f t="shared" si="11"/>
        <v>111</v>
      </c>
      <c r="R27" s="1551" t="s">
        <v>8</v>
      </c>
      <c r="S27" s="1552">
        <f>F27</f>
        <v>100</v>
      </c>
      <c r="T27" s="1551" t="s">
        <v>8</v>
      </c>
      <c r="U27" s="1552">
        <f>H27</f>
        <v>100</v>
      </c>
      <c r="V27" s="1551" t="s">
        <v>8</v>
      </c>
      <c r="W27" s="1552">
        <f>J27</f>
        <v>100</v>
      </c>
      <c r="X27" s="1553"/>
      <c r="Y27" s="3859"/>
      <c r="Z27" s="1144">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3"/>
      <c r="M28" s="2115"/>
      <c r="N28" s="2115"/>
      <c r="O28" s="2122"/>
      <c r="P28" s="3859"/>
      <c r="Q28" s="1555">
        <f t="shared" si="11"/>
        <v>111</v>
      </c>
      <c r="R28" s="1556" t="s">
        <v>8</v>
      </c>
      <c r="S28" s="1557">
        <f t="shared" ref="S28:S40" si="12">F28</f>
        <v>100</v>
      </c>
      <c r="T28" s="1556" t="s">
        <v>8</v>
      </c>
      <c r="U28" s="1557">
        <f t="shared" ref="U28:U40" si="13">H28</f>
        <v>100</v>
      </c>
      <c r="V28" s="1556" t="s">
        <v>8</v>
      </c>
      <c r="W28" s="1557">
        <f t="shared" ref="W28:W40" si="14">J28</f>
        <v>100</v>
      </c>
      <c r="X28" s="1550"/>
      <c r="Y28" s="3859"/>
      <c r="Z28" s="1558">
        <f t="shared" ref="Z28:Z40" si="15">Q28</f>
        <v>111</v>
      </c>
      <c r="AA28" s="1559">
        <f t="shared" si="3"/>
        <v>1</v>
      </c>
      <c r="AB28" s="1559">
        <f t="shared" si="4"/>
        <v>1</v>
      </c>
      <c r="AC28" s="1559">
        <f t="shared" si="5"/>
        <v>1</v>
      </c>
    </row>
    <row r="29" spans="1:29" ht="15">
      <c r="A29" s="2858" t="s">
        <v>2749</v>
      </c>
      <c r="B29" s="170" t="s">
        <v>777</v>
      </c>
      <c r="C29" s="914"/>
      <c r="D29" s="595">
        <v>100</v>
      </c>
      <c r="E29" s="914"/>
      <c r="F29" s="573">
        <f>SUMIF(88:88,E29,89:89)-SUMIF(88:88,C29,89:89)+100</f>
        <v>100</v>
      </c>
      <c r="G29" s="914"/>
      <c r="H29" s="538">
        <f>SUMIF(88:88,G29,89:89)-SUMIF(88:88,C29,89:89)+100</f>
        <v>100</v>
      </c>
      <c r="I29" s="914"/>
      <c r="J29" s="595">
        <f>SUMIF(88:88,I29,89:89)-SUMIF(88:88,C29,89:89)+100</f>
        <v>100</v>
      </c>
      <c r="K29" s="582"/>
      <c r="L29" s="2123"/>
      <c r="M29" s="2115"/>
      <c r="N29" s="2115"/>
      <c r="O29" s="2122"/>
      <c r="P29" s="3860" t="s">
        <v>547</v>
      </c>
      <c r="Q29" s="1555" t="str">
        <f t="shared" si="11"/>
        <v>建筑类型</v>
      </c>
      <c r="R29" s="1556" t="s">
        <v>8</v>
      </c>
      <c r="S29" s="1557">
        <f t="shared" si="12"/>
        <v>100</v>
      </c>
      <c r="T29" s="1556" t="s">
        <v>8</v>
      </c>
      <c r="U29" s="1557">
        <f t="shared" si="13"/>
        <v>100</v>
      </c>
      <c r="V29" s="1556" t="s">
        <v>8</v>
      </c>
      <c r="W29" s="1557">
        <f t="shared" si="14"/>
        <v>100</v>
      </c>
      <c r="X29" s="1550"/>
      <c r="Y29" s="3861" t="s">
        <v>547</v>
      </c>
      <c r="Z29" s="1558" t="str">
        <f t="shared" si="15"/>
        <v>建筑类型</v>
      </c>
      <c r="AA29" s="1559">
        <f t="shared" si="3"/>
        <v>1</v>
      </c>
      <c r="AB29" s="1559">
        <f t="shared" si="4"/>
        <v>1</v>
      </c>
      <c r="AC29" s="1559">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1"/>
      <c r="M30" s="2152"/>
      <c r="N30" s="2152"/>
      <c r="O30" s="2124"/>
      <c r="P30" s="3861"/>
      <c r="Q30" s="1587" t="str">
        <f t="shared" si="11"/>
        <v>项目建筑规模</v>
      </c>
      <c r="R30" s="1560" t="s">
        <v>8</v>
      </c>
      <c r="S30" s="1561" t="e">
        <f t="shared" si="12"/>
        <v>#N/A</v>
      </c>
      <c r="T30" s="1560" t="s">
        <v>8</v>
      </c>
      <c r="U30" s="1561" t="e">
        <f t="shared" si="13"/>
        <v>#N/A</v>
      </c>
      <c r="V30" s="1560" t="s">
        <v>8</v>
      </c>
      <c r="W30" s="1561" t="e">
        <f t="shared" si="14"/>
        <v>#N/A</v>
      </c>
      <c r="X30" s="1562"/>
      <c r="Y30" s="3861"/>
      <c r="Z30" s="1563" t="str">
        <f t="shared" si="15"/>
        <v>项目建筑规模</v>
      </c>
      <c r="AA30" s="1559" t="e">
        <f t="shared" si="3"/>
        <v>#N/A</v>
      </c>
      <c r="AB30" s="1559" t="e">
        <f t="shared" si="4"/>
        <v>#N/A</v>
      </c>
      <c r="AC30" s="1559"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861"/>
      <c r="Q31" s="1555" t="str">
        <f t="shared" si="11"/>
        <v>建筑结构</v>
      </c>
      <c r="R31" s="1556" t="s">
        <v>8</v>
      </c>
      <c r="S31" s="1557">
        <f t="shared" si="12"/>
        <v>100</v>
      </c>
      <c r="T31" s="1556" t="s">
        <v>8</v>
      </c>
      <c r="U31" s="1557">
        <f t="shared" si="13"/>
        <v>100</v>
      </c>
      <c r="V31" s="1556" t="s">
        <v>8</v>
      </c>
      <c r="W31" s="1557">
        <f t="shared" si="14"/>
        <v>100</v>
      </c>
      <c r="X31" s="1550"/>
      <c r="Y31" s="3861"/>
      <c r="Z31" s="1558" t="str">
        <f t="shared" si="15"/>
        <v>建筑结构</v>
      </c>
      <c r="AA31" s="1559">
        <f t="shared" si="3"/>
        <v>1</v>
      </c>
      <c r="AB31" s="1559">
        <f t="shared" si="4"/>
        <v>1</v>
      </c>
      <c r="AC31" s="1559">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861"/>
      <c r="Q32" s="1555" t="str">
        <f t="shared" si="11"/>
        <v>公共部分装修</v>
      </c>
      <c r="R32" s="1556" t="s">
        <v>8</v>
      </c>
      <c r="S32" s="1557">
        <f t="shared" si="12"/>
        <v>100</v>
      </c>
      <c r="T32" s="1556" t="s">
        <v>8</v>
      </c>
      <c r="U32" s="1557">
        <f t="shared" si="13"/>
        <v>100</v>
      </c>
      <c r="V32" s="1556" t="s">
        <v>8</v>
      </c>
      <c r="W32" s="1557">
        <f t="shared" si="14"/>
        <v>100</v>
      </c>
      <c r="X32" s="1550"/>
      <c r="Y32" s="3861"/>
      <c r="Z32" s="1558" t="str">
        <f t="shared" si="15"/>
        <v>公共部分装修</v>
      </c>
      <c r="AA32" s="1559">
        <f t="shared" si="3"/>
        <v>1</v>
      </c>
      <c r="AB32" s="1559">
        <f t="shared" si="4"/>
        <v>1</v>
      </c>
      <c r="AC32" s="1559">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3"/>
      <c r="M33" s="2115"/>
      <c r="N33" s="2115"/>
      <c r="O33" s="2122"/>
      <c r="P33" s="3861"/>
      <c r="Q33" s="1555" t="str">
        <f t="shared" si="11"/>
        <v>成新度</v>
      </c>
      <c r="R33" s="1556" t="s">
        <v>8</v>
      </c>
      <c r="S33" s="1557" t="e">
        <f t="shared" si="12"/>
        <v>#N/A</v>
      </c>
      <c r="T33" s="1556" t="s">
        <v>8</v>
      </c>
      <c r="U33" s="1557" t="e">
        <f t="shared" si="13"/>
        <v>#N/A</v>
      </c>
      <c r="V33" s="1556" t="s">
        <v>8</v>
      </c>
      <c r="W33" s="1557" t="e">
        <f t="shared" si="14"/>
        <v>#N/A</v>
      </c>
      <c r="X33" s="1550"/>
      <c r="Y33" s="3861"/>
      <c r="Z33" s="1558" t="str">
        <f t="shared" si="15"/>
        <v>成新度</v>
      </c>
      <c r="AA33" s="1559" t="e">
        <f t="shared" si="3"/>
        <v>#N/A</v>
      </c>
      <c r="AB33" s="1559" t="e">
        <f t="shared" si="4"/>
        <v>#N/A</v>
      </c>
      <c r="AC33" s="1559"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861"/>
      <c r="Q34" s="1145" t="str">
        <f t="shared" si="11"/>
        <v>物业管理</v>
      </c>
      <c r="R34" s="1551" t="s">
        <v>8</v>
      </c>
      <c r="S34" s="1552">
        <f t="shared" si="12"/>
        <v>100</v>
      </c>
      <c r="T34" s="1551" t="s">
        <v>8</v>
      </c>
      <c r="U34" s="1552">
        <f t="shared" si="13"/>
        <v>100</v>
      </c>
      <c r="V34" s="1551" t="s">
        <v>8</v>
      </c>
      <c r="W34" s="1552">
        <f t="shared" si="14"/>
        <v>100</v>
      </c>
      <c r="X34" s="1553"/>
      <c r="Y34" s="3861"/>
      <c r="Z34" s="1144" t="str">
        <f t="shared" si="15"/>
        <v>物业管理</v>
      </c>
      <c r="AA34" s="1554">
        <f t="shared" si="3"/>
        <v>1</v>
      </c>
      <c r="AB34" s="1554">
        <f t="shared" si="4"/>
        <v>1</v>
      </c>
      <c r="AC34" s="1554">
        <f t="shared" si="5"/>
        <v>1</v>
      </c>
    </row>
    <row r="35" spans="1:29" ht="15">
      <c r="A35" s="592"/>
      <c r="B35" s="1877"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861" t="s">
        <v>547</v>
      </c>
      <c r="Q35" s="1555" t="str">
        <f t="shared" si="11"/>
        <v>市政基础设施</v>
      </c>
      <c r="R35" s="1556" t="s">
        <v>8</v>
      </c>
      <c r="S35" s="1557">
        <f t="shared" si="12"/>
        <v>100</v>
      </c>
      <c r="T35" s="1556" t="s">
        <v>8</v>
      </c>
      <c r="U35" s="1557">
        <f t="shared" si="13"/>
        <v>100</v>
      </c>
      <c r="V35" s="1556" t="s">
        <v>8</v>
      </c>
      <c r="W35" s="1557">
        <f t="shared" si="14"/>
        <v>100</v>
      </c>
      <c r="X35" s="1550"/>
      <c r="Y35" s="3861" t="s">
        <v>547</v>
      </c>
      <c r="Z35" s="1558" t="str">
        <f t="shared" si="15"/>
        <v>市政基础设施</v>
      </c>
      <c r="AA35" s="1559">
        <f t="shared" si="3"/>
        <v>1</v>
      </c>
      <c r="AB35" s="1559">
        <f t="shared" si="4"/>
        <v>1</v>
      </c>
      <c r="AC35" s="1559">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861"/>
      <c r="Q36" s="1555" t="str">
        <f t="shared" si="11"/>
        <v>内部装修</v>
      </c>
      <c r="R36" s="1556" t="s">
        <v>8</v>
      </c>
      <c r="S36" s="1557">
        <f t="shared" si="12"/>
        <v>100</v>
      </c>
      <c r="T36" s="1556" t="s">
        <v>8</v>
      </c>
      <c r="U36" s="1557">
        <f t="shared" si="13"/>
        <v>100</v>
      </c>
      <c r="V36" s="1556" t="s">
        <v>8</v>
      </c>
      <c r="W36" s="1557">
        <f t="shared" si="14"/>
        <v>100</v>
      </c>
      <c r="X36" s="1550"/>
      <c r="Y36" s="3861"/>
      <c r="Z36" s="1558" t="str">
        <f t="shared" si="15"/>
        <v>内部装修</v>
      </c>
      <c r="AA36" s="1559">
        <f t="shared" si="3"/>
        <v>1</v>
      </c>
      <c r="AB36" s="1559">
        <f t="shared" si="4"/>
        <v>1</v>
      </c>
      <c r="AC36" s="1559">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861"/>
      <c r="Q37" s="1555" t="str">
        <f t="shared" si="11"/>
        <v>内部装修状况</v>
      </c>
      <c r="R37" s="1556" t="s">
        <v>8</v>
      </c>
      <c r="S37" s="1557">
        <f t="shared" si="12"/>
        <v>100</v>
      </c>
      <c r="T37" s="1556" t="s">
        <v>8</v>
      </c>
      <c r="U37" s="1557">
        <f t="shared" si="13"/>
        <v>100</v>
      </c>
      <c r="V37" s="1556" t="s">
        <v>8</v>
      </c>
      <c r="W37" s="1557">
        <f t="shared" si="14"/>
        <v>100</v>
      </c>
      <c r="X37" s="1550"/>
      <c r="Y37" s="3861"/>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1"/>
      <c r="M38" s="2152"/>
      <c r="N38" s="2152"/>
      <c r="O38" s="2124"/>
      <c r="P38" s="3861"/>
      <c r="Q38" s="1587">
        <f t="shared" si="11"/>
        <v>111</v>
      </c>
      <c r="R38" s="1560" t="s">
        <v>8</v>
      </c>
      <c r="S38" s="1561">
        <f t="shared" si="12"/>
        <v>100</v>
      </c>
      <c r="T38" s="1560" t="s">
        <v>8</v>
      </c>
      <c r="U38" s="1561">
        <f t="shared" si="13"/>
        <v>100</v>
      </c>
      <c r="V38" s="1560" t="s">
        <v>8</v>
      </c>
      <c r="W38" s="1561">
        <f t="shared" si="14"/>
        <v>100</v>
      </c>
      <c r="X38" s="1562"/>
      <c r="Y38" s="3861"/>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3"/>
      <c r="M39" s="2115"/>
      <c r="N39" s="2115"/>
      <c r="O39" s="2122"/>
      <c r="P39" s="3861"/>
      <c r="Q39" s="1555">
        <f t="shared" si="11"/>
        <v>111</v>
      </c>
      <c r="R39" s="1556" t="s">
        <v>8</v>
      </c>
      <c r="S39" s="1557">
        <f t="shared" si="12"/>
        <v>100</v>
      </c>
      <c r="T39" s="1556" t="s">
        <v>8</v>
      </c>
      <c r="U39" s="1557">
        <f t="shared" si="13"/>
        <v>100</v>
      </c>
      <c r="V39" s="1556" t="s">
        <v>8</v>
      </c>
      <c r="W39" s="1557">
        <f t="shared" si="14"/>
        <v>100</v>
      </c>
      <c r="X39" s="1550"/>
      <c r="Y39" s="3861"/>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3"/>
      <c r="M40" s="2115"/>
      <c r="N40" s="2115"/>
      <c r="O40" s="2122"/>
      <c r="P40" s="3936"/>
      <c r="Q40" s="1555">
        <f t="shared" si="11"/>
        <v>111</v>
      </c>
      <c r="R40" s="1556" t="s">
        <v>8</v>
      </c>
      <c r="S40" s="1557">
        <f t="shared" si="12"/>
        <v>100</v>
      </c>
      <c r="T40" s="1556" t="s">
        <v>8</v>
      </c>
      <c r="U40" s="1557">
        <f t="shared" si="13"/>
        <v>100</v>
      </c>
      <c r="V40" s="1556" t="s">
        <v>8</v>
      </c>
      <c r="W40" s="1557">
        <f t="shared" si="14"/>
        <v>100</v>
      </c>
      <c r="X40" s="1550"/>
      <c r="Y40" s="3936"/>
      <c r="Z40" s="1558">
        <f t="shared" si="15"/>
        <v>111</v>
      </c>
      <c r="AA40" s="1559">
        <f t="shared" si="3"/>
        <v>1</v>
      </c>
      <c r="AB40" s="1559">
        <f t="shared" si="4"/>
        <v>1</v>
      </c>
      <c r="AC40" s="1559">
        <f t="shared" si="5"/>
        <v>1</v>
      </c>
    </row>
    <row r="41" spans="1:29" ht="15">
      <c r="A41" s="605" t="s">
        <v>733</v>
      </c>
      <c r="B41" s="885"/>
      <c r="C41" s="2587" t="s">
        <v>1</v>
      </c>
      <c r="D41" s="2588"/>
      <c r="E41" s="2589"/>
      <c r="F41" s="2590"/>
      <c r="G41" s="2591"/>
      <c r="H41" s="2592"/>
      <c r="I41" s="2589"/>
      <c r="J41" s="2592"/>
      <c r="K41" s="1593"/>
      <c r="L41" s="2125"/>
      <c r="M41" s="2126"/>
      <c r="N41" s="2115"/>
      <c r="O41" s="2126"/>
      <c r="P41" s="3824" t="str">
        <f>A41</f>
        <v>成交单价（元/平方米）</v>
      </c>
      <c r="Q41" s="3824"/>
      <c r="R41" s="3935">
        <f>E41</f>
        <v>0</v>
      </c>
      <c r="S41" s="3935"/>
      <c r="T41" s="3935">
        <f>G41</f>
        <v>0</v>
      </c>
      <c r="U41" s="3935"/>
      <c r="V41" s="3935">
        <f>I41</f>
        <v>0</v>
      </c>
      <c r="W41" s="3935"/>
      <c r="X41" s="1542"/>
      <c r="Y41" s="1564"/>
      <c r="Z41" s="1542"/>
      <c r="AA41" s="1542"/>
      <c r="AB41" s="1542"/>
      <c r="AC41" s="1542"/>
    </row>
    <row r="42" spans="1:29" ht="15.75" thickBot="1">
      <c r="A42" s="613" t="s">
        <v>2754</v>
      </c>
      <c r="B42" s="886"/>
      <c r="C42" s="2593" t="e">
        <f>R43</f>
        <v>#DIV/0!</v>
      </c>
      <c r="D42" s="2594"/>
      <c r="E42" s="2595" t="e">
        <f>R42</f>
        <v>#DIV/0!</v>
      </c>
      <c r="F42" s="2595"/>
      <c r="G42" s="2593" t="e">
        <f>T42</f>
        <v>#DIV/0!</v>
      </c>
      <c r="H42" s="2594"/>
      <c r="I42" s="2595" t="e">
        <f>V42</f>
        <v>#DIV/0!</v>
      </c>
      <c r="J42" s="2594"/>
      <c r="K42" s="1594"/>
      <c r="L42" s="2125"/>
      <c r="M42" s="2126"/>
      <c r="N42" s="2115"/>
      <c r="O42" s="2126"/>
      <c r="P42" s="3824" t="str">
        <f>A42</f>
        <v>比较价格（元/平方米）</v>
      </c>
      <c r="Q42" s="3824"/>
      <c r="R42" s="3935" t="e">
        <f>IF(F1="售价",ROUND(PRODUCT(R41,AA7:AA40),0),ROUND(PRODUCT(R41,AA7:AA40),1))</f>
        <v>#DIV/0!</v>
      </c>
      <c r="S42" s="3935"/>
      <c r="T42" s="3935" t="e">
        <f>IF(F1="售价",ROUND(PRODUCT(T41,AB7:AB40),0),ROUND(PRODUCT(T41,AB7:AB40),1))</f>
        <v>#DIV/0!</v>
      </c>
      <c r="U42" s="3935"/>
      <c r="V42" s="3935" t="e">
        <f>IF(F1="售价",ROUND(PRODUCT(V41,AC7:AC40),0),ROUND(PRODUCT(V41,AC7:AC40),1))</f>
        <v>#DIV/0!</v>
      </c>
      <c r="W42" s="3935"/>
      <c r="X42" s="1542"/>
      <c r="Y42" s="1542"/>
      <c r="Z42" s="1542"/>
      <c r="AA42" s="1542"/>
      <c r="AB42" s="1542"/>
      <c r="AC42" s="1542"/>
    </row>
    <row r="43" spans="1:29" ht="15.75" thickBot="1">
      <c r="A43" s="619" t="s">
        <v>2930</v>
      </c>
      <c r="B43" s="620"/>
      <c r="C43" s="2596" t="e">
        <f>R43</f>
        <v>#DIV/0!</v>
      </c>
      <c r="D43" s="2596"/>
      <c r="E43" s="2596"/>
      <c r="F43" s="2596"/>
      <c r="G43" s="2596"/>
      <c r="H43" s="2596"/>
      <c r="I43" s="2596"/>
      <c r="J43" s="2596"/>
      <c r="K43" s="1595"/>
      <c r="L43" s="2125"/>
      <c r="M43" s="2126"/>
      <c r="N43" s="2126"/>
      <c r="O43" s="2126"/>
      <c r="P43" s="3821" t="str">
        <f>A43</f>
        <v>估价对象XX用房的比较价格（楼面单价，元/平方米）</v>
      </c>
      <c r="Q43" s="3822"/>
      <c r="R43" s="3934" t="e">
        <f>IF(F1="售价",ROUND(AVERAGE(R42:V42),0),ROUND(AVERAGE(R42:V42),1))</f>
        <v>#DIV/0!</v>
      </c>
      <c r="S43" s="3934"/>
      <c r="T43" s="3934"/>
      <c r="U43" s="3934"/>
      <c r="V43" s="3934"/>
      <c r="W43" s="3934"/>
      <c r="X43" s="1542"/>
      <c r="Y43" s="1542"/>
      <c r="Z43" s="1542"/>
      <c r="AA43" s="1542"/>
      <c r="AB43" s="1542"/>
      <c r="AC43" s="1542"/>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7" t="s">
        <v>571</v>
      </c>
      <c r="B51" s="1542"/>
      <c r="C51" s="1566"/>
      <c r="D51" s="1566"/>
      <c r="E51" s="1566"/>
      <c r="F51" s="1568"/>
      <c r="G51" s="1568"/>
      <c r="H51" s="1566"/>
      <c r="I51" s="1566"/>
      <c r="J51" s="1566"/>
      <c r="K51" s="1569"/>
      <c r="L51" s="1565"/>
      <c r="M51" s="1566"/>
      <c r="N51" s="1566"/>
      <c r="O51" s="1566"/>
      <c r="P51" s="2138"/>
      <c r="Q51" s="2139"/>
      <c r="R51" s="2126"/>
      <c r="S51" s="2126"/>
      <c r="T51" s="2126"/>
      <c r="U51" s="2126"/>
      <c r="V51" s="2126"/>
      <c r="W51" s="2126"/>
      <c r="X51" s="2126"/>
      <c r="Y51" s="2126"/>
      <c r="Z51" s="2126"/>
      <c r="AA51" s="2126"/>
      <c r="AB51" s="2126"/>
      <c r="AC51" s="2126"/>
    </row>
    <row r="52" spans="1:29" s="1341" customFormat="1" ht="15">
      <c r="A52" s="643" t="s">
        <v>526</v>
      </c>
      <c r="B52" s="644"/>
      <c r="C52" s="2753" t="str">
        <f>YEAR(C7)&amp;"-"&amp;MONTH(C7)</f>
        <v>2019-10</v>
      </c>
      <c r="D52" s="2755">
        <f>EDATE(C52,-1)</f>
        <v>43709</v>
      </c>
      <c r="E52" s="2755">
        <f t="shared" ref="E52:O52" si="16">EDATE(D52,-1)</f>
        <v>43678</v>
      </c>
      <c r="F52" s="2755">
        <f t="shared" si="16"/>
        <v>43647</v>
      </c>
      <c r="G52" s="2755">
        <f t="shared" si="16"/>
        <v>43617</v>
      </c>
      <c r="H52" s="2755">
        <f t="shared" si="16"/>
        <v>43586</v>
      </c>
      <c r="I52" s="2755">
        <f t="shared" si="16"/>
        <v>43556</v>
      </c>
      <c r="J52" s="2755">
        <f t="shared" si="16"/>
        <v>43525</v>
      </c>
      <c r="K52" s="2755">
        <f t="shared" si="16"/>
        <v>43497</v>
      </c>
      <c r="L52" s="2755">
        <f t="shared" si="16"/>
        <v>43466</v>
      </c>
      <c r="M52" s="2755">
        <f t="shared" si="16"/>
        <v>43435</v>
      </c>
      <c r="N52" s="2755">
        <f t="shared" si="16"/>
        <v>43405</v>
      </c>
      <c r="O52" s="2755">
        <f t="shared" si="16"/>
        <v>43374</v>
      </c>
      <c r="P52" s="2141"/>
      <c r="Q52" s="2142"/>
      <c r="R52" s="2142"/>
      <c r="S52" s="2142"/>
      <c r="T52" s="2142"/>
      <c r="U52" s="2142"/>
      <c r="V52" s="2142"/>
      <c r="W52" s="2142"/>
      <c r="X52" s="2142"/>
      <c r="Y52" s="2142"/>
      <c r="Z52" s="2142"/>
      <c r="AA52" s="2142"/>
      <c r="AB52" s="2142"/>
      <c r="AC52" s="2142"/>
    </row>
    <row r="53" spans="1:29" s="1214"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4" customFormat="1" ht="15.75" thickBot="1">
      <c r="A54" s="651" t="s">
        <v>572</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4" customFormat="1" ht="15">
      <c r="A55" s="657" t="s">
        <v>528</v>
      </c>
      <c r="B55" s="646"/>
      <c r="C55" s="658" t="s">
        <v>573</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574</v>
      </c>
      <c r="B57" s="663" t="s">
        <v>531</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536</v>
      </c>
      <c r="B70" s="663" t="s">
        <v>582</v>
      </c>
      <c r="C70" s="701" t="s">
        <v>576</v>
      </c>
      <c r="D70" s="701" t="s">
        <v>577</v>
      </c>
      <c r="E70" s="701" t="s">
        <v>578</v>
      </c>
      <c r="F70" s="701" t="s">
        <v>579</v>
      </c>
      <c r="G70" s="701" t="s">
        <v>580</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583</v>
      </c>
      <c r="C72" s="706" t="s">
        <v>576</v>
      </c>
      <c r="D72" s="706" t="s">
        <v>577</v>
      </c>
      <c r="E72" s="706" t="s">
        <v>578</v>
      </c>
      <c r="F72" s="706" t="s">
        <v>579</v>
      </c>
      <c r="G72" s="706" t="s">
        <v>580</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8" t="s">
        <v>2551</v>
      </c>
      <c r="C74" s="706" t="s">
        <v>576</v>
      </c>
      <c r="D74" s="706" t="s">
        <v>577</v>
      </c>
      <c r="E74" s="706" t="s">
        <v>578</v>
      </c>
      <c r="F74" s="706" t="s">
        <v>579</v>
      </c>
      <c r="G74" s="706" t="s">
        <v>580</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7" t="s">
        <v>2552</v>
      </c>
      <c r="C76" s="2558" t="s">
        <v>2553</v>
      </c>
      <c r="D76" s="2558" t="s">
        <v>2554</v>
      </c>
      <c r="E76" s="2558" t="s">
        <v>2555</v>
      </c>
      <c r="F76" s="2558" t="s">
        <v>2556</v>
      </c>
      <c r="G76" s="2558" t="s">
        <v>2557</v>
      </c>
      <c r="H76" s="933"/>
      <c r="I76" s="933"/>
      <c r="J76" s="933"/>
      <c r="K76" s="933"/>
      <c r="L76" s="933"/>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781</v>
      </c>
      <c r="C78" s="706" t="s">
        <v>576</v>
      </c>
      <c r="D78" s="706" t="s">
        <v>577</v>
      </c>
      <c r="E78" s="706" t="s">
        <v>578</v>
      </c>
      <c r="F78" s="706" t="s">
        <v>579</v>
      </c>
      <c r="G78" s="706" t="s">
        <v>580</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7"/>
      <c r="B80" s="671">
        <f>B25</f>
        <v>111</v>
      </c>
      <c r="C80" s="686"/>
      <c r="D80" s="686"/>
      <c r="E80" s="686"/>
      <c r="F80" s="686"/>
      <c r="G80" s="686"/>
      <c r="H80" s="686"/>
      <c r="I80" s="686"/>
      <c r="J80" s="686"/>
      <c r="K80" s="686"/>
      <c r="L80" s="888"/>
      <c r="M80" s="889"/>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7"/>
      <c r="B82" s="671">
        <f>B26</f>
        <v>111</v>
      </c>
      <c r="C82" s="686"/>
      <c r="D82" s="686"/>
      <c r="E82" s="686"/>
      <c r="F82" s="686"/>
      <c r="G82" s="686"/>
      <c r="H82" s="686"/>
      <c r="I82" s="686"/>
      <c r="J82" s="686"/>
      <c r="K82" s="686"/>
      <c r="L82" s="888"/>
      <c r="M82" s="889"/>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5"/>
      <c r="B84" s="671">
        <f>B27</f>
        <v>111</v>
      </c>
      <c r="C84" s="686"/>
      <c r="D84" s="686"/>
      <c r="E84" s="686"/>
      <c r="F84" s="686"/>
      <c r="G84" s="686"/>
      <c r="H84" s="686"/>
      <c r="I84" s="686"/>
      <c r="J84" s="686"/>
      <c r="K84" s="686"/>
      <c r="L84" s="888"/>
      <c r="M84" s="8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1"/>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548</v>
      </c>
      <c r="B88" s="663" t="s">
        <v>744</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746</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748</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2">
        <v>0.5</v>
      </c>
      <c r="D98" s="892">
        <v>0.6</v>
      </c>
      <c r="E98" s="892">
        <v>0.7</v>
      </c>
      <c r="F98" s="892">
        <v>0.8</v>
      </c>
      <c r="G98" s="892">
        <v>0.9</v>
      </c>
      <c r="H98" s="892">
        <v>1.0001</v>
      </c>
      <c r="I98" s="903"/>
      <c r="J98" s="903"/>
      <c r="K98" s="904"/>
      <c r="L98" s="905"/>
      <c r="M98" s="906"/>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6"/>
      <c r="B100" s="671" t="s">
        <v>750</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8" t="s">
        <v>2550</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752</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1"/>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8"/>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IF(B37="元/平方米",ROUND(B3*D3/10000,0),ROUND(F3*C39/10000,0))</f>
        <v>#DIV/0!</v>
      </c>
      <c r="C2" s="2108"/>
      <c r="D2" s="2108"/>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thickBot="1">
      <c r="A3" s="507" t="s">
        <v>792</v>
      </c>
      <c r="B3" s="508" t="e">
        <f>IF(B37="元/平方米",C39,ROUND(B2*10000/D3,0))</f>
        <v>#DIV/0!</v>
      </c>
      <c r="C3" s="850" t="s">
        <v>793</v>
      </c>
      <c r="D3" s="849">
        <f>SUMIF('数据-汇总表'!$C19:$C33,D1,'数据-汇总表'!$E19:$E33)</f>
        <v>0</v>
      </c>
      <c r="E3" s="1830" t="s">
        <v>2073</v>
      </c>
      <c r="F3" s="849">
        <f>SUMIF('数据-取费表'!A5:A15,D1,'数据-取费表'!AH5:AH15)</f>
        <v>0</v>
      </c>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29" ht="15">
      <c r="A4" s="510" t="s">
        <v>794</v>
      </c>
      <c r="B4" s="511"/>
      <c r="C4" s="3830" t="s">
        <v>795</v>
      </c>
      <c r="D4" s="3831"/>
      <c r="E4" s="3830" t="s">
        <v>796</v>
      </c>
      <c r="F4" s="3831"/>
      <c r="G4" s="3830" t="s">
        <v>797</v>
      </c>
      <c r="H4" s="3831"/>
      <c r="I4" s="3830" t="s">
        <v>798</v>
      </c>
      <c r="J4" s="3831"/>
      <c r="K4" s="512" t="s">
        <v>799</v>
      </c>
      <c r="L4" s="2114"/>
      <c r="M4" s="2115"/>
      <c r="N4" s="2115"/>
      <c r="O4" s="2115"/>
      <c r="P4" s="3832" t="s">
        <v>800</v>
      </c>
      <c r="Q4" s="3833"/>
      <c r="R4" s="3838" t="s">
        <v>796</v>
      </c>
      <c r="S4" s="3839"/>
      <c r="T4" s="3838" t="s">
        <v>797</v>
      </c>
      <c r="U4" s="3839"/>
      <c r="V4" s="3825" t="s">
        <v>798</v>
      </c>
      <c r="W4" s="3825"/>
      <c r="X4" s="1550"/>
      <c r="Y4" s="3838" t="s">
        <v>800</v>
      </c>
      <c r="Z4" s="3839"/>
      <c r="AA4" s="3827" t="s">
        <v>796</v>
      </c>
      <c r="AB4" s="3828" t="s">
        <v>797</v>
      </c>
      <c r="AC4" s="3827" t="s">
        <v>798</v>
      </c>
    </row>
    <row r="5" spans="1:29" ht="15">
      <c r="A5" s="513"/>
      <c r="B5" s="514"/>
      <c r="C5" s="3846" t="s">
        <v>2924</v>
      </c>
      <c r="D5" s="3847"/>
      <c r="E5" s="3846" t="s">
        <v>2925</v>
      </c>
      <c r="F5" s="3847"/>
      <c r="G5" s="3846" t="s">
        <v>2926</v>
      </c>
      <c r="H5" s="3847"/>
      <c r="I5" s="3846" t="s">
        <v>2927</v>
      </c>
      <c r="J5" s="3847"/>
      <c r="K5" s="512"/>
      <c r="L5" s="2114"/>
      <c r="M5" s="2115"/>
      <c r="N5" s="2115"/>
      <c r="O5" s="2115"/>
      <c r="P5" s="3834"/>
      <c r="Q5" s="3835"/>
      <c r="R5" s="3840"/>
      <c r="S5" s="3841"/>
      <c r="T5" s="3840"/>
      <c r="U5" s="3841"/>
      <c r="V5" s="3825"/>
      <c r="W5" s="3825"/>
      <c r="X5" s="1550"/>
      <c r="Y5" s="3840"/>
      <c r="Z5" s="3841"/>
      <c r="AA5" s="3828"/>
      <c r="AB5" s="3828"/>
      <c r="AC5" s="3828"/>
    </row>
    <row r="6" spans="1:29" ht="15.75" thickBot="1">
      <c r="A6" s="515"/>
      <c r="B6" s="516"/>
      <c r="C6" s="3844" t="s">
        <v>2928</v>
      </c>
      <c r="D6" s="3845"/>
      <c r="E6" s="3848" t="s">
        <v>2928</v>
      </c>
      <c r="F6" s="3849"/>
      <c r="G6" s="3844" t="s">
        <v>2928</v>
      </c>
      <c r="H6" s="3845"/>
      <c r="I6" s="3844" t="s">
        <v>2928</v>
      </c>
      <c r="J6" s="3845"/>
      <c r="K6" s="512" t="s">
        <v>525</v>
      </c>
      <c r="L6" s="2114"/>
      <c r="M6" s="2115"/>
      <c r="N6" s="2115"/>
      <c r="O6" s="2115"/>
      <c r="P6" s="3836"/>
      <c r="Q6" s="3837"/>
      <c r="R6" s="3840"/>
      <c r="S6" s="3841"/>
      <c r="T6" s="3842"/>
      <c r="U6" s="3843"/>
      <c r="V6" s="3825"/>
      <c r="W6" s="3825"/>
      <c r="X6" s="1550"/>
      <c r="Y6" s="3842"/>
      <c r="Z6" s="3843"/>
      <c r="AA6" s="3829"/>
      <c r="AB6" s="3829"/>
      <c r="AC6" s="3829"/>
    </row>
    <row r="7" spans="1:29" s="1214" customFormat="1" ht="15.75" thickBot="1">
      <c r="A7" s="2863"/>
      <c r="B7" s="2870" t="s">
        <v>526</v>
      </c>
      <c r="C7" s="517">
        <f>'数据-取费表'!B2</f>
        <v>43764</v>
      </c>
      <c r="D7" s="518">
        <v>100</v>
      </c>
      <c r="E7" s="519"/>
      <c r="F7" s="520">
        <f>SUMIF(48:48,YEAR(E7)&amp;"-"&amp;MONTH(E7),49:49)</f>
        <v>0</v>
      </c>
      <c r="G7" s="521"/>
      <c r="H7" s="518">
        <f>SUMIF(48:48,YEAR(G7)&amp;"-"&amp;MONTH(G7),49:49)</f>
        <v>0</v>
      </c>
      <c r="I7" s="521"/>
      <c r="J7" s="518">
        <f>SUMIF(48:48,YEAR(I7)&amp;"-"&amp;MONTH(I7),49:49)</f>
        <v>0</v>
      </c>
      <c r="K7" s="522"/>
      <c r="L7" s="2116"/>
      <c r="M7" s="2117"/>
      <c r="N7" s="2117"/>
      <c r="O7" s="2117"/>
      <c r="P7" s="3855" t="s">
        <v>527</v>
      </c>
      <c r="Q7" s="3857"/>
      <c r="R7" s="1551" t="s">
        <v>8</v>
      </c>
      <c r="S7" s="1552">
        <f t="shared" ref="S7:S14" si="0">F7</f>
        <v>0</v>
      </c>
      <c r="T7" s="1551" t="s">
        <v>8</v>
      </c>
      <c r="U7" s="1552">
        <f t="shared" ref="U7:U14" si="1">H7</f>
        <v>0</v>
      </c>
      <c r="V7" s="1551" t="s">
        <v>8</v>
      </c>
      <c r="W7" s="1552">
        <f t="shared" ref="W7:W14" si="2">J7</f>
        <v>0</v>
      </c>
      <c r="X7" s="1553"/>
      <c r="Y7" s="3855" t="s">
        <v>527</v>
      </c>
      <c r="Z7" s="3856"/>
      <c r="AA7" s="1554" t="e">
        <f>D7/F7</f>
        <v>#DIV/0!</v>
      </c>
      <c r="AB7" s="1554" t="e">
        <f>D7/H7</f>
        <v>#DIV/0!</v>
      </c>
      <c r="AC7" s="1554" t="e">
        <f>D7/J7</f>
        <v>#DIV/0!</v>
      </c>
    </row>
    <row r="8" spans="1:29" s="1214" customFormat="1" ht="15.75" thickBot="1">
      <c r="A8" s="2864"/>
      <c r="B8" s="2871" t="s">
        <v>528</v>
      </c>
      <c r="C8" s="523" t="s">
        <v>573</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855" t="s">
        <v>530</v>
      </c>
      <c r="Q8" s="3856"/>
      <c r="R8" s="1551" t="s">
        <v>8</v>
      </c>
      <c r="S8" s="1552">
        <f t="shared" si="0"/>
        <v>0</v>
      </c>
      <c r="T8" s="1551" t="s">
        <v>8</v>
      </c>
      <c r="U8" s="1552">
        <f t="shared" si="1"/>
        <v>0</v>
      </c>
      <c r="V8" s="1551" t="s">
        <v>8</v>
      </c>
      <c r="W8" s="1552">
        <f t="shared" si="2"/>
        <v>0</v>
      </c>
      <c r="X8" s="1553"/>
      <c r="Y8" s="3855" t="s">
        <v>530</v>
      </c>
      <c r="Z8" s="3856"/>
      <c r="AA8" s="1554" t="e">
        <f t="shared" ref="AA8:AA36" si="3">D8/F8</f>
        <v>#DIV/0!</v>
      </c>
      <c r="AB8" s="1554" t="e">
        <f t="shared" ref="AB8:AB36" si="4">D8/H8</f>
        <v>#DIV/0!</v>
      </c>
      <c r="AC8" s="1554" t="e">
        <f t="shared" ref="AC8:AC36" si="5">D8/J8</f>
        <v>#DIV/0!</v>
      </c>
    </row>
    <row r="9" spans="1:29" s="1214" customFormat="1" ht="15">
      <c r="A9" s="2865"/>
      <c r="B9" s="2872" t="s">
        <v>2750</v>
      </c>
      <c r="C9" s="855"/>
      <c r="D9" s="252">
        <v>100</v>
      </c>
      <c r="E9" s="858"/>
      <c r="F9" s="252">
        <f>SUMIF(53:53,E9,54:54)-SUMIF(53:53,C9,54:54)+100</f>
        <v>100</v>
      </c>
      <c r="G9" s="856"/>
      <c r="H9" s="252">
        <f>SUMIF(53:53,G9,54:54)-SUMIF(53:53,C9,54:54)+100</f>
        <v>100</v>
      </c>
      <c r="I9" s="856"/>
      <c r="J9" s="252">
        <f>SUMIF(53:53,I9,54:54)-SUMIF(53:53,C9,54:54)+100</f>
        <v>100</v>
      </c>
      <c r="K9" s="522"/>
      <c r="L9" s="2116"/>
      <c r="M9" s="2117"/>
      <c r="N9" s="2117"/>
      <c r="O9" s="2118"/>
      <c r="P9" s="3824" t="s">
        <v>532</v>
      </c>
      <c r="Q9" s="1145" t="str">
        <f t="shared" ref="Q9:Q14" si="6">B9</f>
        <v>用途</v>
      </c>
      <c r="R9" s="1551" t="s">
        <v>8</v>
      </c>
      <c r="S9" s="1552">
        <f t="shared" si="0"/>
        <v>100</v>
      </c>
      <c r="T9" s="1551" t="s">
        <v>8</v>
      </c>
      <c r="U9" s="1552">
        <f t="shared" si="1"/>
        <v>100</v>
      </c>
      <c r="V9" s="1551" t="s">
        <v>8</v>
      </c>
      <c r="W9" s="1552">
        <f t="shared" si="2"/>
        <v>100</v>
      </c>
      <c r="X9" s="1553"/>
      <c r="Y9" s="3712" t="s">
        <v>533</v>
      </c>
      <c r="Z9" s="1144" t="str">
        <f t="shared" ref="Z9:Z14" si="7">Q9</f>
        <v>用途</v>
      </c>
      <c r="AA9" s="1554">
        <f t="shared" si="3"/>
        <v>1</v>
      </c>
      <c r="AB9" s="1554">
        <f t="shared" si="4"/>
        <v>1</v>
      </c>
      <c r="AC9" s="1554">
        <f t="shared" si="5"/>
        <v>1</v>
      </c>
    </row>
    <row r="10" spans="1:29" s="1332" customFormat="1" ht="27">
      <c r="A10" s="2866"/>
      <c r="B10" s="2871" t="s">
        <v>2751</v>
      </c>
      <c r="C10" s="859"/>
      <c r="D10" s="253">
        <v>100</v>
      </c>
      <c r="E10" s="859"/>
      <c r="F10" s="253">
        <f>SUMIF(55:55,E10,56:56)-SUMIF(55:55,C10,56:56)+100</f>
        <v>100</v>
      </c>
      <c r="G10" s="860"/>
      <c r="H10" s="253">
        <f>SUMIF(55:55,G10,56:56)-SUMIF(55:55,C10,56:56)+100</f>
        <v>100</v>
      </c>
      <c r="I10" s="859"/>
      <c r="J10" s="253">
        <f>SUMIF(55:55,I10,56:56)-SUMIF(55:55,C10,56:56)+100</f>
        <v>100</v>
      </c>
      <c r="K10" s="582"/>
      <c r="L10" s="2119"/>
      <c r="M10" s="2159"/>
      <c r="N10" s="2159"/>
      <c r="O10" s="2120"/>
      <c r="P10" s="3824"/>
      <c r="Q10" s="1145" t="str">
        <f t="shared" si="6"/>
        <v>土地使用年限（年）</v>
      </c>
      <c r="R10" s="1551" t="s">
        <v>8</v>
      </c>
      <c r="S10" s="1552">
        <f t="shared" si="0"/>
        <v>100</v>
      </c>
      <c r="T10" s="1551" t="s">
        <v>8</v>
      </c>
      <c r="U10" s="1552">
        <f t="shared" si="1"/>
        <v>100</v>
      </c>
      <c r="V10" s="1551" t="s">
        <v>8</v>
      </c>
      <c r="W10" s="1552">
        <f t="shared" si="2"/>
        <v>100</v>
      </c>
      <c r="X10" s="1553"/>
      <c r="Y10" s="3712"/>
      <c r="Z10" s="1144" t="str">
        <f t="shared" si="7"/>
        <v>土地使用年限（年）</v>
      </c>
      <c r="AA10" s="1554">
        <f t="shared" si="3"/>
        <v>1</v>
      </c>
      <c r="AB10" s="1554">
        <f t="shared" si="4"/>
        <v>1</v>
      </c>
      <c r="AC10" s="1554">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1"/>
      <c r="M11" s="2115"/>
      <c r="N11" s="2115"/>
      <c r="O11" s="2122"/>
      <c r="P11" s="3824"/>
      <c r="Q11" s="1145">
        <f t="shared" si="6"/>
        <v>111</v>
      </c>
      <c r="R11" s="1551" t="s">
        <v>8</v>
      </c>
      <c r="S11" s="1552">
        <f t="shared" si="0"/>
        <v>100</v>
      </c>
      <c r="T11" s="1551" t="s">
        <v>8</v>
      </c>
      <c r="U11" s="1552">
        <f t="shared" si="1"/>
        <v>100</v>
      </c>
      <c r="V11" s="1551" t="s">
        <v>8</v>
      </c>
      <c r="W11" s="1552">
        <f t="shared" si="2"/>
        <v>100</v>
      </c>
      <c r="X11" s="1553"/>
      <c r="Y11" s="3712"/>
      <c r="Z11" s="1144">
        <f t="shared" si="7"/>
        <v>111</v>
      </c>
      <c r="AA11" s="1554">
        <f t="shared" si="3"/>
        <v>1</v>
      </c>
      <c r="AB11" s="1554">
        <f t="shared" si="4"/>
        <v>1</v>
      </c>
      <c r="AC11" s="1554">
        <f t="shared" si="5"/>
        <v>1</v>
      </c>
    </row>
    <row r="12" spans="1:29" s="1214"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6"/>
      <c r="M12" s="2117"/>
      <c r="N12" s="2117"/>
      <c r="O12" s="2118"/>
      <c r="P12" s="3824"/>
      <c r="Q12" s="1145">
        <f t="shared" si="6"/>
        <v>111</v>
      </c>
      <c r="R12" s="1551" t="s">
        <v>8</v>
      </c>
      <c r="S12" s="1552">
        <f t="shared" si="0"/>
        <v>100</v>
      </c>
      <c r="T12" s="1551" t="s">
        <v>8</v>
      </c>
      <c r="U12" s="1552">
        <f t="shared" si="1"/>
        <v>100</v>
      </c>
      <c r="V12" s="1551" t="s">
        <v>8</v>
      </c>
      <c r="W12" s="1552">
        <f t="shared" si="2"/>
        <v>100</v>
      </c>
      <c r="X12" s="1553"/>
      <c r="Y12" s="3712"/>
      <c r="Z12" s="1144">
        <f t="shared" si="7"/>
        <v>111</v>
      </c>
      <c r="AA12" s="1554">
        <f>D12/F12</f>
        <v>1</v>
      </c>
      <c r="AB12" s="1554">
        <f>D12/H12</f>
        <v>1</v>
      </c>
      <c r="AC12" s="1554">
        <f>D12/J12</f>
        <v>1</v>
      </c>
    </row>
    <row r="13" spans="1:29" ht="15.75"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3"/>
      <c r="M13" s="2115"/>
      <c r="N13" s="2115"/>
      <c r="O13" s="2122"/>
      <c r="P13" s="3824"/>
      <c r="Q13" s="1145">
        <f t="shared" si="6"/>
        <v>111</v>
      </c>
      <c r="R13" s="1551" t="s">
        <v>8</v>
      </c>
      <c r="S13" s="1552">
        <f t="shared" si="0"/>
        <v>100</v>
      </c>
      <c r="T13" s="1551" t="s">
        <v>8</v>
      </c>
      <c r="U13" s="1552">
        <f t="shared" si="1"/>
        <v>100</v>
      </c>
      <c r="V13" s="1551" t="s">
        <v>8</v>
      </c>
      <c r="W13" s="1552">
        <f t="shared" si="2"/>
        <v>100</v>
      </c>
      <c r="X13" s="1553"/>
      <c r="Y13" s="3712"/>
      <c r="Z13" s="1144">
        <f t="shared" si="7"/>
        <v>111</v>
      </c>
      <c r="AA13" s="1554">
        <f t="shared" si="3"/>
        <v>1</v>
      </c>
      <c r="AB13" s="1554">
        <f t="shared" si="4"/>
        <v>1</v>
      </c>
      <c r="AC13" s="1554">
        <f t="shared" si="5"/>
        <v>1</v>
      </c>
    </row>
    <row r="14" spans="1:29" ht="85.5">
      <c r="A14" s="2861" t="s">
        <v>2748</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3"/>
      <c r="M14" s="2115"/>
      <c r="N14" s="2115"/>
      <c r="O14" s="2122"/>
      <c r="P14" s="3858" t="s">
        <v>537</v>
      </c>
      <c r="Q14" s="1555" t="str">
        <f t="shared" si="6"/>
        <v>交通便捷度</v>
      </c>
      <c r="R14" s="1556" t="s">
        <v>8</v>
      </c>
      <c r="S14" s="1557">
        <f t="shared" si="0"/>
        <v>100</v>
      </c>
      <c r="T14" s="1556" t="s">
        <v>8</v>
      </c>
      <c r="U14" s="1557">
        <f t="shared" si="1"/>
        <v>100</v>
      </c>
      <c r="V14" s="1556" t="s">
        <v>8</v>
      </c>
      <c r="W14" s="1557">
        <f t="shared" si="2"/>
        <v>100</v>
      </c>
      <c r="X14" s="1550"/>
      <c r="Y14" s="3858" t="s">
        <v>537</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3"/>
      <c r="M15" s="2115"/>
      <c r="N15" s="2115"/>
      <c r="O15" s="2122"/>
      <c r="P15" s="3859"/>
      <c r="Q15" s="1555"/>
      <c r="R15" s="1556"/>
      <c r="S15" s="1557"/>
      <c r="T15" s="1556"/>
      <c r="U15" s="1557"/>
      <c r="V15" s="1556"/>
      <c r="W15" s="1557"/>
      <c r="X15" s="1550"/>
      <c r="Y15" s="3859"/>
      <c r="Z15" s="1558"/>
      <c r="AA15" s="1559">
        <v>1</v>
      </c>
      <c r="AB15" s="1559">
        <v>1</v>
      </c>
      <c r="AC15" s="1559">
        <v>1</v>
      </c>
    </row>
    <row r="16" spans="1:29" ht="42.75">
      <c r="A16" s="513"/>
      <c r="B16" s="2563" t="s">
        <v>2540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3"/>
      <c r="M16" s="2115"/>
      <c r="N16" s="2115"/>
      <c r="O16" s="2122"/>
      <c r="P16" s="3859"/>
      <c r="Q16" s="1555" t="str">
        <f>B16</f>
        <v>公共配套设施</v>
      </c>
      <c r="R16" s="1556" t="s">
        <v>8</v>
      </c>
      <c r="S16" s="1557">
        <f>F16</f>
        <v>100</v>
      </c>
      <c r="T16" s="1556" t="s">
        <v>8</v>
      </c>
      <c r="U16" s="1557">
        <f>H16</f>
        <v>100</v>
      </c>
      <c r="V16" s="1556" t="s">
        <v>8</v>
      </c>
      <c r="W16" s="1557">
        <f>J16</f>
        <v>100</v>
      </c>
      <c r="X16" s="1550"/>
      <c r="Y16" s="3859"/>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3"/>
      <c r="M17" s="2115"/>
      <c r="N17" s="2115"/>
      <c r="O17" s="2122"/>
      <c r="P17" s="3859"/>
      <c r="Q17" s="1555"/>
      <c r="R17" s="1556"/>
      <c r="S17" s="1557"/>
      <c r="T17" s="1556"/>
      <c r="U17" s="1557"/>
      <c r="V17" s="1556"/>
      <c r="W17" s="1557"/>
      <c r="X17" s="1550"/>
      <c r="Y17" s="3859"/>
      <c r="Z17" s="1558"/>
      <c r="AA17" s="1559">
        <v>1</v>
      </c>
      <c r="AB17" s="1559">
        <v>1</v>
      </c>
      <c r="AC17" s="1559">
        <v>1</v>
      </c>
    </row>
    <row r="18" spans="1:29" ht="28.5">
      <c r="A18" s="513"/>
      <c r="B18" s="2551" t="s">
        <v>2552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3"/>
      <c r="M18" s="2115"/>
      <c r="N18" s="2115"/>
      <c r="O18" s="2122"/>
      <c r="P18" s="3859"/>
      <c r="Q18" s="2539" t="str">
        <f>B18</f>
        <v>基础设施水平</v>
      </c>
      <c r="R18" s="1556" t="s">
        <v>8</v>
      </c>
      <c r="S18" s="1557">
        <f>F18</f>
        <v>100</v>
      </c>
      <c r="T18" s="1556" t="s">
        <v>8</v>
      </c>
      <c r="U18" s="1557">
        <f>H18</f>
        <v>100</v>
      </c>
      <c r="V18" s="1556" t="s">
        <v>8</v>
      </c>
      <c r="W18" s="1557">
        <f>J18</f>
        <v>100</v>
      </c>
      <c r="X18" s="2541"/>
      <c r="Y18" s="3859"/>
      <c r="Z18" s="2540"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2"/>
      <c r="L19" s="2123"/>
      <c r="M19" s="2115"/>
      <c r="N19" s="2115"/>
      <c r="O19" s="2122"/>
      <c r="P19" s="3859"/>
      <c r="Q19" s="2539"/>
      <c r="R19" s="1556"/>
      <c r="S19" s="1557"/>
      <c r="T19" s="1556"/>
      <c r="U19" s="1557"/>
      <c r="V19" s="1556"/>
      <c r="W19" s="1557"/>
      <c r="X19" s="2541"/>
      <c r="Y19" s="3859"/>
      <c r="Z19" s="2540"/>
      <c r="AA19" s="1559">
        <v>1</v>
      </c>
      <c r="AB19" s="1559">
        <v>1</v>
      </c>
      <c r="AC19" s="1559">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3"/>
      <c r="M20" s="2115"/>
      <c r="N20" s="2115"/>
      <c r="O20" s="2122"/>
      <c r="P20" s="3859"/>
      <c r="Q20" s="1555" t="str">
        <f>B20</f>
        <v>自然及人文环境</v>
      </c>
      <c r="R20" s="1556" t="s">
        <v>8</v>
      </c>
      <c r="S20" s="1557">
        <f>F20</f>
        <v>100</v>
      </c>
      <c r="T20" s="1556" t="s">
        <v>8</v>
      </c>
      <c r="U20" s="1557">
        <f>H20</f>
        <v>100</v>
      </c>
      <c r="V20" s="1556" t="s">
        <v>8</v>
      </c>
      <c r="W20" s="1557">
        <f>J20</f>
        <v>100</v>
      </c>
      <c r="X20" s="1550"/>
      <c r="Y20" s="3859"/>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3"/>
      <c r="M21" s="2115"/>
      <c r="N21" s="2115"/>
      <c r="O21" s="2122"/>
      <c r="P21" s="3859"/>
      <c r="Q21" s="1555"/>
      <c r="R21" s="1556"/>
      <c r="S21" s="1557"/>
      <c r="T21" s="1556"/>
      <c r="U21" s="1557"/>
      <c r="V21" s="1556"/>
      <c r="W21" s="1557"/>
      <c r="X21" s="1550"/>
      <c r="Y21" s="3859"/>
      <c r="Z21" s="1558"/>
      <c r="AA21" s="1559">
        <v>1</v>
      </c>
      <c r="AB21" s="1559">
        <v>1</v>
      </c>
      <c r="AC21" s="1559">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859"/>
      <c r="Q22" s="1555" t="str">
        <f>B22</f>
        <v>楼层</v>
      </c>
      <c r="R22" s="1556" t="s">
        <v>8</v>
      </c>
      <c r="S22" s="1557">
        <f>F22</f>
        <v>100</v>
      </c>
      <c r="T22" s="1556" t="s">
        <v>8</v>
      </c>
      <c r="U22" s="1557">
        <f>H22</f>
        <v>100</v>
      </c>
      <c r="V22" s="1556" t="s">
        <v>8</v>
      </c>
      <c r="W22" s="1557">
        <f>J22</f>
        <v>100</v>
      </c>
      <c r="X22" s="1550"/>
      <c r="Y22" s="3859"/>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859"/>
      <c r="Q23" s="1555">
        <f>B23</f>
        <v>111</v>
      </c>
      <c r="R23" s="1556" t="s">
        <v>8</v>
      </c>
      <c r="S23" s="1557">
        <f>F23</f>
        <v>100</v>
      </c>
      <c r="T23" s="1556" t="s">
        <v>8</v>
      </c>
      <c r="U23" s="1557">
        <f>H23</f>
        <v>100</v>
      </c>
      <c r="V23" s="1556" t="s">
        <v>8</v>
      </c>
      <c r="W23" s="1557">
        <f>J23</f>
        <v>100</v>
      </c>
      <c r="X23" s="1550"/>
      <c r="Y23" s="3859"/>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859"/>
      <c r="Q24" s="1555">
        <f t="shared" ref="Q24:Q36" si="11">B24</f>
        <v>111</v>
      </c>
      <c r="R24" s="1556" t="s">
        <v>8</v>
      </c>
      <c r="S24" s="1557">
        <f>F24</f>
        <v>100</v>
      </c>
      <c r="T24" s="1556" t="s">
        <v>8</v>
      </c>
      <c r="U24" s="1557">
        <f>H24</f>
        <v>100</v>
      </c>
      <c r="V24" s="1556" t="s">
        <v>8</v>
      </c>
      <c r="W24" s="1557">
        <f>J24</f>
        <v>100</v>
      </c>
      <c r="X24" s="1550"/>
      <c r="Y24" s="3859"/>
      <c r="Z24" s="1558">
        <f>Q24</f>
        <v>111</v>
      </c>
      <c r="AA24" s="1559">
        <f t="shared" si="3"/>
        <v>1</v>
      </c>
      <c r="AB24" s="1559">
        <f t="shared" si="4"/>
        <v>1</v>
      </c>
      <c r="AC24" s="1559">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6"/>
      <c r="M25" s="2117"/>
      <c r="N25" s="2117"/>
      <c r="O25" s="2118"/>
      <c r="P25" s="3859"/>
      <c r="Q25" s="1145">
        <f t="shared" si="11"/>
        <v>111</v>
      </c>
      <c r="R25" s="1551" t="s">
        <v>8</v>
      </c>
      <c r="S25" s="1552">
        <f>F25</f>
        <v>100</v>
      </c>
      <c r="T25" s="1551" t="s">
        <v>8</v>
      </c>
      <c r="U25" s="1552">
        <f>H25</f>
        <v>100</v>
      </c>
      <c r="V25" s="1551" t="s">
        <v>8</v>
      </c>
      <c r="W25" s="1552">
        <f>J25</f>
        <v>100</v>
      </c>
      <c r="X25" s="1553"/>
      <c r="Y25" s="3859"/>
      <c r="Z25" s="1144">
        <f>Q25</f>
        <v>111</v>
      </c>
      <c r="AA25" s="1559">
        <f>D25/F25</f>
        <v>1</v>
      </c>
      <c r="AB25" s="1559">
        <f>D25/H25</f>
        <v>1</v>
      </c>
      <c r="AC25" s="1559">
        <f>D25/J25</f>
        <v>1</v>
      </c>
    </row>
    <row r="26" spans="1:29" ht="15">
      <c r="A26" s="2858" t="s">
        <v>2749</v>
      </c>
      <c r="B26" s="168"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860"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861" t="s">
        <v>547</v>
      </c>
      <c r="Z26" s="1558" t="str">
        <f t="shared" ref="Z26:Z36" si="15">Q26</f>
        <v>配套类型</v>
      </c>
      <c r="AA26" s="1559">
        <f t="shared" si="3"/>
        <v>1</v>
      </c>
      <c r="AB26" s="1559">
        <f t="shared" si="4"/>
        <v>1</v>
      </c>
      <c r="AC26" s="1559">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1"/>
      <c r="M27" s="2152"/>
      <c r="N27" s="2152"/>
      <c r="O27" s="2124"/>
      <c r="P27" s="3861"/>
      <c r="Q27" s="1587" t="str">
        <f t="shared" si="11"/>
        <v>项目停车位配比</v>
      </c>
      <c r="R27" s="1560" t="s">
        <v>8</v>
      </c>
      <c r="S27" s="1561">
        <f t="shared" si="12"/>
        <v>100</v>
      </c>
      <c r="T27" s="1560" t="s">
        <v>8</v>
      </c>
      <c r="U27" s="1561">
        <f t="shared" si="13"/>
        <v>100</v>
      </c>
      <c r="V27" s="1560" t="s">
        <v>8</v>
      </c>
      <c r="W27" s="1561">
        <f t="shared" si="14"/>
        <v>100</v>
      </c>
      <c r="X27" s="1562"/>
      <c r="Y27" s="3861"/>
      <c r="Z27" s="1563" t="str">
        <f t="shared" si="15"/>
        <v>项目停车位配比</v>
      </c>
      <c r="AA27" s="1559">
        <f t="shared" si="3"/>
        <v>1</v>
      </c>
      <c r="AB27" s="1559">
        <f t="shared" si="4"/>
        <v>1</v>
      </c>
      <c r="AC27" s="1559">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861"/>
      <c r="Q28" s="1555" t="str">
        <f t="shared" si="11"/>
        <v>公共部分装修</v>
      </c>
      <c r="R28" s="1556" t="s">
        <v>8</v>
      </c>
      <c r="S28" s="1557">
        <f t="shared" si="12"/>
        <v>100</v>
      </c>
      <c r="T28" s="1556" t="s">
        <v>8</v>
      </c>
      <c r="U28" s="1557">
        <f t="shared" si="13"/>
        <v>100</v>
      </c>
      <c r="V28" s="1556" t="s">
        <v>8</v>
      </c>
      <c r="W28" s="1557">
        <f t="shared" si="14"/>
        <v>100</v>
      </c>
      <c r="X28" s="1550"/>
      <c r="Y28" s="3861"/>
      <c r="Z28" s="1558" t="str">
        <f t="shared" si="15"/>
        <v>公共部分装修</v>
      </c>
      <c r="AA28" s="1559">
        <f t="shared" si="3"/>
        <v>1</v>
      </c>
      <c r="AB28" s="1559">
        <f t="shared" si="4"/>
        <v>1</v>
      </c>
      <c r="AC28" s="1559">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3"/>
      <c r="M29" s="2115"/>
      <c r="N29" s="2115"/>
      <c r="O29" s="2122"/>
      <c r="P29" s="3861"/>
      <c r="Q29" s="1555" t="str">
        <f t="shared" si="11"/>
        <v>成新率</v>
      </c>
      <c r="R29" s="1556" t="s">
        <v>8</v>
      </c>
      <c r="S29" s="1557" t="e">
        <f t="shared" si="12"/>
        <v>#N/A</v>
      </c>
      <c r="T29" s="1556" t="s">
        <v>8</v>
      </c>
      <c r="U29" s="1557" t="e">
        <f t="shared" si="13"/>
        <v>#N/A</v>
      </c>
      <c r="V29" s="1556" t="s">
        <v>8</v>
      </c>
      <c r="W29" s="1557" t="e">
        <f t="shared" si="14"/>
        <v>#N/A</v>
      </c>
      <c r="X29" s="1550"/>
      <c r="Y29" s="3861"/>
      <c r="Z29" s="1558" t="str">
        <f t="shared" si="15"/>
        <v>成新率</v>
      </c>
      <c r="AA29" s="1559" t="e">
        <f t="shared" si="3"/>
        <v>#N/A</v>
      </c>
      <c r="AB29" s="1559" t="e">
        <f t="shared" si="4"/>
        <v>#N/A</v>
      </c>
      <c r="AC29" s="1559"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3"/>
      <c r="M30" s="2115"/>
      <c r="N30" s="2115"/>
      <c r="O30" s="2122"/>
      <c r="P30" s="3861"/>
      <c r="Q30" s="1555" t="str">
        <f t="shared" si="11"/>
        <v>物业等级</v>
      </c>
      <c r="R30" s="1556" t="s">
        <v>8</v>
      </c>
      <c r="S30" s="1557">
        <f t="shared" si="12"/>
        <v>100</v>
      </c>
      <c r="T30" s="1556" t="s">
        <v>8</v>
      </c>
      <c r="U30" s="1557">
        <f t="shared" si="13"/>
        <v>100</v>
      </c>
      <c r="V30" s="1556" t="s">
        <v>8</v>
      </c>
      <c r="W30" s="1557">
        <f t="shared" si="14"/>
        <v>100</v>
      </c>
      <c r="X30" s="1550"/>
      <c r="Y30" s="3861"/>
      <c r="Z30" s="1558" t="str">
        <f t="shared" si="15"/>
        <v>物业等级</v>
      </c>
      <c r="AA30" s="1559">
        <f t="shared" si="3"/>
        <v>1</v>
      </c>
      <c r="AB30" s="1559">
        <f t="shared" si="4"/>
        <v>1</v>
      </c>
      <c r="AC30" s="1559">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6"/>
      <c r="M31" s="2117"/>
      <c r="N31" s="2117"/>
      <c r="O31" s="2118"/>
      <c r="P31" s="3861"/>
      <c r="Q31" s="1145" t="str">
        <f t="shared" si="11"/>
        <v>停车位面积</v>
      </c>
      <c r="R31" s="1551" t="s">
        <v>8</v>
      </c>
      <c r="S31" s="1552" t="e">
        <f t="shared" si="12"/>
        <v>#N/A</v>
      </c>
      <c r="T31" s="1551" t="s">
        <v>8</v>
      </c>
      <c r="U31" s="1552" t="e">
        <f t="shared" si="13"/>
        <v>#N/A</v>
      </c>
      <c r="V31" s="1551" t="s">
        <v>8</v>
      </c>
      <c r="W31" s="1552" t="e">
        <f t="shared" si="14"/>
        <v>#N/A</v>
      </c>
      <c r="X31" s="1553"/>
      <c r="Y31" s="3861"/>
      <c r="Z31" s="1144" t="str">
        <f t="shared" si="15"/>
        <v>停车位面积</v>
      </c>
      <c r="AA31" s="1554" t="e">
        <f t="shared" si="3"/>
        <v>#N/A</v>
      </c>
      <c r="AB31" s="1554" t="e">
        <f t="shared" si="4"/>
        <v>#N/A</v>
      </c>
      <c r="AC31" s="1554"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861" t="s">
        <v>547</v>
      </c>
      <c r="Q32" s="1555" t="str">
        <f t="shared" si="11"/>
        <v>车位类型</v>
      </c>
      <c r="R32" s="1556" t="s">
        <v>8</v>
      </c>
      <c r="S32" s="1557">
        <f t="shared" si="12"/>
        <v>100</v>
      </c>
      <c r="T32" s="1556" t="s">
        <v>8</v>
      </c>
      <c r="U32" s="1557">
        <f t="shared" si="13"/>
        <v>100</v>
      </c>
      <c r="V32" s="1556" t="s">
        <v>8</v>
      </c>
      <c r="W32" s="1557">
        <f t="shared" si="14"/>
        <v>100</v>
      </c>
      <c r="X32" s="1550"/>
      <c r="Y32" s="3861" t="s">
        <v>547</v>
      </c>
      <c r="Z32" s="1558" t="str">
        <f t="shared" si="15"/>
        <v>车位类型</v>
      </c>
      <c r="AA32" s="1559">
        <f t="shared" si="3"/>
        <v>1</v>
      </c>
      <c r="AB32" s="1559">
        <f t="shared" si="4"/>
        <v>1</v>
      </c>
      <c r="AC32" s="1559">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861"/>
      <c r="Q33" s="1555" t="str">
        <f t="shared" si="11"/>
        <v>是否直接入户</v>
      </c>
      <c r="R33" s="1556" t="s">
        <v>8</v>
      </c>
      <c r="S33" s="1557">
        <f t="shared" si="12"/>
        <v>100</v>
      </c>
      <c r="T33" s="1556" t="s">
        <v>8</v>
      </c>
      <c r="U33" s="1557">
        <f t="shared" si="13"/>
        <v>100</v>
      </c>
      <c r="V33" s="1556" t="s">
        <v>8</v>
      </c>
      <c r="W33" s="1557">
        <f t="shared" si="14"/>
        <v>100</v>
      </c>
      <c r="X33" s="1550"/>
      <c r="Y33" s="3861"/>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861"/>
      <c r="Q34" s="1555">
        <f t="shared" si="11"/>
        <v>111</v>
      </c>
      <c r="R34" s="1556" t="s">
        <v>8</v>
      </c>
      <c r="S34" s="1557">
        <f t="shared" si="12"/>
        <v>100</v>
      </c>
      <c r="T34" s="1556" t="s">
        <v>8</v>
      </c>
      <c r="U34" s="1557">
        <f t="shared" si="13"/>
        <v>100</v>
      </c>
      <c r="V34" s="1556" t="s">
        <v>8</v>
      </c>
      <c r="W34" s="1557">
        <f t="shared" si="14"/>
        <v>100</v>
      </c>
      <c r="X34" s="1550"/>
      <c r="Y34" s="3861"/>
      <c r="Z34" s="1558">
        <f t="shared" si="15"/>
        <v>111</v>
      </c>
      <c r="AA34" s="1559">
        <f t="shared" si="3"/>
        <v>1</v>
      </c>
      <c r="AB34" s="1559">
        <f t="shared" si="4"/>
        <v>1</v>
      </c>
      <c r="AC34" s="1559">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861"/>
      <c r="Q35" s="1587">
        <f t="shared" si="11"/>
        <v>111</v>
      </c>
      <c r="R35" s="1560" t="s">
        <v>8</v>
      </c>
      <c r="S35" s="1561">
        <f t="shared" si="12"/>
        <v>100</v>
      </c>
      <c r="T35" s="1560" t="s">
        <v>8</v>
      </c>
      <c r="U35" s="1561">
        <f t="shared" si="13"/>
        <v>100</v>
      </c>
      <c r="V35" s="1560" t="s">
        <v>8</v>
      </c>
      <c r="W35" s="1561">
        <f t="shared" si="14"/>
        <v>100</v>
      </c>
      <c r="X35" s="1562"/>
      <c r="Y35" s="3861"/>
      <c r="Z35" s="1563">
        <f t="shared" si="15"/>
        <v>111</v>
      </c>
      <c r="AA35" s="1559">
        <f t="shared" si="3"/>
        <v>1</v>
      </c>
      <c r="AB35" s="1559">
        <f t="shared" si="4"/>
        <v>1</v>
      </c>
      <c r="AC35" s="1559">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861"/>
      <c r="Q36" s="1555">
        <f t="shared" si="11"/>
        <v>111</v>
      </c>
      <c r="R36" s="1556" t="s">
        <v>8</v>
      </c>
      <c r="S36" s="1557">
        <f t="shared" si="12"/>
        <v>100</v>
      </c>
      <c r="T36" s="1556" t="s">
        <v>8</v>
      </c>
      <c r="U36" s="1557">
        <f t="shared" si="13"/>
        <v>100</v>
      </c>
      <c r="V36" s="1556" t="s">
        <v>8</v>
      </c>
      <c r="W36" s="1557">
        <f t="shared" si="14"/>
        <v>100</v>
      </c>
      <c r="X36" s="1550"/>
      <c r="Y36" s="3861"/>
      <c r="Z36" s="1558">
        <f t="shared" si="15"/>
        <v>111</v>
      </c>
      <c r="AA36" s="1559">
        <f t="shared" si="3"/>
        <v>1</v>
      </c>
      <c r="AB36" s="1559">
        <f t="shared" si="4"/>
        <v>1</v>
      </c>
      <c r="AC36" s="1559">
        <f t="shared" si="5"/>
        <v>1</v>
      </c>
    </row>
    <row r="37" spans="1:29" ht="15">
      <c r="A37" s="1828" t="s">
        <v>2074</v>
      </c>
      <c r="B37" s="1829" t="s">
        <v>2075</v>
      </c>
      <c r="C37" s="2587" t="s">
        <v>1</v>
      </c>
      <c r="D37" s="2588"/>
      <c r="E37" s="2589"/>
      <c r="F37" s="2590"/>
      <c r="G37" s="2591"/>
      <c r="H37" s="2592"/>
      <c r="I37" s="2589"/>
      <c r="J37" s="2592"/>
      <c r="K37" s="1593"/>
      <c r="L37" s="2125"/>
      <c r="M37" s="2126"/>
      <c r="N37" s="2115"/>
      <c r="O37" s="2126"/>
      <c r="P37" s="3824" t="str">
        <f>A37</f>
        <v>成交单价</v>
      </c>
      <c r="Q37" s="3824"/>
      <c r="R37" s="3935">
        <f>E37</f>
        <v>0</v>
      </c>
      <c r="S37" s="3935"/>
      <c r="T37" s="3935">
        <f>G37</f>
        <v>0</v>
      </c>
      <c r="U37" s="3935"/>
      <c r="V37" s="3935">
        <f>I37</f>
        <v>0</v>
      </c>
      <c r="W37" s="3935"/>
      <c r="X37" s="1542"/>
      <c r="Y37" s="1564"/>
      <c r="Z37" s="1542"/>
      <c r="AA37" s="1542"/>
      <c r="AB37" s="1542"/>
      <c r="AC37" s="1542"/>
    </row>
    <row r="38" spans="1:29" ht="15.75" thickBot="1">
      <c r="A38" s="613" t="s">
        <v>2754</v>
      </c>
      <c r="B38" s="886"/>
      <c r="C38" s="2593" t="e">
        <f>R39</f>
        <v>#DIV/0!</v>
      </c>
      <c r="D38" s="2594"/>
      <c r="E38" s="2595" t="e">
        <f>R38</f>
        <v>#DIV/0!</v>
      </c>
      <c r="F38" s="2595"/>
      <c r="G38" s="2593" t="e">
        <f>T38</f>
        <v>#DIV/0!</v>
      </c>
      <c r="H38" s="2594"/>
      <c r="I38" s="2595" t="e">
        <f>V38</f>
        <v>#DIV/0!</v>
      </c>
      <c r="J38" s="2594"/>
      <c r="K38" s="1594"/>
      <c r="L38" s="2125"/>
      <c r="M38" s="2126"/>
      <c r="N38" s="2126"/>
      <c r="O38" s="2126"/>
      <c r="P38" s="3824" t="str">
        <f>A38</f>
        <v>比较价格（元/平方米）</v>
      </c>
      <c r="Q38" s="3824"/>
      <c r="R38" s="3935" t="e">
        <f>IF(F1="售价",ROUND(PRODUCT(R37,AA7:AA36),0),ROUND(PRODUCT(R37,AA7:AA36),1))</f>
        <v>#DIV/0!</v>
      </c>
      <c r="S38" s="3935"/>
      <c r="T38" s="3935" t="e">
        <f>IF(F1="售价",ROUND(PRODUCT(T37,AB7:AB36),0),ROUND(PRODUCT(T37,AB7:AB36),1))</f>
        <v>#DIV/0!</v>
      </c>
      <c r="U38" s="3935"/>
      <c r="V38" s="3935" t="e">
        <f>IF(F1="售价",ROUND(PRODUCT(V37,AC7:AC36),0),ROUND(PRODUCT(V37,AC7:AC36),1))</f>
        <v>#DIV/0!</v>
      </c>
      <c r="W38" s="3935"/>
      <c r="X38" s="1542"/>
      <c r="Y38" s="1542"/>
      <c r="Z38" s="1542"/>
      <c r="AA38" s="1542"/>
      <c r="AB38" s="1542"/>
      <c r="AC38" s="1542"/>
    </row>
    <row r="39" spans="1:29" ht="15.75" thickBot="1">
      <c r="A39" s="619" t="s">
        <v>2930</v>
      </c>
      <c r="B39" s="620"/>
      <c r="C39" s="2596" t="e">
        <f>R39</f>
        <v>#DIV/0!</v>
      </c>
      <c r="D39" s="2596"/>
      <c r="E39" s="2596"/>
      <c r="F39" s="2596"/>
      <c r="G39" s="2596"/>
      <c r="H39" s="2596"/>
      <c r="I39" s="2596"/>
      <c r="J39" s="2596"/>
      <c r="K39" s="1595"/>
      <c r="L39" s="2125"/>
      <c r="M39" s="2126"/>
      <c r="N39" s="2126"/>
      <c r="O39" s="2126"/>
      <c r="P39" s="3821" t="str">
        <f>A39</f>
        <v>估价对象XX用房的比较价格（楼面单价，元/平方米）</v>
      </c>
      <c r="Q39" s="3822"/>
      <c r="R39" s="3934" t="e">
        <f>IF(F1="售价",ROUND(AVERAGE(R38:V38),0),ROUND(AVERAGE(R38:V38),1))</f>
        <v>#DIV/0!</v>
      </c>
      <c r="S39" s="3934"/>
      <c r="T39" s="3934"/>
      <c r="U39" s="3934"/>
      <c r="V39" s="3934"/>
      <c r="W39" s="3934"/>
      <c r="X39" s="1542"/>
      <c r="Y39" s="1542"/>
      <c r="Z39" s="1542"/>
      <c r="AA39" s="1542"/>
      <c r="AB39" s="1542"/>
      <c r="AC39" s="1542"/>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7" t="s">
        <v>571</v>
      </c>
      <c r="B47" s="1542"/>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3" t="s">
        <v>526</v>
      </c>
      <c r="B48" s="644"/>
      <c r="C48" s="2753" t="str">
        <f>YEAR(C7)&amp;"-"&amp;MONTH(C7)</f>
        <v>2019-10</v>
      </c>
      <c r="D48" s="2755">
        <f>EDATE(C48,-1)</f>
        <v>43709</v>
      </c>
      <c r="E48" s="2755">
        <f t="shared" ref="E48:O48" si="16">EDATE(D48,-1)</f>
        <v>43678</v>
      </c>
      <c r="F48" s="2755">
        <f t="shared" si="16"/>
        <v>43647</v>
      </c>
      <c r="G48" s="2755">
        <f t="shared" si="16"/>
        <v>43617</v>
      </c>
      <c r="H48" s="2755">
        <f t="shared" si="16"/>
        <v>43586</v>
      </c>
      <c r="I48" s="2755">
        <f t="shared" si="16"/>
        <v>43556</v>
      </c>
      <c r="J48" s="2755">
        <f t="shared" si="16"/>
        <v>43525</v>
      </c>
      <c r="K48" s="2755">
        <f t="shared" si="16"/>
        <v>43497</v>
      </c>
      <c r="L48" s="2755">
        <f t="shared" si="16"/>
        <v>43466</v>
      </c>
      <c r="M48" s="2755">
        <f t="shared" si="16"/>
        <v>43435</v>
      </c>
      <c r="N48" s="2755">
        <f t="shared" si="16"/>
        <v>43405</v>
      </c>
      <c r="O48" s="2755">
        <f t="shared" si="16"/>
        <v>43374</v>
      </c>
      <c r="P48" s="2141"/>
      <c r="Q48" s="2142"/>
      <c r="R48" s="2142"/>
      <c r="S48" s="2142"/>
      <c r="T48" s="2142"/>
      <c r="U48" s="2142"/>
      <c r="V48" s="2142"/>
      <c r="W48" s="2142"/>
      <c r="X48" s="2142"/>
      <c r="Y48" s="2142"/>
      <c r="Z48" s="2142"/>
      <c r="AA48" s="2142"/>
      <c r="AB48" s="2142"/>
      <c r="AC48" s="2142"/>
    </row>
    <row r="49" spans="1:29" s="1214" customFormat="1" ht="15">
      <c r="A49" s="645"/>
      <c r="B49" s="646"/>
      <c r="C49" s="2754">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4" customFormat="1" ht="15.75" thickBot="1">
      <c r="A50" s="651" t="s">
        <v>572</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4" customFormat="1" ht="15">
      <c r="A51" s="657" t="s">
        <v>528</v>
      </c>
      <c r="B51" s="646"/>
      <c r="C51" s="658" t="s">
        <v>573</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574</v>
      </c>
      <c r="B53" s="663" t="s">
        <v>531</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3">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8" t="s">
        <v>2551</v>
      </c>
      <c r="C65" s="706" t="s">
        <v>576</v>
      </c>
      <c r="D65" s="706" t="s">
        <v>577</v>
      </c>
      <c r="E65" s="706" t="s">
        <v>578</v>
      </c>
      <c r="F65" s="706" t="s">
        <v>579</v>
      </c>
      <c r="G65" s="706" t="s">
        <v>580</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7" t="s">
        <v>2552</v>
      </c>
      <c r="C67" s="2558" t="s">
        <v>2553</v>
      </c>
      <c r="D67" s="2558" t="s">
        <v>2554</v>
      </c>
      <c r="E67" s="2558" t="s">
        <v>2555</v>
      </c>
      <c r="F67" s="2558" t="s">
        <v>2556</v>
      </c>
      <c r="G67" s="2558" t="s">
        <v>2557</v>
      </c>
      <c r="H67" s="672"/>
      <c r="I67" s="672"/>
      <c r="J67" s="672"/>
      <c r="K67" s="672"/>
      <c r="L67" s="672"/>
      <c r="M67" s="2561"/>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741</v>
      </c>
      <c r="C69" s="706" t="s">
        <v>576</v>
      </c>
      <c r="D69" s="706" t="s">
        <v>577</v>
      </c>
      <c r="E69" s="706" t="s">
        <v>578</v>
      </c>
      <c r="F69" s="706" t="s">
        <v>579</v>
      </c>
      <c r="G69" s="706" t="s">
        <v>580</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742</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7"/>
      <c r="B73" s="671">
        <f>B23</f>
        <v>111</v>
      </c>
      <c r="C73" s="539"/>
      <c r="D73" s="539"/>
      <c r="E73" s="539"/>
      <c r="F73" s="539"/>
      <c r="G73" s="686"/>
      <c r="H73" s="686"/>
      <c r="I73" s="686"/>
      <c r="J73" s="686"/>
      <c r="K73" s="686"/>
      <c r="L73" s="888"/>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7"/>
      <c r="B75" s="671">
        <f>B24</f>
        <v>111</v>
      </c>
      <c r="C75" s="539"/>
      <c r="D75" s="539"/>
      <c r="E75" s="539"/>
      <c r="F75" s="539"/>
      <c r="G75" s="686"/>
      <c r="H75" s="686"/>
      <c r="I75" s="686"/>
      <c r="J75" s="686"/>
      <c r="K75" s="686"/>
      <c r="L75" s="686"/>
      <c r="M75" s="889"/>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548</v>
      </c>
      <c r="B79" s="663" t="s">
        <v>811</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812</v>
      </c>
      <c r="C81" s="934"/>
      <c r="D81" s="934"/>
      <c r="E81" s="934"/>
      <c r="F81" s="934"/>
      <c r="G81" s="934"/>
      <c r="H81" s="934"/>
      <c r="I81" s="934"/>
      <c r="J81" s="934"/>
      <c r="K81" s="935"/>
      <c r="L81" s="936"/>
      <c r="M81" s="937"/>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748</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2">
        <v>0.5</v>
      </c>
      <c r="D86" s="892">
        <v>0.6</v>
      </c>
      <c r="E86" s="892">
        <v>0.7</v>
      </c>
      <c r="F86" s="892">
        <v>0.8</v>
      </c>
      <c r="G86" s="892">
        <v>0.9</v>
      </c>
      <c r="H86" s="892">
        <v>1.0001</v>
      </c>
      <c r="I86" s="903"/>
      <c r="J86" s="903"/>
      <c r="K86" s="904"/>
      <c r="L86" s="905"/>
      <c r="M86" s="906"/>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814</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816</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817</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5">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3"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8"/>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ROUND(B3*D3/10000,0)</f>
        <v>#DIV/0!</v>
      </c>
      <c r="C2" s="2108"/>
      <c r="D2" s="2108"/>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thickBot="1">
      <c r="A3" s="507" t="s">
        <v>792</v>
      </c>
      <c r="B3" s="508" t="e">
        <f>C37</f>
        <v>#DIV/0!</v>
      </c>
      <c r="C3" s="850" t="s">
        <v>793</v>
      </c>
      <c r="D3" s="849">
        <f>SUMIF('数据-汇总表'!$C19:$C33,D1,'数据-汇总表'!$E19:$E33)</f>
        <v>0</v>
      </c>
      <c r="E3" s="2109"/>
      <c r="F3" s="2110"/>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29" ht="15">
      <c r="A4" s="510" t="s">
        <v>794</v>
      </c>
      <c r="B4" s="511"/>
      <c r="C4" s="3830" t="s">
        <v>795</v>
      </c>
      <c r="D4" s="3831"/>
      <c r="E4" s="3864" t="s">
        <v>796</v>
      </c>
      <c r="F4" s="3865"/>
      <c r="G4" s="3830" t="s">
        <v>797</v>
      </c>
      <c r="H4" s="3831"/>
      <c r="I4" s="3830" t="s">
        <v>798</v>
      </c>
      <c r="J4" s="3831"/>
      <c r="K4" s="512" t="s">
        <v>799</v>
      </c>
      <c r="L4" s="2114"/>
      <c r="M4" s="2115"/>
      <c r="N4" s="2115"/>
      <c r="O4" s="2115"/>
      <c r="P4" s="3832" t="s">
        <v>800</v>
      </c>
      <c r="Q4" s="3833"/>
      <c r="R4" s="3838" t="s">
        <v>796</v>
      </c>
      <c r="S4" s="3839"/>
      <c r="T4" s="3838" t="s">
        <v>797</v>
      </c>
      <c r="U4" s="3839"/>
      <c r="V4" s="3825" t="s">
        <v>798</v>
      </c>
      <c r="W4" s="3825"/>
      <c r="X4" s="1550"/>
      <c r="Y4" s="3838" t="s">
        <v>800</v>
      </c>
      <c r="Z4" s="3839"/>
      <c r="AA4" s="3827" t="s">
        <v>796</v>
      </c>
      <c r="AB4" s="3828" t="s">
        <v>797</v>
      </c>
      <c r="AC4" s="3827" t="s">
        <v>798</v>
      </c>
    </row>
    <row r="5" spans="1:29" ht="15">
      <c r="A5" s="513"/>
      <c r="B5" s="514"/>
      <c r="C5" s="3846" t="s">
        <v>2924</v>
      </c>
      <c r="D5" s="3847"/>
      <c r="E5" s="3866" t="s">
        <v>2925</v>
      </c>
      <c r="F5" s="3867"/>
      <c r="G5" s="3846" t="s">
        <v>2926</v>
      </c>
      <c r="H5" s="3847"/>
      <c r="I5" s="3846" t="s">
        <v>2927</v>
      </c>
      <c r="J5" s="3847"/>
      <c r="K5" s="512"/>
      <c r="L5" s="2114"/>
      <c r="M5" s="2115"/>
      <c r="N5" s="2115"/>
      <c r="O5" s="2115"/>
      <c r="P5" s="3834"/>
      <c r="Q5" s="3835"/>
      <c r="R5" s="3840"/>
      <c r="S5" s="3841"/>
      <c r="T5" s="3840"/>
      <c r="U5" s="3841"/>
      <c r="V5" s="3825"/>
      <c r="W5" s="3825"/>
      <c r="X5" s="1550"/>
      <c r="Y5" s="3840"/>
      <c r="Z5" s="3841"/>
      <c r="AA5" s="3828"/>
      <c r="AB5" s="3828"/>
      <c r="AC5" s="3828"/>
    </row>
    <row r="6" spans="1:29" ht="15.75" thickBot="1">
      <c r="A6" s="515"/>
      <c r="B6" s="516"/>
      <c r="C6" s="3844" t="s">
        <v>2928</v>
      </c>
      <c r="D6" s="3845"/>
      <c r="E6" s="3862" t="s">
        <v>2928</v>
      </c>
      <c r="F6" s="3863"/>
      <c r="G6" s="3844" t="s">
        <v>2928</v>
      </c>
      <c r="H6" s="3845"/>
      <c r="I6" s="3844" t="s">
        <v>2928</v>
      </c>
      <c r="J6" s="3845"/>
      <c r="K6" s="512" t="s">
        <v>525</v>
      </c>
      <c r="L6" s="2114"/>
      <c r="M6" s="2115"/>
      <c r="N6" s="2115"/>
      <c r="O6" s="2115"/>
      <c r="P6" s="3836"/>
      <c r="Q6" s="3837"/>
      <c r="R6" s="3840"/>
      <c r="S6" s="3841"/>
      <c r="T6" s="3842"/>
      <c r="U6" s="3843"/>
      <c r="V6" s="3825"/>
      <c r="W6" s="3825"/>
      <c r="X6" s="1550"/>
      <c r="Y6" s="3842"/>
      <c r="Z6" s="3843"/>
      <c r="AA6" s="3829"/>
      <c r="AB6" s="3829"/>
      <c r="AC6" s="3829"/>
    </row>
    <row r="7" spans="1:29" s="1214" customFormat="1" ht="15.75" thickBot="1">
      <c r="A7" s="2863"/>
      <c r="B7" s="2870" t="s">
        <v>526</v>
      </c>
      <c r="C7" s="517">
        <f>'数据-取费表'!B2</f>
        <v>43764</v>
      </c>
      <c r="D7" s="518">
        <v>100</v>
      </c>
      <c r="E7" s="519"/>
      <c r="F7" s="520">
        <f>SUMIF(46:46,YEAR(E7)&amp;"-"&amp;MONTH(E7),47:47)</f>
        <v>0</v>
      </c>
      <c r="G7" s="521"/>
      <c r="H7" s="518">
        <f>SUMIF(46:46,YEAR(G7)&amp;"-"&amp;MONTH(G7),47:47)</f>
        <v>0</v>
      </c>
      <c r="I7" s="521"/>
      <c r="J7" s="518">
        <f>SUMIF(46:46,YEAR(I7)&amp;"-"&amp;MONTH(I7),47:47)</f>
        <v>0</v>
      </c>
      <c r="K7" s="522"/>
      <c r="L7" s="2116"/>
      <c r="M7" s="2117"/>
      <c r="N7" s="2117"/>
      <c r="O7" s="2117"/>
      <c r="P7" s="3855" t="s">
        <v>527</v>
      </c>
      <c r="Q7" s="3857"/>
      <c r="R7" s="1551" t="s">
        <v>8</v>
      </c>
      <c r="S7" s="1552">
        <f t="shared" ref="S7:S14" si="0">F7</f>
        <v>0</v>
      </c>
      <c r="T7" s="1551" t="s">
        <v>8</v>
      </c>
      <c r="U7" s="1552">
        <f t="shared" ref="U7:U14" si="1">H7</f>
        <v>0</v>
      </c>
      <c r="V7" s="1551" t="s">
        <v>8</v>
      </c>
      <c r="W7" s="1552">
        <f t="shared" ref="W7:W14" si="2">J7</f>
        <v>0</v>
      </c>
      <c r="X7" s="1553"/>
      <c r="Y7" s="3855" t="s">
        <v>527</v>
      </c>
      <c r="Z7" s="3856"/>
      <c r="AA7" s="1554" t="e">
        <f>D7/F7</f>
        <v>#DIV/0!</v>
      </c>
      <c r="AB7" s="1554" t="e">
        <f>D7/H7</f>
        <v>#DIV/0!</v>
      </c>
      <c r="AC7" s="1554" t="e">
        <f>D7/J7</f>
        <v>#DIV/0!</v>
      </c>
    </row>
    <row r="8" spans="1:29" s="1214" customFormat="1" ht="15.75" thickBot="1">
      <c r="A8" s="2864"/>
      <c r="B8" s="2871" t="s">
        <v>528</v>
      </c>
      <c r="C8" s="523" t="s">
        <v>573</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855" t="s">
        <v>530</v>
      </c>
      <c r="Q8" s="3856"/>
      <c r="R8" s="1551" t="s">
        <v>8</v>
      </c>
      <c r="S8" s="1552">
        <f t="shared" si="0"/>
        <v>0</v>
      </c>
      <c r="T8" s="1551" t="s">
        <v>8</v>
      </c>
      <c r="U8" s="1552">
        <f t="shared" si="1"/>
        <v>0</v>
      </c>
      <c r="V8" s="1551" t="s">
        <v>8</v>
      </c>
      <c r="W8" s="1552">
        <f t="shared" si="2"/>
        <v>0</v>
      </c>
      <c r="X8" s="1553"/>
      <c r="Y8" s="3855" t="s">
        <v>530</v>
      </c>
      <c r="Z8" s="3856"/>
      <c r="AA8" s="1554" t="e">
        <f t="shared" ref="AA8:AA34" si="3">D8/F8</f>
        <v>#DIV/0!</v>
      </c>
      <c r="AB8" s="1554" t="e">
        <f t="shared" ref="AB8:AB34" si="4">D8/H8</f>
        <v>#DIV/0!</v>
      </c>
      <c r="AC8" s="1554" t="e">
        <f t="shared" ref="AC8:AC34" si="5">D8/J8</f>
        <v>#DIV/0!</v>
      </c>
    </row>
    <row r="9" spans="1:29" s="1214" customFormat="1" ht="15">
      <c r="A9" s="2865"/>
      <c r="B9" s="2872" t="s">
        <v>2750</v>
      </c>
      <c r="C9" s="855"/>
      <c r="D9" s="252">
        <v>100</v>
      </c>
      <c r="E9" s="858"/>
      <c r="F9" s="252">
        <f>SUMIF(51:51,E9,52:52)-SUMIF(51:51,C9,52:52)+100</f>
        <v>100</v>
      </c>
      <c r="G9" s="858"/>
      <c r="H9" s="252">
        <f>SUMIF(51:51,G9,52:52)-SUMIF(51:51,C9,52:52)+100</f>
        <v>100</v>
      </c>
      <c r="I9" s="858"/>
      <c r="J9" s="252">
        <f>SUMIF(51:51,I9,52:52)-SUMIF(51:51,C9,52:52)+100</f>
        <v>100</v>
      </c>
      <c r="K9" s="522"/>
      <c r="L9" s="2116"/>
      <c r="M9" s="2117"/>
      <c r="N9" s="2117"/>
      <c r="O9" s="2118"/>
      <c r="P9" s="3824" t="s">
        <v>532</v>
      </c>
      <c r="Q9" s="1145" t="str">
        <f t="shared" ref="Q9:Q14" si="6">B9</f>
        <v>用途</v>
      </c>
      <c r="R9" s="1551" t="s">
        <v>8</v>
      </c>
      <c r="S9" s="1552">
        <f t="shared" si="0"/>
        <v>100</v>
      </c>
      <c r="T9" s="1551" t="s">
        <v>8</v>
      </c>
      <c r="U9" s="1552">
        <f t="shared" si="1"/>
        <v>100</v>
      </c>
      <c r="V9" s="1551" t="s">
        <v>8</v>
      </c>
      <c r="W9" s="1552">
        <f t="shared" si="2"/>
        <v>100</v>
      </c>
      <c r="X9" s="1553"/>
      <c r="Y9" s="3712" t="s">
        <v>533</v>
      </c>
      <c r="Z9" s="1144" t="str">
        <f t="shared" ref="Z9:Z14" si="7">Q9</f>
        <v>用途</v>
      </c>
      <c r="AA9" s="1554">
        <f t="shared" si="3"/>
        <v>1</v>
      </c>
      <c r="AB9" s="1554">
        <f t="shared" si="4"/>
        <v>1</v>
      </c>
      <c r="AC9" s="1554">
        <f t="shared" si="5"/>
        <v>1</v>
      </c>
    </row>
    <row r="10" spans="1:29" s="1332" customFormat="1" ht="27">
      <c r="A10" s="2866"/>
      <c r="B10" s="2871" t="s">
        <v>2751</v>
      </c>
      <c r="C10" s="859"/>
      <c r="D10" s="253">
        <v>100</v>
      </c>
      <c r="E10" s="859"/>
      <c r="F10" s="253">
        <f>SUMIF(53:53,E10,54:54)-SUMIF(53:53,C10,54:54)+100</f>
        <v>100</v>
      </c>
      <c r="G10" s="860"/>
      <c r="H10" s="253">
        <f>SUMIF(53:53,G10,54:54)-SUMIF(53:53,C10,54:54)+100</f>
        <v>100</v>
      </c>
      <c r="I10" s="859"/>
      <c r="J10" s="253">
        <f>SUMIF(53:53,I10,54:54)-SUMIF(53:53,C10,54:54)+100</f>
        <v>100</v>
      </c>
      <c r="K10" s="582"/>
      <c r="L10" s="2119"/>
      <c r="M10" s="2159"/>
      <c r="N10" s="2159"/>
      <c r="O10" s="2120"/>
      <c r="P10" s="3824"/>
      <c r="Q10" s="1145" t="str">
        <f t="shared" si="6"/>
        <v>土地使用年限（年）</v>
      </c>
      <c r="R10" s="1551" t="s">
        <v>8</v>
      </c>
      <c r="S10" s="1552">
        <f t="shared" si="0"/>
        <v>100</v>
      </c>
      <c r="T10" s="1551" t="s">
        <v>8</v>
      </c>
      <c r="U10" s="1552">
        <f t="shared" si="1"/>
        <v>100</v>
      </c>
      <c r="V10" s="1551" t="s">
        <v>8</v>
      </c>
      <c r="W10" s="1552">
        <f t="shared" si="2"/>
        <v>100</v>
      </c>
      <c r="X10" s="1553"/>
      <c r="Y10" s="3712"/>
      <c r="Z10" s="1144" t="str">
        <f t="shared" si="7"/>
        <v>土地使用年限（年）</v>
      </c>
      <c r="AA10" s="1554">
        <f t="shared" si="3"/>
        <v>1</v>
      </c>
      <c r="AB10" s="1554">
        <f t="shared" si="4"/>
        <v>1</v>
      </c>
      <c r="AC10" s="1554">
        <f t="shared" si="5"/>
        <v>1</v>
      </c>
    </row>
    <row r="11" spans="1:29" ht="15">
      <c r="A11" s="2868"/>
      <c r="B11" s="2874">
        <v>111</v>
      </c>
      <c r="C11" s="526"/>
      <c r="D11" s="253">
        <v>100</v>
      </c>
      <c r="E11" s="878"/>
      <c r="F11" s="253">
        <f>SUMIF(55:55,E11,56:56)-SUMIF(55:55,C11,56:56)+100</f>
        <v>100</v>
      </c>
      <c r="G11" s="878"/>
      <c r="H11" s="253">
        <f>SUMIF(55:55,G11,56:56)-SUMIF(55:55,C11,56:56)+100</f>
        <v>100</v>
      </c>
      <c r="I11" s="878"/>
      <c r="J11" s="253">
        <f>SUMIF(55:55,I11,56:56)-SUMIF(55:55,C11,56:56)+100</f>
        <v>100</v>
      </c>
      <c r="K11" s="579"/>
      <c r="L11" s="2121"/>
      <c r="M11" s="2115"/>
      <c r="N11" s="2115"/>
      <c r="O11" s="2122"/>
      <c r="P11" s="3824"/>
      <c r="Q11" s="1145">
        <f t="shared" si="6"/>
        <v>111</v>
      </c>
      <c r="R11" s="1551" t="s">
        <v>8</v>
      </c>
      <c r="S11" s="1552">
        <f t="shared" si="0"/>
        <v>100</v>
      </c>
      <c r="T11" s="1551" t="s">
        <v>8</v>
      </c>
      <c r="U11" s="1552">
        <f t="shared" si="1"/>
        <v>100</v>
      </c>
      <c r="V11" s="1551" t="s">
        <v>8</v>
      </c>
      <c r="W11" s="1552">
        <f t="shared" si="2"/>
        <v>100</v>
      </c>
      <c r="X11" s="1553"/>
      <c r="Y11" s="3712"/>
      <c r="Z11" s="1144">
        <f t="shared" si="7"/>
        <v>111</v>
      </c>
      <c r="AA11" s="1554">
        <f t="shared" si="3"/>
        <v>1</v>
      </c>
      <c r="AB11" s="1554">
        <f t="shared" si="4"/>
        <v>1</v>
      </c>
      <c r="AC11" s="1554">
        <f t="shared" si="5"/>
        <v>1</v>
      </c>
    </row>
    <row r="12" spans="1:29" s="1214" customFormat="1" ht="15">
      <c r="A12" s="2868"/>
      <c r="B12" s="2874">
        <v>111</v>
      </c>
      <c r="C12" s="526"/>
      <c r="D12" s="536">
        <v>100</v>
      </c>
      <c r="E12" s="878"/>
      <c r="F12" s="253">
        <f>SUMIF(57:57,E12,58:58)-SUMIF(57:57,C12,58:58)+100</f>
        <v>100</v>
      </c>
      <c r="G12" s="878"/>
      <c r="H12" s="253">
        <f>SUMIF(57:57,G12,58:58)-SUMIF(57:57,C12,58:58)+100</f>
        <v>100</v>
      </c>
      <c r="I12" s="878"/>
      <c r="J12" s="253">
        <f>SUMIF(57:57,I12,58:58)-SUMIF(57:57,C12,58:58)+100</f>
        <v>100</v>
      </c>
      <c r="K12" s="579"/>
      <c r="L12" s="2116"/>
      <c r="M12" s="2117"/>
      <c r="N12" s="2117"/>
      <c r="O12" s="2118"/>
      <c r="P12" s="3824"/>
      <c r="Q12" s="1145">
        <f t="shared" si="6"/>
        <v>111</v>
      </c>
      <c r="R12" s="1551" t="s">
        <v>8</v>
      </c>
      <c r="S12" s="1552">
        <f t="shared" si="0"/>
        <v>100</v>
      </c>
      <c r="T12" s="1551" t="s">
        <v>8</v>
      </c>
      <c r="U12" s="1552">
        <f t="shared" si="1"/>
        <v>100</v>
      </c>
      <c r="V12" s="1551" t="s">
        <v>8</v>
      </c>
      <c r="W12" s="1552">
        <f t="shared" si="2"/>
        <v>100</v>
      </c>
      <c r="X12" s="1553"/>
      <c r="Y12" s="3712"/>
      <c r="Z12" s="1144">
        <f t="shared" si="7"/>
        <v>111</v>
      </c>
      <c r="AA12" s="1554">
        <f>D12/F12</f>
        <v>1</v>
      </c>
      <c r="AB12" s="1554">
        <f>D12/H12</f>
        <v>1</v>
      </c>
      <c r="AC12" s="1554">
        <f>D12/J12</f>
        <v>1</v>
      </c>
    </row>
    <row r="13" spans="1:29" ht="15.75" thickBot="1">
      <c r="A13" s="2869"/>
      <c r="B13" s="2875">
        <v>111</v>
      </c>
      <c r="C13" s="537"/>
      <c r="D13" s="538">
        <v>100</v>
      </c>
      <c r="E13" s="878"/>
      <c r="F13" s="253">
        <f>SUMIF(59:59,E13,60:60)-SUMIF(59:59,C13,60:60)+100</f>
        <v>100</v>
      </c>
      <c r="G13" s="878"/>
      <c r="H13" s="538">
        <f>SUMIF(59:59,G13,60:60)-SUMIF(59:59,C13,60:60)+100</f>
        <v>100</v>
      </c>
      <c r="I13" s="878"/>
      <c r="J13" s="538">
        <f>SUMIF(59:59,I13,60:60)-SUMIF(59:59,C13,60:60)+100</f>
        <v>100</v>
      </c>
      <c r="K13" s="579"/>
      <c r="L13" s="2123"/>
      <c r="M13" s="2115"/>
      <c r="N13" s="2115"/>
      <c r="O13" s="2122"/>
      <c r="P13" s="3824"/>
      <c r="Q13" s="1145">
        <f t="shared" si="6"/>
        <v>111</v>
      </c>
      <c r="R13" s="1551" t="s">
        <v>8</v>
      </c>
      <c r="S13" s="1552">
        <f t="shared" si="0"/>
        <v>100</v>
      </c>
      <c r="T13" s="1551" t="s">
        <v>8</v>
      </c>
      <c r="U13" s="1552">
        <f t="shared" si="1"/>
        <v>100</v>
      </c>
      <c r="V13" s="1551" t="s">
        <v>8</v>
      </c>
      <c r="W13" s="1552">
        <f t="shared" si="2"/>
        <v>100</v>
      </c>
      <c r="X13" s="1553"/>
      <c r="Y13" s="3712"/>
      <c r="Z13" s="1144">
        <f t="shared" si="7"/>
        <v>111</v>
      </c>
      <c r="AA13" s="1554">
        <f t="shared" si="3"/>
        <v>1</v>
      </c>
      <c r="AB13" s="1554">
        <f t="shared" si="4"/>
        <v>1</v>
      </c>
      <c r="AC13" s="1554">
        <f t="shared" si="5"/>
        <v>1</v>
      </c>
    </row>
    <row r="14" spans="1:29" ht="85.5">
      <c r="A14" s="2861" t="s">
        <v>2748</v>
      </c>
      <c r="B14" s="164"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3"/>
      <c r="M14" s="2115"/>
      <c r="N14" s="2115"/>
      <c r="O14" s="2122"/>
      <c r="P14" s="3858" t="s">
        <v>537</v>
      </c>
      <c r="Q14" s="1555" t="str">
        <f t="shared" si="6"/>
        <v>交通便捷度</v>
      </c>
      <c r="R14" s="1556" t="s">
        <v>8</v>
      </c>
      <c r="S14" s="1557">
        <f t="shared" si="0"/>
        <v>100</v>
      </c>
      <c r="T14" s="1556" t="s">
        <v>8</v>
      </c>
      <c r="U14" s="1557">
        <f t="shared" si="1"/>
        <v>100</v>
      </c>
      <c r="V14" s="1556" t="s">
        <v>8</v>
      </c>
      <c r="W14" s="1557">
        <f t="shared" si="2"/>
        <v>100</v>
      </c>
      <c r="X14" s="1550"/>
      <c r="Y14" s="3858" t="s">
        <v>537</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3"/>
      <c r="M15" s="2115"/>
      <c r="N15" s="2115"/>
      <c r="O15" s="2122"/>
      <c r="P15" s="3859"/>
      <c r="Q15" s="1555"/>
      <c r="R15" s="1556"/>
      <c r="S15" s="1557"/>
      <c r="T15" s="1556"/>
      <c r="U15" s="1557"/>
      <c r="V15" s="1556"/>
      <c r="W15" s="1557"/>
      <c r="X15" s="1550"/>
      <c r="Y15" s="3859"/>
      <c r="Z15" s="1558"/>
      <c r="AA15" s="1559">
        <v>1</v>
      </c>
      <c r="AB15" s="1559">
        <v>1</v>
      </c>
      <c r="AC15" s="1559">
        <v>1</v>
      </c>
    </row>
    <row r="16" spans="1:29" ht="42.75">
      <c r="A16" s="530"/>
      <c r="B16" s="2563" t="s">
        <v>2540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3"/>
      <c r="M16" s="2115"/>
      <c r="N16" s="2115"/>
      <c r="O16" s="2122"/>
      <c r="P16" s="3859"/>
      <c r="Q16" s="1555" t="str">
        <f>B16</f>
        <v>公共配套设施</v>
      </c>
      <c r="R16" s="1556" t="s">
        <v>8</v>
      </c>
      <c r="S16" s="1557">
        <f>F16</f>
        <v>100</v>
      </c>
      <c r="T16" s="1556" t="s">
        <v>8</v>
      </c>
      <c r="U16" s="1557">
        <f>H16</f>
        <v>100</v>
      </c>
      <c r="V16" s="1556" t="s">
        <v>8</v>
      </c>
      <c r="W16" s="1557">
        <f>J16</f>
        <v>100</v>
      </c>
      <c r="X16" s="1550"/>
      <c r="Y16" s="3859"/>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3"/>
      <c r="M17" s="2115"/>
      <c r="N17" s="2115"/>
      <c r="O17" s="2122"/>
      <c r="P17" s="3859"/>
      <c r="Q17" s="1555"/>
      <c r="R17" s="1556"/>
      <c r="S17" s="1557"/>
      <c r="T17" s="1556"/>
      <c r="U17" s="1557"/>
      <c r="V17" s="1556"/>
      <c r="W17" s="1557"/>
      <c r="X17" s="1550"/>
      <c r="Y17" s="3859"/>
      <c r="Z17" s="1558"/>
      <c r="AA17" s="1559">
        <v>1</v>
      </c>
      <c r="AB17" s="1559">
        <v>1</v>
      </c>
      <c r="AC17" s="1559">
        <v>1</v>
      </c>
    </row>
    <row r="18" spans="1:29" ht="28.5">
      <c r="A18" s="530"/>
      <c r="B18" s="2551" t="s">
        <v>2552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3"/>
      <c r="M18" s="2115"/>
      <c r="N18" s="2115"/>
      <c r="O18" s="2122"/>
      <c r="P18" s="3859"/>
      <c r="Q18" s="2539" t="str">
        <f>B18</f>
        <v>基础设施水平</v>
      </c>
      <c r="R18" s="1556" t="s">
        <v>8</v>
      </c>
      <c r="S18" s="1557">
        <f>F18</f>
        <v>100</v>
      </c>
      <c r="T18" s="1556" t="s">
        <v>8</v>
      </c>
      <c r="U18" s="1557">
        <f>H18</f>
        <v>100</v>
      </c>
      <c r="V18" s="1556" t="s">
        <v>8</v>
      </c>
      <c r="W18" s="1557">
        <f>J18</f>
        <v>100</v>
      </c>
      <c r="X18" s="2541"/>
      <c r="Y18" s="3859"/>
      <c r="Z18" s="2540"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2"/>
      <c r="L19" s="2123"/>
      <c r="M19" s="2115"/>
      <c r="N19" s="2115"/>
      <c r="O19" s="2122"/>
      <c r="P19" s="3859"/>
      <c r="Q19" s="2539"/>
      <c r="R19" s="1556"/>
      <c r="S19" s="1557"/>
      <c r="T19" s="1556"/>
      <c r="U19" s="1557"/>
      <c r="V19" s="1556"/>
      <c r="W19" s="1557"/>
      <c r="X19" s="2541"/>
      <c r="Y19" s="3859"/>
      <c r="Z19" s="2540"/>
      <c r="AA19" s="1559">
        <v>1</v>
      </c>
      <c r="AB19" s="1559">
        <v>1</v>
      </c>
      <c r="AC19" s="1559">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3"/>
      <c r="M20" s="2115"/>
      <c r="N20" s="2115"/>
      <c r="O20" s="2122"/>
      <c r="P20" s="3859"/>
      <c r="Q20" s="1555" t="str">
        <f>B20</f>
        <v>自然及人文环境</v>
      </c>
      <c r="R20" s="1556" t="s">
        <v>8</v>
      </c>
      <c r="S20" s="1557">
        <f>F20</f>
        <v>100</v>
      </c>
      <c r="T20" s="1556" t="s">
        <v>8</v>
      </c>
      <c r="U20" s="1557">
        <f>H20</f>
        <v>100</v>
      </c>
      <c r="V20" s="1556" t="s">
        <v>8</v>
      </c>
      <c r="W20" s="1557">
        <f>J20</f>
        <v>100</v>
      </c>
      <c r="X20" s="1550"/>
      <c r="Y20" s="3859"/>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3"/>
      <c r="M21" s="2115"/>
      <c r="N21" s="2115"/>
      <c r="O21" s="2122"/>
      <c r="P21" s="3859"/>
      <c r="Q21" s="1555"/>
      <c r="R21" s="1556"/>
      <c r="S21" s="1557"/>
      <c r="T21" s="1556"/>
      <c r="U21" s="1557"/>
      <c r="V21" s="1556"/>
      <c r="W21" s="1557"/>
      <c r="X21" s="1550"/>
      <c r="Y21" s="3859"/>
      <c r="Z21" s="1558"/>
      <c r="AA21" s="1559">
        <v>1</v>
      </c>
      <c r="AB21" s="1559">
        <v>1</v>
      </c>
      <c r="AC21" s="1559">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859"/>
      <c r="Q22" s="1555" t="str">
        <f>B22</f>
        <v>楼层</v>
      </c>
      <c r="R22" s="1556" t="s">
        <v>8</v>
      </c>
      <c r="S22" s="1557">
        <f>F22</f>
        <v>100</v>
      </c>
      <c r="T22" s="1556" t="s">
        <v>8</v>
      </c>
      <c r="U22" s="1557">
        <f>H22</f>
        <v>100</v>
      </c>
      <c r="V22" s="1556" t="s">
        <v>8</v>
      </c>
      <c r="W22" s="1557">
        <f>J22</f>
        <v>100</v>
      </c>
      <c r="X22" s="1550"/>
      <c r="Y22" s="3859"/>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859"/>
      <c r="Q23" s="1555">
        <f>B23</f>
        <v>111</v>
      </c>
      <c r="R23" s="1556" t="s">
        <v>8</v>
      </c>
      <c r="S23" s="1557">
        <f>F23</f>
        <v>100</v>
      </c>
      <c r="T23" s="1556" t="s">
        <v>8</v>
      </c>
      <c r="U23" s="1557">
        <f>H23</f>
        <v>100</v>
      </c>
      <c r="V23" s="1556" t="s">
        <v>8</v>
      </c>
      <c r="W23" s="1557">
        <f>J23</f>
        <v>100</v>
      </c>
      <c r="X23" s="1550"/>
      <c r="Y23" s="3859"/>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859"/>
      <c r="Q24" s="1555">
        <f t="shared" ref="Q24:Q34" si="11">B24</f>
        <v>111</v>
      </c>
      <c r="R24" s="1556" t="s">
        <v>8</v>
      </c>
      <c r="S24" s="1557">
        <f>F24</f>
        <v>100</v>
      </c>
      <c r="T24" s="1556" t="s">
        <v>8</v>
      </c>
      <c r="U24" s="1557">
        <f>H24</f>
        <v>100</v>
      </c>
      <c r="V24" s="1556" t="s">
        <v>8</v>
      </c>
      <c r="W24" s="1557">
        <f>J24</f>
        <v>100</v>
      </c>
      <c r="X24" s="1550"/>
      <c r="Y24" s="3859"/>
      <c r="Z24" s="1558">
        <f>Q24</f>
        <v>111</v>
      </c>
      <c r="AA24" s="1559">
        <f t="shared" si="3"/>
        <v>1</v>
      </c>
      <c r="AB24" s="1559">
        <f t="shared" si="4"/>
        <v>1</v>
      </c>
      <c r="AC24" s="1559">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6"/>
      <c r="M25" s="2117"/>
      <c r="N25" s="2117"/>
      <c r="O25" s="2118"/>
      <c r="P25" s="3859"/>
      <c r="Q25" s="1145">
        <f t="shared" si="11"/>
        <v>111</v>
      </c>
      <c r="R25" s="1551" t="s">
        <v>8</v>
      </c>
      <c r="S25" s="1552">
        <f>F25</f>
        <v>100</v>
      </c>
      <c r="T25" s="1551" t="s">
        <v>8</v>
      </c>
      <c r="U25" s="1552">
        <f>H25</f>
        <v>100</v>
      </c>
      <c r="V25" s="1551" t="s">
        <v>8</v>
      </c>
      <c r="W25" s="1552">
        <f>J25</f>
        <v>100</v>
      </c>
      <c r="X25" s="1553"/>
      <c r="Y25" s="3859"/>
      <c r="Z25" s="1144">
        <f>Q25</f>
        <v>111</v>
      </c>
      <c r="AA25" s="1559">
        <f>D25/F25</f>
        <v>1</v>
      </c>
      <c r="AB25" s="1559">
        <f>D25/H25</f>
        <v>1</v>
      </c>
      <c r="AC25" s="1559">
        <f>D25/J25</f>
        <v>1</v>
      </c>
    </row>
    <row r="26" spans="1:29" ht="15">
      <c r="A26" s="2858" t="s">
        <v>2749</v>
      </c>
      <c r="B26" s="170" t="s">
        <v>805</v>
      </c>
      <c r="C26" s="914"/>
      <c r="D26" s="595">
        <v>100</v>
      </c>
      <c r="E26" s="914"/>
      <c r="F26" s="941">
        <f>SUMIF(77:77,E26,78:78)-SUMIF(77:77,C26,78:78)+100</f>
        <v>100</v>
      </c>
      <c r="G26" s="914"/>
      <c r="H26" s="595">
        <f>SUMIF(77:77,G26,78:78)-SUMIF(77:77,C26,78:78)+100</f>
        <v>100</v>
      </c>
      <c r="I26" s="914"/>
      <c r="J26" s="595">
        <f>SUMIF(77:77,I26,78:78)-SUMIF(77:77,C26,78:78)+100</f>
        <v>100</v>
      </c>
      <c r="K26" s="582"/>
      <c r="L26" s="2123"/>
      <c r="M26" s="2115"/>
      <c r="N26" s="2115"/>
      <c r="O26" s="2122"/>
      <c r="P26" s="3860"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861" t="s">
        <v>818</v>
      </c>
      <c r="Z26" s="1558" t="str">
        <f t="shared" ref="Z26:Z34" si="15">Q26</f>
        <v>公共部分装修</v>
      </c>
      <c r="AA26" s="1559">
        <f t="shared" si="3"/>
        <v>1</v>
      </c>
      <c r="AB26" s="1559">
        <f t="shared" si="4"/>
        <v>1</v>
      </c>
      <c r="AC26" s="1559">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1"/>
      <c r="M27" s="2152"/>
      <c r="N27" s="2152"/>
      <c r="O27" s="2124"/>
      <c r="P27" s="3861"/>
      <c r="Q27" s="1587" t="str">
        <f t="shared" si="11"/>
        <v>成新率</v>
      </c>
      <c r="R27" s="1560" t="s">
        <v>8</v>
      </c>
      <c r="S27" s="1561" t="e">
        <f t="shared" si="12"/>
        <v>#N/A</v>
      </c>
      <c r="T27" s="1560" t="s">
        <v>8</v>
      </c>
      <c r="U27" s="1561" t="e">
        <f t="shared" si="13"/>
        <v>#N/A</v>
      </c>
      <c r="V27" s="1560" t="s">
        <v>8</v>
      </c>
      <c r="W27" s="1561" t="e">
        <f t="shared" si="14"/>
        <v>#N/A</v>
      </c>
      <c r="X27" s="1562"/>
      <c r="Y27" s="3861"/>
      <c r="Z27" s="1563" t="str">
        <f t="shared" si="15"/>
        <v>成新率</v>
      </c>
      <c r="AA27" s="1559" t="e">
        <f t="shared" si="3"/>
        <v>#N/A</v>
      </c>
      <c r="AB27" s="1559" t="e">
        <f t="shared" si="4"/>
        <v>#N/A</v>
      </c>
      <c r="AC27" s="1559"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861"/>
      <c r="Q28" s="1555" t="str">
        <f t="shared" si="11"/>
        <v>物业等级</v>
      </c>
      <c r="R28" s="1556" t="s">
        <v>8</v>
      </c>
      <c r="S28" s="1557">
        <f t="shared" si="12"/>
        <v>100</v>
      </c>
      <c r="T28" s="1556" t="s">
        <v>8</v>
      </c>
      <c r="U28" s="1557">
        <f t="shared" si="13"/>
        <v>100</v>
      </c>
      <c r="V28" s="1556" t="s">
        <v>8</v>
      </c>
      <c r="W28" s="1557">
        <f t="shared" si="14"/>
        <v>100</v>
      </c>
      <c r="X28" s="1550"/>
      <c r="Y28" s="3861"/>
      <c r="Z28" s="1558" t="str">
        <f t="shared" si="15"/>
        <v>物业等级</v>
      </c>
      <c r="AA28" s="1559">
        <f t="shared" si="3"/>
        <v>1</v>
      </c>
      <c r="AB28" s="1559">
        <f t="shared" si="4"/>
        <v>1</v>
      </c>
      <c r="AC28" s="1559">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3"/>
      <c r="M29" s="2115"/>
      <c r="N29" s="2115"/>
      <c r="O29" s="2122"/>
      <c r="P29" s="3861"/>
      <c r="Q29" s="1555" t="str">
        <f t="shared" si="11"/>
        <v>有无电梯</v>
      </c>
      <c r="R29" s="1556" t="s">
        <v>8</v>
      </c>
      <c r="S29" s="1557">
        <f t="shared" si="12"/>
        <v>100</v>
      </c>
      <c r="T29" s="1556" t="s">
        <v>8</v>
      </c>
      <c r="U29" s="1557">
        <f t="shared" si="13"/>
        <v>100</v>
      </c>
      <c r="V29" s="1556" t="s">
        <v>8</v>
      </c>
      <c r="W29" s="1557">
        <f t="shared" si="14"/>
        <v>100</v>
      </c>
      <c r="X29" s="1550"/>
      <c r="Y29" s="3861"/>
      <c r="Z29" s="1558" t="str">
        <f t="shared" si="15"/>
        <v>有无电梯</v>
      </c>
      <c r="AA29" s="1559">
        <f t="shared" si="3"/>
        <v>1</v>
      </c>
      <c r="AB29" s="1559">
        <f t="shared" si="4"/>
        <v>1</v>
      </c>
      <c r="AC29" s="1559">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3"/>
      <c r="M30" s="2115"/>
      <c r="N30" s="2115"/>
      <c r="O30" s="2122"/>
      <c r="P30" s="3861"/>
      <c r="Q30" s="1555" t="str">
        <f t="shared" si="11"/>
        <v>建筑面积</v>
      </c>
      <c r="R30" s="1556" t="s">
        <v>8</v>
      </c>
      <c r="S30" s="1557" t="e">
        <f t="shared" si="12"/>
        <v>#N/A</v>
      </c>
      <c r="T30" s="1556" t="s">
        <v>8</v>
      </c>
      <c r="U30" s="1557" t="e">
        <f t="shared" si="13"/>
        <v>#N/A</v>
      </c>
      <c r="V30" s="1556" t="s">
        <v>8</v>
      </c>
      <c r="W30" s="1557" t="e">
        <f t="shared" si="14"/>
        <v>#N/A</v>
      </c>
      <c r="X30" s="1550"/>
      <c r="Y30" s="3861"/>
      <c r="Z30" s="1558" t="str">
        <f t="shared" si="15"/>
        <v>建筑面积</v>
      </c>
      <c r="AA30" s="1559" t="e">
        <f t="shared" si="3"/>
        <v>#N/A</v>
      </c>
      <c r="AB30" s="1559" t="e">
        <f t="shared" si="4"/>
        <v>#N/A</v>
      </c>
      <c r="AC30" s="1559"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6"/>
      <c r="M31" s="2117"/>
      <c r="N31" s="2117"/>
      <c r="O31" s="2118"/>
      <c r="P31" s="3861"/>
      <c r="Q31" s="1145" t="str">
        <f t="shared" si="11"/>
        <v>是否封闭</v>
      </c>
      <c r="R31" s="1551" t="s">
        <v>8</v>
      </c>
      <c r="S31" s="1552">
        <f t="shared" si="12"/>
        <v>100</v>
      </c>
      <c r="T31" s="1551" t="s">
        <v>8</v>
      </c>
      <c r="U31" s="1552">
        <f t="shared" si="13"/>
        <v>100</v>
      </c>
      <c r="V31" s="1551" t="s">
        <v>8</v>
      </c>
      <c r="W31" s="1552">
        <f t="shared" si="14"/>
        <v>100</v>
      </c>
      <c r="X31" s="1553"/>
      <c r="Y31" s="3861"/>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3"/>
      <c r="M32" s="2115"/>
      <c r="N32" s="2115"/>
      <c r="O32" s="2122"/>
      <c r="P32" s="3861" t="s">
        <v>547</v>
      </c>
      <c r="Q32" s="1555">
        <f t="shared" si="11"/>
        <v>111</v>
      </c>
      <c r="R32" s="1556" t="s">
        <v>8</v>
      </c>
      <c r="S32" s="1557">
        <f t="shared" si="12"/>
        <v>100</v>
      </c>
      <c r="T32" s="1556" t="s">
        <v>8</v>
      </c>
      <c r="U32" s="1557">
        <f t="shared" si="13"/>
        <v>100</v>
      </c>
      <c r="V32" s="1556" t="s">
        <v>8</v>
      </c>
      <c r="W32" s="1557">
        <f t="shared" si="14"/>
        <v>100</v>
      </c>
      <c r="X32" s="1550"/>
      <c r="Y32" s="3861" t="s">
        <v>547</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3"/>
      <c r="M33" s="2115"/>
      <c r="N33" s="2115"/>
      <c r="O33" s="2122"/>
      <c r="P33" s="3861"/>
      <c r="Q33" s="1555">
        <f t="shared" si="11"/>
        <v>111</v>
      </c>
      <c r="R33" s="1556" t="s">
        <v>8</v>
      </c>
      <c r="S33" s="1557">
        <f t="shared" si="12"/>
        <v>100</v>
      </c>
      <c r="T33" s="1556" t="s">
        <v>8</v>
      </c>
      <c r="U33" s="1557">
        <f t="shared" si="13"/>
        <v>100</v>
      </c>
      <c r="V33" s="1556" t="s">
        <v>8</v>
      </c>
      <c r="W33" s="1557">
        <f t="shared" si="14"/>
        <v>100</v>
      </c>
      <c r="X33" s="1550"/>
      <c r="Y33" s="3861"/>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3"/>
      <c r="M34" s="2115"/>
      <c r="N34" s="2115"/>
      <c r="O34" s="2122"/>
      <c r="P34" s="3861"/>
      <c r="Q34" s="1555">
        <f t="shared" si="11"/>
        <v>111</v>
      </c>
      <c r="R34" s="1556" t="s">
        <v>8</v>
      </c>
      <c r="S34" s="1557">
        <f t="shared" si="12"/>
        <v>100</v>
      </c>
      <c r="T34" s="1556" t="s">
        <v>8</v>
      </c>
      <c r="U34" s="1557">
        <f t="shared" si="13"/>
        <v>100</v>
      </c>
      <c r="V34" s="1556" t="s">
        <v>8</v>
      </c>
      <c r="W34" s="1557">
        <f t="shared" si="14"/>
        <v>100</v>
      </c>
      <c r="X34" s="1550"/>
      <c r="Y34" s="3861"/>
      <c r="Z34" s="1558">
        <f t="shared" si="15"/>
        <v>111</v>
      </c>
      <c r="AA34" s="1559">
        <f t="shared" si="3"/>
        <v>1</v>
      </c>
      <c r="AB34" s="1559">
        <f t="shared" si="4"/>
        <v>1</v>
      </c>
      <c r="AC34" s="1559">
        <f t="shared" si="5"/>
        <v>1</v>
      </c>
    </row>
    <row r="35" spans="1:29" ht="15">
      <c r="A35" s="605" t="s">
        <v>733</v>
      </c>
      <c r="B35" s="885"/>
      <c r="C35" s="2587" t="s">
        <v>1</v>
      </c>
      <c r="D35" s="2588"/>
      <c r="E35" s="2589"/>
      <c r="F35" s="2590"/>
      <c r="G35" s="2591"/>
      <c r="H35" s="2592"/>
      <c r="I35" s="2589"/>
      <c r="J35" s="2592"/>
      <c r="K35" s="1593"/>
      <c r="L35" s="2125"/>
      <c r="M35" s="2126"/>
      <c r="N35" s="2115"/>
      <c r="O35" s="2126"/>
      <c r="P35" s="3824" t="str">
        <f>A35</f>
        <v>成交单价（元/平方米）</v>
      </c>
      <c r="Q35" s="3824"/>
      <c r="R35" s="3935">
        <f>E35</f>
        <v>0</v>
      </c>
      <c r="S35" s="3935"/>
      <c r="T35" s="3935">
        <f>G35</f>
        <v>0</v>
      </c>
      <c r="U35" s="3935"/>
      <c r="V35" s="3935">
        <f>I35</f>
        <v>0</v>
      </c>
      <c r="W35" s="3935"/>
      <c r="X35" s="1542"/>
      <c r="Y35" s="1564"/>
      <c r="Z35" s="1542"/>
      <c r="AA35" s="1542"/>
      <c r="AB35" s="1542"/>
      <c r="AC35" s="1542"/>
    </row>
    <row r="36" spans="1:29" ht="15.75" thickBot="1">
      <c r="A36" s="613" t="s">
        <v>2754</v>
      </c>
      <c r="B36" s="886"/>
      <c r="C36" s="2593" t="e">
        <f>R37</f>
        <v>#DIV/0!</v>
      </c>
      <c r="D36" s="2594"/>
      <c r="E36" s="2595" t="e">
        <f>R36</f>
        <v>#DIV/0!</v>
      </c>
      <c r="F36" s="2595"/>
      <c r="G36" s="2593" t="e">
        <f>T36</f>
        <v>#DIV/0!</v>
      </c>
      <c r="H36" s="2594"/>
      <c r="I36" s="2595" t="e">
        <f>V36</f>
        <v>#DIV/0!</v>
      </c>
      <c r="J36" s="2594"/>
      <c r="K36" s="1594"/>
      <c r="L36" s="2125"/>
      <c r="M36" s="2126"/>
      <c r="N36" s="2115"/>
      <c r="O36" s="2126"/>
      <c r="P36" s="3824" t="str">
        <f>A36</f>
        <v>比较价格（元/平方米）</v>
      </c>
      <c r="Q36" s="3824"/>
      <c r="R36" s="3935" t="e">
        <f>IF(F1="售价",ROUND(PRODUCT(R35,AA7:AA34),0),ROUND(PRODUCT(R35,AA7:AA34),1))</f>
        <v>#DIV/0!</v>
      </c>
      <c r="S36" s="3935"/>
      <c r="T36" s="3935" t="e">
        <f>IF(F1="售价",ROUND(PRODUCT(T35,AB7:AB34),0),ROUND(PRODUCT(T35,AB7:AB34),1))</f>
        <v>#DIV/0!</v>
      </c>
      <c r="U36" s="3935"/>
      <c r="V36" s="3935" t="e">
        <f>IF(F1="售价",ROUND(PRODUCT(V35,AC7:AC34),0),ROUND(PRODUCT(V35,AC7:AC34),1))</f>
        <v>#DIV/0!</v>
      </c>
      <c r="W36" s="3935"/>
      <c r="X36" s="1542"/>
      <c r="Y36" s="1542"/>
      <c r="Z36" s="1542"/>
      <c r="AA36" s="1542"/>
      <c r="AB36" s="1542"/>
      <c r="AC36" s="1542"/>
    </row>
    <row r="37" spans="1:29" ht="15.75" thickBot="1">
      <c r="A37" s="619" t="s">
        <v>2930</v>
      </c>
      <c r="B37" s="620"/>
      <c r="C37" s="2596" t="e">
        <f>R37</f>
        <v>#DIV/0!</v>
      </c>
      <c r="D37" s="2596"/>
      <c r="E37" s="2596"/>
      <c r="F37" s="2596"/>
      <c r="G37" s="2596"/>
      <c r="H37" s="2596"/>
      <c r="I37" s="2596"/>
      <c r="J37" s="2596"/>
      <c r="K37" s="1595"/>
      <c r="L37" s="2125"/>
      <c r="M37" s="2126"/>
      <c r="N37" s="2126"/>
      <c r="O37" s="2126"/>
      <c r="P37" s="3821" t="str">
        <f>A37</f>
        <v>估价对象XX用房的比较价格（楼面单价，元/平方米）</v>
      </c>
      <c r="Q37" s="3822"/>
      <c r="R37" s="3934" t="e">
        <f>IF(F1="售价",ROUND(AVERAGE(R36:V36),0),ROUND(AVERAGE(R36:V36),1))</f>
        <v>#DIV/0!</v>
      </c>
      <c r="S37" s="3934"/>
      <c r="T37" s="3934"/>
      <c r="U37" s="3934"/>
      <c r="V37" s="3934"/>
      <c r="W37" s="3934"/>
      <c r="X37" s="1542"/>
      <c r="Y37" s="1542"/>
      <c r="Z37" s="1542"/>
      <c r="AA37" s="1542"/>
      <c r="AB37" s="1542"/>
      <c r="AC37" s="1542"/>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7" t="s">
        <v>571</v>
      </c>
      <c r="B45" s="1542"/>
      <c r="C45" s="1566"/>
      <c r="D45" s="1566"/>
      <c r="E45" s="1566"/>
      <c r="F45" s="1568"/>
      <c r="G45" s="1568"/>
      <c r="H45" s="1566"/>
      <c r="I45" s="1566"/>
      <c r="J45" s="1566"/>
      <c r="K45" s="1569"/>
      <c r="L45" s="1565"/>
      <c r="M45" s="1566"/>
      <c r="N45" s="1566"/>
      <c r="O45" s="1566"/>
      <c r="P45" s="2138"/>
      <c r="Q45" s="2139"/>
      <c r="R45" s="2126"/>
      <c r="S45" s="2126"/>
      <c r="T45" s="2126"/>
      <c r="U45" s="2126"/>
      <c r="V45" s="2126"/>
      <c r="W45" s="2126"/>
      <c r="X45" s="2126"/>
      <c r="Y45" s="2126"/>
      <c r="Z45" s="2126"/>
      <c r="AA45" s="2126"/>
      <c r="AB45" s="2126"/>
      <c r="AC45" s="2126"/>
    </row>
    <row r="46" spans="1:29" s="1341" customFormat="1" ht="15">
      <c r="A46" s="643" t="s">
        <v>526</v>
      </c>
      <c r="B46" s="644"/>
      <c r="C46" s="2753" t="str">
        <f>YEAR(C7)&amp;"-"&amp;MONTH(C7)</f>
        <v>2019-10</v>
      </c>
      <c r="D46" s="2755">
        <f>EDATE(C46,-1)</f>
        <v>43709</v>
      </c>
      <c r="E46" s="2755">
        <f t="shared" ref="E46:O46" si="16">EDATE(D46,-1)</f>
        <v>43678</v>
      </c>
      <c r="F46" s="2755">
        <f t="shared" si="16"/>
        <v>43647</v>
      </c>
      <c r="G46" s="2755">
        <f t="shared" si="16"/>
        <v>43617</v>
      </c>
      <c r="H46" s="2755">
        <f t="shared" si="16"/>
        <v>43586</v>
      </c>
      <c r="I46" s="2755">
        <f t="shared" si="16"/>
        <v>43556</v>
      </c>
      <c r="J46" s="2755">
        <f t="shared" si="16"/>
        <v>43525</v>
      </c>
      <c r="K46" s="2755">
        <f t="shared" si="16"/>
        <v>43497</v>
      </c>
      <c r="L46" s="2755">
        <f t="shared" si="16"/>
        <v>43466</v>
      </c>
      <c r="M46" s="2755">
        <f t="shared" si="16"/>
        <v>43435</v>
      </c>
      <c r="N46" s="2755">
        <f t="shared" si="16"/>
        <v>43405</v>
      </c>
      <c r="O46" s="2755">
        <f t="shared" si="16"/>
        <v>43374</v>
      </c>
      <c r="P46" s="2141"/>
      <c r="Q46" s="2142"/>
      <c r="R46" s="2142"/>
      <c r="S46" s="2142"/>
      <c r="T46" s="2142"/>
      <c r="U46" s="2142"/>
      <c r="V46" s="2142"/>
      <c r="W46" s="2142"/>
      <c r="X46" s="2142"/>
      <c r="Y46" s="2142"/>
      <c r="Z46" s="2142"/>
      <c r="AA46" s="2142"/>
      <c r="AB46" s="2142"/>
      <c r="AC46" s="2142"/>
    </row>
    <row r="47" spans="1:29" s="1214"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4" customFormat="1" ht="15.75" thickBot="1">
      <c r="A48" s="651" t="s">
        <v>572</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4" customFormat="1" ht="15">
      <c r="A49" s="657" t="s">
        <v>528</v>
      </c>
      <c r="B49" s="646"/>
      <c r="C49" s="658" t="s">
        <v>573</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574</v>
      </c>
      <c r="B51" s="663" t="s">
        <v>531</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3">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8" t="s">
        <v>2551</v>
      </c>
      <c r="C63" s="706" t="s">
        <v>576</v>
      </c>
      <c r="D63" s="706" t="s">
        <v>577</v>
      </c>
      <c r="E63" s="706" t="s">
        <v>578</v>
      </c>
      <c r="F63" s="706" t="s">
        <v>579</v>
      </c>
      <c r="G63" s="706" t="s">
        <v>580</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7" t="s">
        <v>2552</v>
      </c>
      <c r="C65" s="2558" t="s">
        <v>2553</v>
      </c>
      <c r="D65" s="2558" t="s">
        <v>2554</v>
      </c>
      <c r="E65" s="2558" t="s">
        <v>2555</v>
      </c>
      <c r="F65" s="2558" t="s">
        <v>2556</v>
      </c>
      <c r="G65" s="2558" t="s">
        <v>2557</v>
      </c>
      <c r="H65" s="672"/>
      <c r="I65" s="672"/>
      <c r="J65" s="672"/>
      <c r="K65" s="672"/>
      <c r="L65" s="672"/>
      <c r="M65" s="2561"/>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741</v>
      </c>
      <c r="C67" s="706" t="s">
        <v>576</v>
      </c>
      <c r="D67" s="706" t="s">
        <v>577</v>
      </c>
      <c r="E67" s="706" t="s">
        <v>578</v>
      </c>
      <c r="F67" s="706" t="s">
        <v>579</v>
      </c>
      <c r="G67" s="706" t="s">
        <v>580</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742</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7"/>
      <c r="B71" s="671">
        <f>B23</f>
        <v>111</v>
      </c>
      <c r="C71" s="539"/>
      <c r="D71" s="539"/>
      <c r="E71" s="539"/>
      <c r="F71" s="539"/>
      <c r="G71" s="686"/>
      <c r="H71" s="686"/>
      <c r="I71" s="686"/>
      <c r="J71" s="686"/>
      <c r="K71" s="686"/>
      <c r="L71" s="888"/>
      <c r="M71" s="889"/>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7"/>
      <c r="B73" s="671">
        <f>B24</f>
        <v>111</v>
      </c>
      <c r="C73" s="539"/>
      <c r="D73" s="539"/>
      <c r="E73" s="539"/>
      <c r="F73" s="539"/>
      <c r="G73" s="686"/>
      <c r="H73" s="686"/>
      <c r="I73" s="686"/>
      <c r="J73" s="686"/>
      <c r="K73" s="686"/>
      <c r="L73" s="686"/>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548</v>
      </c>
      <c r="B77" s="663" t="s">
        <v>748</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2">
        <v>0.5</v>
      </c>
      <c r="D80" s="892">
        <v>0.6</v>
      </c>
      <c r="E80" s="892">
        <v>0.7</v>
      </c>
      <c r="F80" s="892">
        <v>0.8</v>
      </c>
      <c r="G80" s="892">
        <v>0.9</v>
      </c>
      <c r="H80" s="892">
        <v>1.0001</v>
      </c>
      <c r="I80" s="933"/>
      <c r="J80" s="933"/>
      <c r="K80" s="943"/>
      <c r="L80" s="944"/>
      <c r="M80" s="945"/>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814</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822</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3" customFormat="1" ht="15" thickTop="1">
      <c r="A89" s="726"/>
      <c r="B89" s="671" t="s">
        <v>824</v>
      </c>
      <c r="C89" s="686"/>
      <c r="D89" s="686"/>
      <c r="E89" s="686"/>
      <c r="F89" s="686"/>
      <c r="G89" s="686"/>
      <c r="H89" s="686"/>
      <c r="I89" s="686"/>
      <c r="J89" s="686"/>
      <c r="K89" s="686"/>
      <c r="L89" s="686"/>
      <c r="M89" s="889"/>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5">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5" t="s">
        <v>2299</v>
      </c>
      <c r="C1" s="3944" t="s">
        <v>2300</v>
      </c>
      <c r="D1" s="3945"/>
      <c r="E1" s="3945"/>
      <c r="F1" s="3945"/>
      <c r="G1" s="3945"/>
      <c r="H1" s="3945"/>
      <c r="I1" s="3945"/>
      <c r="J1" s="3945"/>
      <c r="K1" s="3945"/>
      <c r="L1" s="3945"/>
      <c r="M1" s="3945"/>
      <c r="N1" s="3945"/>
      <c r="O1" s="3945"/>
      <c r="P1" s="3945"/>
      <c r="Q1" s="3945"/>
      <c r="R1" s="3945"/>
      <c r="S1" s="3946"/>
      <c r="T1" s="2215" t="s">
        <v>2301</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6" t="s">
        <v>2923</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8" t="s">
        <v>2922</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8" t="s">
        <v>2921</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7"/>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6" t="s">
        <v>2934</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6" t="s">
        <v>2920</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6" t="s">
        <v>2919</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2303</v>
      </c>
      <c r="B17" s="2259" t="s">
        <v>2304</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6"/>
      <c r="C19" s="1971"/>
      <c r="D19" s="1971"/>
      <c r="E19" s="1971"/>
      <c r="F19" s="1971"/>
      <c r="G19" s="1971"/>
      <c r="H19" s="1971"/>
      <c r="I19" s="1971"/>
      <c r="J19" s="1971"/>
      <c r="K19" s="1971"/>
      <c r="L19" s="1971"/>
      <c r="M19" s="1971"/>
      <c r="N19" s="1971"/>
      <c r="O19" s="1971"/>
      <c r="P19" s="1971"/>
      <c r="Q19" s="1971"/>
      <c r="R19" s="2206"/>
      <c r="S19" s="2009"/>
    </row>
    <row r="20" spans="1:45" ht="15.75">
      <c r="A20" s="958" t="s">
        <v>825</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8" t="s">
        <v>826</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827</v>
      </c>
      <c r="B22" s="51">
        <f>SUM(B24:B10000)</f>
        <v>0</v>
      </c>
      <c r="C22" s="3941" t="s">
        <v>20</v>
      </c>
      <c r="D22" s="3942"/>
      <c r="E22" s="3942"/>
      <c r="F22" s="3942"/>
      <c r="G22" s="3942"/>
      <c r="H22" s="3942"/>
      <c r="I22" s="3942"/>
      <c r="J22" s="3942"/>
      <c r="K22" s="3942"/>
      <c r="L22" s="3942"/>
      <c r="M22" s="3942"/>
      <c r="N22" s="3942"/>
      <c r="O22" s="3942"/>
      <c r="P22" s="3942"/>
      <c r="Q22" s="3943"/>
      <c r="R22" s="488" t="e">
        <f>ROUND(S22*10000/B22,0)</f>
        <v>#DIV/0!</v>
      </c>
      <c r="S22" s="51">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07"/>
      <c r="S525" s="255"/>
    </row>
    <row r="526" spans="1:19">
      <c r="A526" s="255"/>
      <c r="B526" s="55"/>
      <c r="C526" s="55"/>
      <c r="D526" s="55"/>
      <c r="E526" s="55"/>
      <c r="F526" s="55"/>
      <c r="G526" s="55"/>
      <c r="H526" s="55"/>
      <c r="I526" s="55"/>
      <c r="J526" s="55"/>
      <c r="K526" s="55"/>
      <c r="L526" s="55"/>
      <c r="M526" s="55"/>
      <c r="N526" s="55"/>
      <c r="O526" s="55"/>
      <c r="P526" s="55"/>
      <c r="Q526" s="55"/>
      <c r="R526" s="2207"/>
      <c r="S526" s="255"/>
    </row>
    <row r="527" spans="1:19">
      <c r="A527" s="255"/>
      <c r="B527" s="55"/>
      <c r="C527" s="55"/>
      <c r="D527" s="55"/>
      <c r="E527" s="55"/>
      <c r="F527" s="55"/>
      <c r="G527" s="55"/>
      <c r="H527" s="55"/>
      <c r="I527" s="55"/>
      <c r="J527" s="55"/>
      <c r="K527" s="55"/>
      <c r="L527" s="55"/>
      <c r="M527" s="55"/>
      <c r="N527" s="55"/>
      <c r="O527" s="55"/>
      <c r="P527" s="55"/>
      <c r="Q527" s="55"/>
      <c r="R527" s="2207"/>
      <c r="S527" s="255"/>
    </row>
    <row r="528" spans="1:19">
      <c r="A528" s="255"/>
      <c r="B528" s="55"/>
      <c r="C528" s="55"/>
      <c r="D528" s="55"/>
      <c r="E528" s="55"/>
      <c r="F528" s="55"/>
      <c r="G528" s="55"/>
      <c r="H528" s="55"/>
      <c r="I528" s="55"/>
      <c r="J528" s="55"/>
      <c r="K528" s="55"/>
      <c r="L528" s="55"/>
      <c r="M528" s="55"/>
      <c r="N528" s="55"/>
      <c r="O528" s="55"/>
      <c r="P528" s="55"/>
      <c r="Q528" s="55"/>
      <c r="R528" s="2207"/>
      <c r="S528" s="255"/>
    </row>
    <row r="529" spans="1:19">
      <c r="A529" s="255"/>
      <c r="B529" s="55"/>
      <c r="C529" s="55"/>
      <c r="D529" s="55"/>
      <c r="E529" s="55"/>
      <c r="F529" s="55"/>
      <c r="G529" s="55"/>
      <c r="H529" s="55"/>
      <c r="I529" s="55"/>
      <c r="J529" s="55"/>
      <c r="K529" s="55"/>
      <c r="L529" s="55"/>
      <c r="M529" s="55"/>
      <c r="N529" s="55"/>
      <c r="O529" s="55"/>
      <c r="P529" s="55"/>
      <c r="Q529" s="55"/>
      <c r="R529" s="2207"/>
      <c r="S529" s="255"/>
    </row>
    <row r="530" spans="1:19">
      <c r="A530" s="255"/>
      <c r="B530" s="55"/>
      <c r="C530" s="55"/>
      <c r="D530" s="55"/>
      <c r="E530" s="55"/>
      <c r="F530" s="55"/>
      <c r="G530" s="55"/>
      <c r="H530" s="55"/>
      <c r="I530" s="55"/>
      <c r="J530" s="55"/>
      <c r="K530" s="55"/>
      <c r="L530" s="55"/>
      <c r="M530" s="55"/>
      <c r="N530" s="55"/>
      <c r="O530" s="55"/>
      <c r="P530" s="55"/>
      <c r="Q530" s="55"/>
      <c r="R530" s="2207"/>
      <c r="S530" s="255"/>
    </row>
    <row r="531" spans="1:19">
      <c r="A531" s="255"/>
      <c r="B531" s="55"/>
      <c r="C531" s="55"/>
      <c r="D531" s="55"/>
      <c r="E531" s="55"/>
      <c r="F531" s="55"/>
      <c r="G531" s="55"/>
      <c r="H531" s="55"/>
      <c r="I531" s="55"/>
      <c r="J531" s="55"/>
      <c r="K531" s="55"/>
      <c r="L531" s="55"/>
      <c r="M531" s="55"/>
      <c r="N531" s="55"/>
      <c r="O531" s="55"/>
      <c r="P531" s="55"/>
      <c r="Q531" s="55"/>
      <c r="R531" s="2207"/>
      <c r="S531" s="255"/>
    </row>
    <row r="532" spans="1:19">
      <c r="A532" s="255"/>
      <c r="B532" s="55"/>
      <c r="C532" s="55"/>
      <c r="D532" s="55"/>
      <c r="E532" s="55"/>
      <c r="F532" s="55"/>
      <c r="G532" s="55"/>
      <c r="H532" s="55"/>
      <c r="I532" s="55"/>
      <c r="J532" s="55"/>
      <c r="K532" s="55"/>
      <c r="L532" s="55"/>
      <c r="M532" s="55"/>
      <c r="N532" s="55"/>
      <c r="O532" s="55"/>
      <c r="P532" s="55"/>
      <c r="Q532" s="55"/>
      <c r="R532" s="2207"/>
      <c r="S532" s="255"/>
    </row>
    <row r="533" spans="1:19">
      <c r="A533" s="255"/>
      <c r="B533" s="55"/>
      <c r="C533" s="55"/>
      <c r="D533" s="55"/>
      <c r="E533" s="55"/>
      <c r="F533" s="55"/>
      <c r="G533" s="55"/>
      <c r="H533" s="55"/>
      <c r="I533" s="55"/>
      <c r="J533" s="55"/>
      <c r="K533" s="55"/>
      <c r="L533" s="55"/>
      <c r="M533" s="55"/>
      <c r="N533" s="55"/>
      <c r="O533" s="55"/>
      <c r="P533" s="55"/>
      <c r="Q533" s="55"/>
      <c r="R533" s="2207"/>
      <c r="S533" s="255"/>
    </row>
    <row r="534" spans="1:19">
      <c r="A534" s="255"/>
      <c r="B534" s="55"/>
      <c r="C534" s="55"/>
      <c r="D534" s="55"/>
      <c r="E534" s="55"/>
      <c r="F534" s="55"/>
      <c r="G534" s="55"/>
      <c r="H534" s="55"/>
      <c r="I534" s="55"/>
      <c r="J534" s="55"/>
      <c r="K534" s="55"/>
      <c r="L534" s="55"/>
      <c r="M534" s="55"/>
      <c r="N534" s="55"/>
      <c r="O534" s="55"/>
      <c r="P534" s="55"/>
      <c r="Q534" s="55"/>
      <c r="R534" s="2207"/>
      <c r="S534" s="255"/>
    </row>
    <row r="535" spans="1:19">
      <c r="A535" s="255"/>
      <c r="B535" s="55"/>
      <c r="C535" s="55"/>
      <c r="D535" s="55"/>
      <c r="E535" s="55"/>
      <c r="F535" s="55"/>
      <c r="G535" s="55"/>
      <c r="H535" s="55"/>
      <c r="I535" s="55"/>
      <c r="J535" s="55"/>
      <c r="K535" s="55"/>
      <c r="L535" s="55"/>
      <c r="M535" s="55"/>
      <c r="N535" s="55"/>
      <c r="O535" s="55"/>
      <c r="P535" s="55"/>
      <c r="Q535" s="55"/>
      <c r="R535" s="2207"/>
      <c r="S535" s="255"/>
    </row>
    <row r="536" spans="1:19">
      <c r="A536" s="255"/>
      <c r="B536" s="55"/>
      <c r="C536" s="55"/>
      <c r="D536" s="55"/>
      <c r="E536" s="55"/>
      <c r="F536" s="55"/>
      <c r="G536" s="55"/>
      <c r="H536" s="55"/>
      <c r="I536" s="55"/>
      <c r="J536" s="55"/>
      <c r="K536" s="55"/>
      <c r="L536" s="55"/>
      <c r="M536" s="55"/>
      <c r="N536" s="55"/>
      <c r="O536" s="55"/>
      <c r="P536" s="55"/>
      <c r="Q536" s="55"/>
      <c r="R536" s="2207"/>
      <c r="S536" s="255"/>
    </row>
    <row r="537" spans="1:19">
      <c r="A537" s="255"/>
      <c r="B537" s="55"/>
      <c r="C537" s="55"/>
      <c r="D537" s="55"/>
      <c r="E537" s="55"/>
      <c r="F537" s="55"/>
      <c r="G537" s="55"/>
      <c r="H537" s="55"/>
      <c r="I537" s="55"/>
      <c r="J537" s="55"/>
      <c r="K537" s="55"/>
      <c r="L537" s="55"/>
      <c r="M537" s="55"/>
      <c r="N537" s="55"/>
      <c r="O537" s="55"/>
      <c r="P537" s="55"/>
      <c r="Q537" s="55"/>
      <c r="R537" s="2207"/>
      <c r="S537" s="255"/>
    </row>
    <row r="538" spans="1:19">
      <c r="A538" s="255"/>
      <c r="B538" s="55"/>
      <c r="C538" s="55"/>
      <c r="D538" s="55"/>
      <c r="E538" s="55"/>
      <c r="F538" s="55"/>
      <c r="G538" s="55"/>
      <c r="H538" s="55"/>
      <c r="I538" s="55"/>
      <c r="J538" s="55"/>
      <c r="K538" s="55"/>
      <c r="L538" s="55"/>
      <c r="M538" s="55"/>
      <c r="N538" s="55"/>
      <c r="O538" s="55"/>
      <c r="P538" s="55"/>
      <c r="Q538" s="55"/>
      <c r="R538" s="2207"/>
      <c r="S538" s="255"/>
    </row>
    <row r="539" spans="1:19">
      <c r="A539" s="255"/>
      <c r="B539" s="55"/>
      <c r="C539" s="55"/>
      <c r="D539" s="55"/>
      <c r="E539" s="55"/>
      <c r="F539" s="55"/>
      <c r="G539" s="55"/>
      <c r="H539" s="55"/>
      <c r="I539" s="55"/>
      <c r="J539" s="55"/>
      <c r="K539" s="55"/>
      <c r="L539" s="55"/>
      <c r="M539" s="55"/>
      <c r="N539" s="55"/>
      <c r="O539" s="55"/>
      <c r="P539" s="55"/>
      <c r="Q539" s="55"/>
      <c r="R539" s="2207"/>
      <c r="S539" s="255"/>
    </row>
    <row r="540" spans="1:19">
      <c r="A540" s="255"/>
      <c r="B540" s="55"/>
      <c r="C540" s="55"/>
      <c r="D540" s="55"/>
      <c r="E540" s="55"/>
      <c r="F540" s="55"/>
      <c r="G540" s="55"/>
      <c r="H540" s="55"/>
      <c r="I540" s="55"/>
      <c r="J540" s="55"/>
      <c r="K540" s="55"/>
      <c r="L540" s="55"/>
      <c r="M540" s="55"/>
      <c r="N540" s="55"/>
      <c r="O540" s="55"/>
      <c r="P540" s="55"/>
      <c r="Q540" s="55"/>
      <c r="R540" s="2207"/>
      <c r="S540" s="255"/>
    </row>
    <row r="541" spans="1:19">
      <c r="A541" s="255"/>
      <c r="B541" s="55"/>
      <c r="C541" s="55"/>
      <c r="D541" s="55"/>
      <c r="E541" s="55"/>
      <c r="F541" s="55"/>
      <c r="G541" s="55"/>
      <c r="H541" s="55"/>
      <c r="I541" s="55"/>
      <c r="J541" s="55"/>
      <c r="K541" s="55"/>
      <c r="L541" s="55"/>
      <c r="M541" s="55"/>
      <c r="N541" s="55"/>
      <c r="O541" s="55"/>
      <c r="P541" s="55"/>
      <c r="Q541" s="55"/>
      <c r="R541" s="2207"/>
      <c r="S541" s="255"/>
    </row>
    <row r="542" spans="1:19">
      <c r="A542" s="255"/>
      <c r="B542" s="55"/>
      <c r="C542" s="55"/>
      <c r="D542" s="55"/>
      <c r="E542" s="55"/>
      <c r="F542" s="55"/>
      <c r="G542" s="55"/>
      <c r="H542" s="55"/>
      <c r="I542" s="55"/>
      <c r="J542" s="55"/>
      <c r="K542" s="55"/>
      <c r="L542" s="55"/>
      <c r="M542" s="55"/>
      <c r="N542" s="55"/>
      <c r="O542" s="55"/>
      <c r="P542" s="55"/>
      <c r="Q542" s="55"/>
      <c r="R542" s="2207"/>
      <c r="S542" s="255"/>
    </row>
    <row r="543" spans="1:19">
      <c r="A543" s="255"/>
      <c r="B543" s="55"/>
      <c r="C543" s="55"/>
      <c r="D543" s="55"/>
      <c r="E543" s="55"/>
      <c r="F543" s="55"/>
      <c r="G543" s="55"/>
      <c r="H543" s="55"/>
      <c r="I543" s="55"/>
      <c r="J543" s="55"/>
      <c r="K543" s="55"/>
      <c r="L543" s="55"/>
      <c r="M543" s="55"/>
      <c r="N543" s="55"/>
      <c r="O543" s="55"/>
      <c r="P543" s="55"/>
      <c r="Q543" s="55"/>
      <c r="R543" s="2207"/>
      <c r="S543" s="255"/>
    </row>
    <row r="544" spans="1:19">
      <c r="A544" s="255"/>
      <c r="B544" s="55"/>
      <c r="C544" s="55"/>
      <c r="D544" s="55"/>
      <c r="E544" s="55"/>
      <c r="F544" s="55"/>
      <c r="G544" s="55"/>
      <c r="H544" s="55"/>
      <c r="I544" s="55"/>
      <c r="J544" s="55"/>
      <c r="K544" s="55"/>
      <c r="L544" s="55"/>
      <c r="M544" s="55"/>
      <c r="N544" s="55"/>
      <c r="O544" s="55"/>
      <c r="P544" s="55"/>
      <c r="Q544" s="55"/>
      <c r="R544" s="2207"/>
      <c r="S544" s="255"/>
    </row>
    <row r="545" spans="1:19">
      <c r="A545" s="255"/>
      <c r="B545" s="55"/>
      <c r="C545" s="55"/>
      <c r="D545" s="55"/>
      <c r="E545" s="55"/>
      <c r="F545" s="55"/>
      <c r="G545" s="55"/>
      <c r="H545" s="55"/>
      <c r="I545" s="55"/>
      <c r="J545" s="55"/>
      <c r="K545" s="55"/>
      <c r="L545" s="55"/>
      <c r="M545" s="55"/>
      <c r="N545" s="55"/>
      <c r="O545" s="55"/>
      <c r="P545" s="55"/>
      <c r="Q545" s="55"/>
      <c r="R545" s="2207"/>
      <c r="S545" s="255"/>
    </row>
    <row r="546" spans="1:19">
      <c r="A546" s="255"/>
      <c r="B546" s="55"/>
      <c r="C546" s="55"/>
      <c r="D546" s="55"/>
      <c r="E546" s="55"/>
      <c r="F546" s="55"/>
      <c r="G546" s="55"/>
      <c r="H546" s="55"/>
      <c r="I546" s="55"/>
      <c r="J546" s="55"/>
      <c r="K546" s="55"/>
      <c r="L546" s="55"/>
      <c r="M546" s="55"/>
      <c r="N546" s="55"/>
      <c r="O546" s="55"/>
      <c r="P546" s="55"/>
      <c r="Q546" s="55"/>
      <c r="R546" s="2207"/>
      <c r="S546" s="255"/>
    </row>
    <row r="547" spans="1:19">
      <c r="A547" s="255"/>
      <c r="B547" s="55"/>
      <c r="C547" s="55"/>
      <c r="D547" s="55"/>
      <c r="E547" s="55"/>
      <c r="F547" s="55"/>
      <c r="G547" s="55"/>
      <c r="H547" s="55"/>
      <c r="I547" s="55"/>
      <c r="J547" s="55"/>
      <c r="K547" s="55"/>
      <c r="L547" s="55"/>
      <c r="M547" s="55"/>
      <c r="N547" s="55"/>
      <c r="O547" s="55"/>
      <c r="P547" s="55"/>
      <c r="Q547" s="55"/>
      <c r="R547" s="2207"/>
      <c r="S547" s="255"/>
    </row>
    <row r="548" spans="1:19">
      <c r="A548" s="255"/>
      <c r="B548" s="55"/>
      <c r="C548" s="55"/>
      <c r="D548" s="55"/>
      <c r="E548" s="55"/>
      <c r="F548" s="55"/>
      <c r="G548" s="55"/>
      <c r="H548" s="55"/>
      <c r="I548" s="55"/>
      <c r="J548" s="55"/>
      <c r="K548" s="55"/>
      <c r="L548" s="55"/>
      <c r="M548" s="55"/>
      <c r="N548" s="55"/>
      <c r="O548" s="55"/>
      <c r="P548" s="55"/>
      <c r="Q548" s="55"/>
      <c r="R548" s="2207"/>
      <c r="S548" s="255"/>
    </row>
    <row r="549" spans="1:19">
      <c r="A549" s="255"/>
      <c r="B549" s="55"/>
      <c r="C549" s="55"/>
      <c r="D549" s="55"/>
      <c r="E549" s="55"/>
      <c r="F549" s="55"/>
      <c r="G549" s="55"/>
      <c r="H549" s="55"/>
      <c r="I549" s="55"/>
      <c r="J549" s="55"/>
      <c r="K549" s="55"/>
      <c r="L549" s="55"/>
      <c r="M549" s="55"/>
      <c r="N549" s="55"/>
      <c r="O549" s="55"/>
      <c r="P549" s="55"/>
      <c r="Q549" s="55"/>
      <c r="R549" s="2207"/>
      <c r="S549" s="255"/>
    </row>
    <row r="550" spans="1:19">
      <c r="A550" s="255"/>
      <c r="B550" s="55"/>
      <c r="C550" s="55"/>
      <c r="D550" s="55"/>
      <c r="E550" s="55"/>
      <c r="F550" s="55"/>
      <c r="G550" s="55"/>
      <c r="H550" s="55"/>
      <c r="I550" s="55"/>
      <c r="J550" s="55"/>
      <c r="K550" s="55"/>
      <c r="L550" s="55"/>
      <c r="M550" s="55"/>
      <c r="N550" s="55"/>
      <c r="O550" s="55"/>
      <c r="P550" s="55"/>
      <c r="Q550" s="55"/>
      <c r="R550" s="2207"/>
      <c r="S550" s="255"/>
    </row>
    <row r="551" spans="1:19">
      <c r="A551" s="255"/>
      <c r="B551" s="55"/>
      <c r="C551" s="55"/>
      <c r="D551" s="55"/>
      <c r="E551" s="55"/>
      <c r="F551" s="55"/>
      <c r="G551" s="55"/>
      <c r="H551" s="55"/>
      <c r="I551" s="55"/>
      <c r="J551" s="55"/>
      <c r="K551" s="55"/>
      <c r="L551" s="55"/>
      <c r="M551" s="55"/>
      <c r="N551" s="55"/>
      <c r="O551" s="55"/>
      <c r="P551" s="55"/>
      <c r="Q551" s="55"/>
      <c r="R551" s="2207"/>
      <c r="S551" s="255"/>
    </row>
    <row r="552" spans="1:19">
      <c r="A552" s="255"/>
      <c r="B552" s="55"/>
      <c r="C552" s="55"/>
      <c r="D552" s="55"/>
      <c r="E552" s="55"/>
      <c r="F552" s="55"/>
      <c r="G552" s="55"/>
      <c r="H552" s="55"/>
      <c r="I552" s="55"/>
      <c r="J552" s="55"/>
      <c r="K552" s="55"/>
      <c r="L552" s="55"/>
      <c r="M552" s="55"/>
      <c r="N552" s="55"/>
      <c r="O552" s="55"/>
      <c r="P552" s="55"/>
      <c r="Q552" s="55"/>
      <c r="R552" s="2207"/>
      <c r="S552" s="255"/>
    </row>
    <row r="553" spans="1:19">
      <c r="A553" s="255"/>
      <c r="B553" s="55"/>
      <c r="C553" s="55"/>
      <c r="D553" s="55"/>
      <c r="E553" s="55"/>
      <c r="F553" s="55"/>
      <c r="G553" s="55"/>
      <c r="H553" s="55"/>
      <c r="I553" s="55"/>
      <c r="J553" s="55"/>
      <c r="K553" s="55"/>
      <c r="L553" s="55"/>
      <c r="M553" s="55"/>
      <c r="N553" s="55"/>
      <c r="O553" s="55"/>
      <c r="P553" s="55"/>
      <c r="Q553" s="55"/>
      <c r="R553" s="2207"/>
      <c r="S553" s="255"/>
    </row>
    <row r="554" spans="1:19">
      <c r="A554" s="255"/>
      <c r="B554" s="55"/>
      <c r="C554" s="55"/>
      <c r="D554" s="55"/>
      <c r="E554" s="55"/>
      <c r="F554" s="55"/>
      <c r="G554" s="55"/>
      <c r="H554" s="55"/>
      <c r="I554" s="55"/>
      <c r="J554" s="55"/>
      <c r="K554" s="55"/>
      <c r="L554" s="55"/>
      <c r="M554" s="55"/>
      <c r="N554" s="55"/>
      <c r="O554" s="55"/>
      <c r="P554" s="55"/>
      <c r="Q554" s="55"/>
      <c r="R554" s="2207"/>
      <c r="S554" s="255"/>
    </row>
    <row r="555" spans="1:19">
      <c r="A555" s="255"/>
      <c r="B555" s="55"/>
      <c r="C555" s="55"/>
      <c r="D555" s="55"/>
      <c r="E555" s="55"/>
      <c r="F555" s="55"/>
      <c r="G555" s="55"/>
      <c r="H555" s="55"/>
      <c r="I555" s="55"/>
      <c r="J555" s="55"/>
      <c r="K555" s="55"/>
      <c r="L555" s="55"/>
      <c r="M555" s="55"/>
      <c r="N555" s="55"/>
      <c r="O555" s="55"/>
      <c r="P555" s="55"/>
      <c r="Q555" s="55"/>
      <c r="R555" s="2207"/>
      <c r="S555" s="255"/>
    </row>
    <row r="556" spans="1:19">
      <c r="A556" s="255"/>
      <c r="B556" s="55"/>
      <c r="C556" s="55"/>
      <c r="D556" s="55"/>
      <c r="E556" s="55"/>
      <c r="F556" s="55"/>
      <c r="G556" s="55"/>
      <c r="H556" s="55"/>
      <c r="I556" s="55"/>
      <c r="J556" s="55"/>
      <c r="K556" s="55"/>
      <c r="L556" s="55"/>
      <c r="M556" s="55"/>
      <c r="N556" s="55"/>
      <c r="O556" s="55"/>
      <c r="P556" s="55"/>
      <c r="Q556" s="55"/>
      <c r="R556" s="2207"/>
      <c r="S556" s="255"/>
    </row>
    <row r="557" spans="1:19">
      <c r="A557" s="255"/>
      <c r="B557" s="55"/>
      <c r="C557" s="55"/>
      <c r="D557" s="55"/>
      <c r="E557" s="55"/>
      <c r="F557" s="55"/>
      <c r="G557" s="55"/>
      <c r="H557" s="55"/>
      <c r="I557" s="55"/>
      <c r="J557" s="55"/>
      <c r="K557" s="55"/>
      <c r="L557" s="55"/>
      <c r="M557" s="55"/>
      <c r="N557" s="55"/>
      <c r="O557" s="55"/>
      <c r="P557" s="55"/>
      <c r="Q557" s="55"/>
      <c r="R557" s="2207"/>
      <c r="S557" s="255"/>
    </row>
    <row r="558" spans="1:19">
      <c r="A558" s="255"/>
      <c r="B558" s="55"/>
      <c r="C558" s="55"/>
      <c r="D558" s="55"/>
      <c r="E558" s="55"/>
      <c r="F558" s="55"/>
      <c r="G558" s="55"/>
      <c r="H558" s="55"/>
      <c r="I558" s="55"/>
      <c r="J558" s="55"/>
      <c r="K558" s="55"/>
      <c r="L558" s="55"/>
      <c r="M558" s="55"/>
      <c r="N558" s="55"/>
      <c r="O558" s="55"/>
      <c r="P558" s="55"/>
      <c r="Q558" s="55"/>
      <c r="R558" s="2207"/>
      <c r="S558" s="255"/>
    </row>
    <row r="559" spans="1:19">
      <c r="A559" s="255"/>
      <c r="B559" s="55"/>
      <c r="C559" s="55"/>
      <c r="D559" s="55"/>
      <c r="E559" s="55"/>
      <c r="F559" s="55"/>
      <c r="G559" s="55"/>
      <c r="H559" s="55"/>
      <c r="I559" s="55"/>
      <c r="J559" s="55"/>
      <c r="K559" s="55"/>
      <c r="L559" s="55"/>
      <c r="M559" s="55"/>
      <c r="N559" s="55"/>
      <c r="O559" s="55"/>
      <c r="P559" s="55"/>
      <c r="Q559" s="55"/>
      <c r="R559" s="2207"/>
      <c r="S559" s="255"/>
    </row>
    <row r="560" spans="1:19">
      <c r="A560" s="255"/>
      <c r="B560" s="55"/>
      <c r="C560" s="55"/>
      <c r="D560" s="55"/>
      <c r="E560" s="55"/>
      <c r="F560" s="55"/>
      <c r="G560" s="55"/>
      <c r="H560" s="55"/>
      <c r="I560" s="55"/>
      <c r="J560" s="55"/>
      <c r="K560" s="55"/>
      <c r="L560" s="55"/>
      <c r="M560" s="55"/>
      <c r="N560" s="55"/>
      <c r="O560" s="55"/>
      <c r="P560" s="55"/>
      <c r="Q560" s="55"/>
      <c r="R560" s="2207"/>
      <c r="S560" s="255"/>
    </row>
    <row r="561" spans="1:19">
      <c r="A561" s="255"/>
      <c r="B561" s="55"/>
      <c r="C561" s="55"/>
      <c r="D561" s="55"/>
      <c r="E561" s="55"/>
      <c r="F561" s="55"/>
      <c r="G561" s="55"/>
      <c r="H561" s="55"/>
      <c r="I561" s="55"/>
      <c r="J561" s="55"/>
      <c r="K561" s="55"/>
      <c r="L561" s="55"/>
      <c r="M561" s="55"/>
      <c r="N561" s="55"/>
      <c r="O561" s="55"/>
      <c r="P561" s="55"/>
      <c r="Q561" s="55"/>
      <c r="R561" s="2207"/>
      <c r="S561" s="255"/>
    </row>
    <row r="562" spans="1:19">
      <c r="A562" s="255"/>
      <c r="B562" s="55"/>
      <c r="C562" s="55"/>
      <c r="D562" s="55"/>
      <c r="E562" s="55"/>
      <c r="F562" s="55"/>
      <c r="G562" s="55"/>
      <c r="H562" s="55"/>
      <c r="I562" s="55"/>
      <c r="J562" s="55"/>
      <c r="K562" s="55"/>
      <c r="L562" s="55"/>
      <c r="M562" s="55"/>
      <c r="N562" s="55"/>
      <c r="O562" s="55"/>
      <c r="P562" s="55"/>
      <c r="Q562" s="55"/>
      <c r="R562" s="2207"/>
      <c r="S562" s="255"/>
    </row>
    <row r="563" spans="1:19">
      <c r="A563" s="255"/>
      <c r="B563" s="55"/>
      <c r="C563" s="55"/>
      <c r="D563" s="55"/>
      <c r="E563" s="55"/>
      <c r="F563" s="55"/>
      <c r="G563" s="55"/>
      <c r="H563" s="55"/>
      <c r="I563" s="55"/>
      <c r="J563" s="55"/>
      <c r="K563" s="55"/>
      <c r="L563" s="55"/>
      <c r="M563" s="55"/>
      <c r="N563" s="55"/>
      <c r="O563" s="55"/>
      <c r="P563" s="55"/>
      <c r="Q563" s="55"/>
      <c r="R563" s="2207"/>
      <c r="S563" s="255"/>
    </row>
    <row r="564" spans="1:19">
      <c r="A564" s="255"/>
      <c r="B564" s="55"/>
      <c r="C564" s="55"/>
      <c r="D564" s="55"/>
      <c r="E564" s="55"/>
      <c r="F564" s="55"/>
      <c r="G564" s="55"/>
      <c r="H564" s="55"/>
      <c r="I564" s="55"/>
      <c r="J564" s="55"/>
      <c r="K564" s="55"/>
      <c r="L564" s="55"/>
      <c r="M564" s="55"/>
      <c r="N564" s="55"/>
      <c r="O564" s="55"/>
      <c r="P564" s="55"/>
      <c r="Q564" s="55"/>
      <c r="R564" s="2207"/>
      <c r="S564" s="255"/>
    </row>
    <row r="565" spans="1:19">
      <c r="A565" s="255"/>
      <c r="B565" s="55"/>
      <c r="C565" s="55"/>
      <c r="D565" s="55"/>
      <c r="E565" s="55"/>
      <c r="F565" s="55"/>
      <c r="G565" s="55"/>
      <c r="H565" s="55"/>
      <c r="I565" s="55"/>
      <c r="J565" s="55"/>
      <c r="K565" s="55"/>
      <c r="L565" s="55"/>
      <c r="M565" s="55"/>
      <c r="N565" s="55"/>
      <c r="O565" s="55"/>
      <c r="P565" s="55"/>
      <c r="Q565" s="55"/>
      <c r="R565" s="2207"/>
      <c r="S565" s="255"/>
    </row>
    <row r="566" spans="1:19">
      <c r="A566" s="255"/>
      <c r="B566" s="55"/>
      <c r="C566" s="55"/>
      <c r="D566" s="55"/>
      <c r="E566" s="55"/>
      <c r="F566" s="55"/>
      <c r="G566" s="55"/>
      <c r="H566" s="55"/>
      <c r="I566" s="55"/>
      <c r="J566" s="55"/>
      <c r="K566" s="55"/>
      <c r="L566" s="55"/>
      <c r="M566" s="55"/>
      <c r="N566" s="55"/>
      <c r="O566" s="55"/>
      <c r="P566" s="55"/>
      <c r="Q566" s="55"/>
      <c r="R566" s="2207"/>
      <c r="S566" s="255"/>
    </row>
    <row r="567" spans="1:19">
      <c r="A567" s="255"/>
      <c r="B567" s="55"/>
      <c r="C567" s="55"/>
      <c r="D567" s="55"/>
      <c r="E567" s="55"/>
      <c r="F567" s="55"/>
      <c r="G567" s="55"/>
      <c r="H567" s="55"/>
      <c r="I567" s="55"/>
      <c r="J567" s="55"/>
      <c r="K567" s="55"/>
      <c r="L567" s="55"/>
      <c r="M567" s="55"/>
      <c r="N567" s="55"/>
      <c r="O567" s="55"/>
      <c r="P567" s="55"/>
      <c r="Q567" s="55"/>
      <c r="R567" s="2207"/>
      <c r="S567" s="255"/>
    </row>
    <row r="568" spans="1:19">
      <c r="A568" s="255"/>
      <c r="B568" s="55"/>
      <c r="C568" s="55"/>
      <c r="D568" s="55"/>
      <c r="E568" s="55"/>
      <c r="F568" s="55"/>
      <c r="G568" s="55"/>
      <c r="H568" s="55"/>
      <c r="I568" s="55"/>
      <c r="J568" s="55"/>
      <c r="K568" s="55"/>
      <c r="L568" s="55"/>
      <c r="M568" s="55"/>
      <c r="N568" s="55"/>
      <c r="O568" s="55"/>
      <c r="P568" s="55"/>
      <c r="Q568" s="55"/>
      <c r="R568" s="2207"/>
      <c r="S568" s="255"/>
    </row>
    <row r="569" spans="1:19">
      <c r="A569" s="255"/>
      <c r="B569" s="55"/>
      <c r="C569" s="55"/>
      <c r="D569" s="55"/>
      <c r="E569" s="55"/>
      <c r="F569" s="55"/>
      <c r="G569" s="55"/>
      <c r="H569" s="55"/>
      <c r="I569" s="55"/>
      <c r="J569" s="55"/>
      <c r="K569" s="55"/>
      <c r="L569" s="55"/>
      <c r="M569" s="55"/>
      <c r="N569" s="55"/>
      <c r="O569" s="55"/>
      <c r="P569" s="55"/>
      <c r="Q569" s="55"/>
      <c r="R569" s="2207"/>
      <c r="S569" s="255"/>
    </row>
    <row r="570" spans="1:19">
      <c r="A570" s="255"/>
      <c r="B570" s="55"/>
      <c r="C570" s="55"/>
      <c r="D570" s="55"/>
      <c r="E570" s="55"/>
      <c r="F570" s="55"/>
      <c r="G570" s="55"/>
      <c r="H570" s="55"/>
      <c r="I570" s="55"/>
      <c r="J570" s="55"/>
      <c r="K570" s="55"/>
      <c r="L570" s="55"/>
      <c r="M570" s="55"/>
      <c r="N570" s="55"/>
      <c r="O570" s="55"/>
      <c r="P570" s="55"/>
      <c r="Q570" s="55"/>
      <c r="R570" s="2207"/>
      <c r="S570" s="255"/>
    </row>
    <row r="571" spans="1:19">
      <c r="A571" s="255"/>
      <c r="B571" s="55"/>
      <c r="C571" s="55"/>
      <c r="D571" s="55"/>
      <c r="E571" s="55"/>
      <c r="F571" s="55"/>
      <c r="G571" s="55"/>
      <c r="H571" s="55"/>
      <c r="I571" s="55"/>
      <c r="J571" s="55"/>
      <c r="K571" s="55"/>
      <c r="L571" s="55"/>
      <c r="M571" s="55"/>
      <c r="N571" s="55"/>
      <c r="O571" s="55"/>
      <c r="P571" s="55"/>
      <c r="Q571" s="55"/>
      <c r="R571" s="2207"/>
      <c r="S571" s="255"/>
    </row>
    <row r="572" spans="1:19">
      <c r="A572" s="255"/>
      <c r="B572" s="55"/>
      <c r="C572" s="55"/>
      <c r="D572" s="55"/>
      <c r="E572" s="55"/>
      <c r="F572" s="55"/>
      <c r="G572" s="55"/>
      <c r="H572" s="55"/>
      <c r="I572" s="55"/>
      <c r="J572" s="55"/>
      <c r="K572" s="55"/>
      <c r="L572" s="55"/>
      <c r="M572" s="55"/>
      <c r="N572" s="55"/>
      <c r="O572" s="55"/>
      <c r="P572" s="55"/>
      <c r="Q572" s="55"/>
      <c r="R572" s="2207"/>
      <c r="S572" s="255"/>
    </row>
    <row r="573" spans="1:19">
      <c r="A573" s="255"/>
      <c r="B573" s="55"/>
      <c r="C573" s="55"/>
      <c r="D573" s="55"/>
      <c r="E573" s="55"/>
      <c r="F573" s="55"/>
      <c r="G573" s="55"/>
      <c r="H573" s="55"/>
      <c r="I573" s="55"/>
      <c r="J573" s="55"/>
      <c r="K573" s="55"/>
      <c r="L573" s="55"/>
      <c r="M573" s="55"/>
      <c r="N573" s="55"/>
      <c r="O573" s="55"/>
      <c r="P573" s="55"/>
      <c r="Q573" s="55"/>
      <c r="R573" s="2207"/>
      <c r="S573" s="255"/>
    </row>
    <row r="574" spans="1:19">
      <c r="A574" s="255"/>
      <c r="B574" s="55"/>
      <c r="C574" s="55"/>
      <c r="D574" s="55"/>
      <c r="E574" s="55"/>
      <c r="F574" s="55"/>
      <c r="G574" s="55"/>
      <c r="H574" s="55"/>
      <c r="I574" s="55"/>
      <c r="J574" s="55"/>
      <c r="K574" s="55"/>
      <c r="L574" s="55"/>
      <c r="M574" s="55"/>
      <c r="N574" s="55"/>
      <c r="O574" s="55"/>
      <c r="P574" s="55"/>
      <c r="Q574" s="55"/>
      <c r="R574" s="2207"/>
      <c r="S574" s="255"/>
    </row>
    <row r="575" spans="1:19">
      <c r="A575" s="255"/>
      <c r="B575" s="55"/>
      <c r="C575" s="55"/>
      <c r="D575" s="55"/>
      <c r="E575" s="55"/>
      <c r="F575" s="55"/>
      <c r="G575" s="55"/>
      <c r="H575" s="55"/>
      <c r="I575" s="55"/>
      <c r="J575" s="55"/>
      <c r="K575" s="55"/>
      <c r="L575" s="55"/>
      <c r="M575" s="55"/>
      <c r="N575" s="55"/>
      <c r="O575" s="55"/>
      <c r="P575" s="55"/>
      <c r="Q575" s="55"/>
      <c r="R575" s="2207"/>
      <c r="S575" s="255"/>
    </row>
    <row r="576" spans="1:19">
      <c r="A576" s="255"/>
      <c r="B576" s="55"/>
      <c r="C576" s="55"/>
      <c r="D576" s="55"/>
      <c r="E576" s="55"/>
      <c r="F576" s="55"/>
      <c r="G576" s="55"/>
      <c r="H576" s="55"/>
      <c r="I576" s="55"/>
      <c r="J576" s="55"/>
      <c r="K576" s="55"/>
      <c r="L576" s="55"/>
      <c r="M576" s="55"/>
      <c r="N576" s="55"/>
      <c r="O576" s="55"/>
      <c r="P576" s="55"/>
      <c r="Q576" s="55"/>
      <c r="R576" s="2207"/>
      <c r="S576" s="255"/>
    </row>
    <row r="577" spans="1:19">
      <c r="A577" s="255"/>
      <c r="B577" s="55"/>
      <c r="C577" s="55"/>
      <c r="D577" s="55"/>
      <c r="E577" s="55"/>
      <c r="F577" s="55"/>
      <c r="G577" s="55"/>
      <c r="H577" s="55"/>
      <c r="I577" s="55"/>
      <c r="J577" s="55"/>
      <c r="K577" s="55"/>
      <c r="L577" s="55"/>
      <c r="M577" s="55"/>
      <c r="N577" s="55"/>
      <c r="O577" s="55"/>
      <c r="P577" s="55"/>
      <c r="Q577" s="55"/>
      <c r="R577" s="2207"/>
      <c r="S577" s="255"/>
    </row>
    <row r="578" spans="1:19">
      <c r="A578" s="255"/>
      <c r="B578" s="55"/>
      <c r="C578" s="55"/>
      <c r="D578" s="55"/>
      <c r="E578" s="55"/>
      <c r="F578" s="55"/>
      <c r="G578" s="55"/>
      <c r="H578" s="55"/>
      <c r="I578" s="55"/>
      <c r="J578" s="55"/>
      <c r="K578" s="55"/>
      <c r="L578" s="55"/>
      <c r="M578" s="55"/>
      <c r="N578" s="55"/>
      <c r="O578" s="55"/>
      <c r="P578" s="55"/>
      <c r="Q578" s="55"/>
      <c r="R578" s="2207"/>
      <c r="S578" s="255"/>
    </row>
    <row r="579" spans="1:19">
      <c r="A579" s="255"/>
      <c r="B579" s="55"/>
      <c r="C579" s="55"/>
      <c r="D579" s="55"/>
      <c r="E579" s="55"/>
      <c r="F579" s="55"/>
      <c r="G579" s="55"/>
      <c r="H579" s="55"/>
      <c r="I579" s="55"/>
      <c r="J579" s="55"/>
      <c r="K579" s="55"/>
      <c r="L579" s="55"/>
      <c r="M579" s="55"/>
      <c r="N579" s="55"/>
      <c r="O579" s="55"/>
      <c r="P579" s="55"/>
      <c r="Q579" s="55"/>
      <c r="R579" s="2207"/>
      <c r="S579" s="255"/>
    </row>
    <row r="580" spans="1:19">
      <c r="A580" s="255"/>
      <c r="B580" s="55"/>
      <c r="C580" s="55"/>
      <c r="D580" s="55"/>
      <c r="E580" s="55"/>
      <c r="F580" s="55"/>
      <c r="G580" s="55"/>
      <c r="H580" s="55"/>
      <c r="I580" s="55"/>
      <c r="J580" s="55"/>
      <c r="K580" s="55"/>
      <c r="L580" s="55"/>
      <c r="M580" s="55"/>
      <c r="N580" s="55"/>
      <c r="O580" s="55"/>
      <c r="P580" s="55"/>
      <c r="Q580" s="55"/>
      <c r="R580" s="2207"/>
      <c r="S580" s="255"/>
    </row>
    <row r="581" spans="1:19">
      <c r="A581" s="255"/>
      <c r="B581" s="55"/>
      <c r="C581" s="55"/>
      <c r="D581" s="55"/>
      <c r="E581" s="55"/>
      <c r="F581" s="55"/>
      <c r="G581" s="55"/>
      <c r="H581" s="55"/>
      <c r="I581" s="55"/>
      <c r="J581" s="55"/>
      <c r="K581" s="55"/>
      <c r="L581" s="55"/>
      <c r="M581" s="55"/>
      <c r="N581" s="55"/>
      <c r="O581" s="55"/>
      <c r="P581" s="55"/>
      <c r="Q581" s="55"/>
      <c r="R581" s="2207"/>
      <c r="S581" s="255"/>
    </row>
    <row r="582" spans="1:19">
      <c r="A582" s="255"/>
      <c r="B582" s="55"/>
      <c r="C582" s="55"/>
      <c r="D582" s="55"/>
      <c r="E582" s="55"/>
      <c r="F582" s="55"/>
      <c r="G582" s="55"/>
      <c r="H582" s="55"/>
      <c r="I582" s="55"/>
      <c r="J582" s="55"/>
      <c r="K582" s="55"/>
      <c r="L582" s="55"/>
      <c r="M582" s="55"/>
      <c r="N582" s="55"/>
      <c r="O582" s="55"/>
      <c r="P582" s="55"/>
      <c r="Q582" s="55"/>
      <c r="R582" s="2207"/>
      <c r="S582" s="255"/>
    </row>
    <row r="583" spans="1:19">
      <c r="A583" s="255"/>
      <c r="B583" s="55"/>
      <c r="C583" s="55"/>
      <c r="D583" s="55"/>
      <c r="E583" s="55"/>
      <c r="F583" s="55"/>
      <c r="G583" s="55"/>
      <c r="H583" s="55"/>
      <c r="I583" s="55"/>
      <c r="J583" s="55"/>
      <c r="K583" s="55"/>
      <c r="L583" s="55"/>
      <c r="M583" s="55"/>
      <c r="N583" s="55"/>
      <c r="O583" s="55"/>
      <c r="P583" s="55"/>
      <c r="Q583" s="55"/>
      <c r="R583" s="2207"/>
      <c r="S583" s="255"/>
    </row>
    <row r="584" spans="1:19">
      <c r="A584" s="255"/>
      <c r="B584" s="55"/>
      <c r="C584" s="55"/>
      <c r="D584" s="55"/>
      <c r="E584" s="55"/>
      <c r="F584" s="55"/>
      <c r="G584" s="55"/>
      <c r="H584" s="55"/>
      <c r="I584" s="55"/>
      <c r="J584" s="55"/>
      <c r="K584" s="55"/>
      <c r="L584" s="55"/>
      <c r="M584" s="55"/>
      <c r="N584" s="55"/>
      <c r="O584" s="55"/>
      <c r="P584" s="55"/>
      <c r="Q584" s="55"/>
      <c r="R584" s="2207"/>
      <c r="S584" s="255"/>
    </row>
    <row r="585" spans="1:19">
      <c r="A585" s="255"/>
      <c r="B585" s="55"/>
      <c r="C585" s="55"/>
      <c r="D585" s="55"/>
      <c r="E585" s="55"/>
      <c r="F585" s="55"/>
      <c r="G585" s="55"/>
      <c r="H585" s="55"/>
      <c r="I585" s="55"/>
      <c r="J585" s="55"/>
      <c r="K585" s="55"/>
      <c r="L585" s="55"/>
      <c r="M585" s="55"/>
      <c r="N585" s="55"/>
      <c r="O585" s="55"/>
      <c r="P585" s="55"/>
      <c r="Q585" s="55"/>
      <c r="R585" s="2207"/>
      <c r="S585" s="255"/>
    </row>
    <row r="586" spans="1:19">
      <c r="A586" s="255"/>
      <c r="B586" s="55"/>
      <c r="C586" s="55"/>
      <c r="D586" s="55"/>
      <c r="E586" s="55"/>
      <c r="F586" s="55"/>
      <c r="G586" s="55"/>
      <c r="H586" s="55"/>
      <c r="I586" s="55"/>
      <c r="J586" s="55"/>
      <c r="K586" s="55"/>
      <c r="L586" s="55"/>
      <c r="M586" s="55"/>
      <c r="N586" s="55"/>
      <c r="O586" s="55"/>
      <c r="P586" s="55"/>
      <c r="Q586" s="55"/>
      <c r="R586" s="2207"/>
      <c r="S586" s="255"/>
    </row>
    <row r="587" spans="1:19">
      <c r="A587" s="255"/>
      <c r="B587" s="55"/>
      <c r="C587" s="55"/>
      <c r="D587" s="55"/>
      <c r="E587" s="55"/>
      <c r="F587" s="55"/>
      <c r="G587" s="55"/>
      <c r="H587" s="55"/>
      <c r="I587" s="55"/>
      <c r="J587" s="55"/>
      <c r="K587" s="55"/>
      <c r="L587" s="55"/>
      <c r="M587" s="55"/>
      <c r="N587" s="55"/>
      <c r="O587" s="55"/>
      <c r="P587" s="55"/>
      <c r="Q587" s="55"/>
      <c r="R587" s="2207"/>
      <c r="S587" s="255"/>
    </row>
    <row r="588" spans="1:19">
      <c r="A588" s="255"/>
      <c r="B588" s="55"/>
      <c r="C588" s="55"/>
      <c r="D588" s="55"/>
      <c r="E588" s="55"/>
      <c r="F588" s="55"/>
      <c r="G588" s="55"/>
      <c r="H588" s="55"/>
      <c r="I588" s="55"/>
      <c r="J588" s="55"/>
      <c r="K588" s="55"/>
      <c r="L588" s="55"/>
      <c r="M588" s="55"/>
      <c r="N588" s="55"/>
      <c r="O588" s="55"/>
      <c r="P588" s="55"/>
      <c r="Q588" s="55"/>
      <c r="R588" s="2207"/>
      <c r="S588" s="255"/>
    </row>
    <row r="589" spans="1:19">
      <c r="A589" s="255"/>
      <c r="B589" s="55"/>
      <c r="C589" s="55"/>
      <c r="D589" s="55"/>
      <c r="E589" s="55"/>
      <c r="F589" s="55"/>
      <c r="G589" s="55"/>
      <c r="H589" s="55"/>
      <c r="I589" s="55"/>
      <c r="J589" s="55"/>
      <c r="K589" s="55"/>
      <c r="L589" s="55"/>
      <c r="M589" s="55"/>
      <c r="N589" s="55"/>
      <c r="O589" s="55"/>
      <c r="P589" s="55"/>
      <c r="Q589" s="55"/>
      <c r="R589" s="2207"/>
      <c r="S589" s="255"/>
    </row>
    <row r="590" spans="1:19">
      <c r="A590" s="255"/>
      <c r="B590" s="55"/>
      <c r="C590" s="55"/>
      <c r="D590" s="55"/>
      <c r="E590" s="55"/>
      <c r="F590" s="55"/>
      <c r="G590" s="55"/>
      <c r="H590" s="55"/>
      <c r="I590" s="55"/>
      <c r="J590" s="55"/>
      <c r="K590" s="55"/>
      <c r="L590" s="55"/>
      <c r="M590" s="55"/>
      <c r="N590" s="55"/>
      <c r="O590" s="55"/>
      <c r="P590" s="55"/>
      <c r="Q590" s="55"/>
      <c r="R590" s="2207"/>
      <c r="S590" s="255"/>
    </row>
    <row r="591" spans="1:19">
      <c r="A591" s="255"/>
      <c r="B591" s="55"/>
      <c r="C591" s="55"/>
      <c r="D591" s="55"/>
      <c r="E591" s="55"/>
      <c r="F591" s="55"/>
      <c r="G591" s="55"/>
      <c r="H591" s="55"/>
      <c r="I591" s="55"/>
      <c r="J591" s="55"/>
      <c r="K591" s="55"/>
      <c r="L591" s="55"/>
      <c r="M591" s="55"/>
      <c r="N591" s="55"/>
      <c r="O591" s="55"/>
      <c r="P591" s="55"/>
      <c r="Q591" s="55"/>
      <c r="R591" s="2207"/>
      <c r="S591" s="255"/>
    </row>
    <row r="592" spans="1:19">
      <c r="A592" s="255"/>
      <c r="B592" s="55"/>
      <c r="C592" s="55"/>
      <c r="D592" s="55"/>
      <c r="E592" s="55"/>
      <c r="F592" s="55"/>
      <c r="G592" s="55"/>
      <c r="H592" s="55"/>
      <c r="I592" s="55"/>
      <c r="J592" s="55"/>
      <c r="K592" s="55"/>
      <c r="L592" s="55"/>
      <c r="M592" s="55"/>
      <c r="N592" s="55"/>
      <c r="O592" s="55"/>
      <c r="P592" s="55"/>
      <c r="Q592" s="55"/>
      <c r="R592" s="2207"/>
      <c r="S592" s="255"/>
    </row>
    <row r="593" spans="1:19">
      <c r="A593" s="255"/>
      <c r="B593" s="55"/>
      <c r="C593" s="55"/>
      <c r="D593" s="55"/>
      <c r="E593" s="55"/>
      <c r="F593" s="55"/>
      <c r="G593" s="55"/>
      <c r="H593" s="55"/>
      <c r="I593" s="55"/>
      <c r="J593" s="55"/>
      <c r="K593" s="55"/>
      <c r="L593" s="55"/>
      <c r="M593" s="55"/>
      <c r="N593" s="55"/>
      <c r="O593" s="55"/>
      <c r="P593" s="55"/>
      <c r="Q593" s="55"/>
      <c r="R593" s="2207"/>
      <c r="S593" s="255"/>
    </row>
    <row r="594" spans="1:19">
      <c r="A594" s="255"/>
      <c r="B594" s="55"/>
      <c r="C594" s="55"/>
      <c r="D594" s="55"/>
      <c r="E594" s="55"/>
      <c r="F594" s="55"/>
      <c r="G594" s="55"/>
      <c r="H594" s="55"/>
      <c r="I594" s="55"/>
      <c r="J594" s="55"/>
      <c r="K594" s="55"/>
      <c r="L594" s="55"/>
      <c r="M594" s="55"/>
      <c r="N594" s="55"/>
      <c r="O594" s="55"/>
      <c r="P594" s="55"/>
      <c r="Q594" s="55"/>
      <c r="R594" s="2207"/>
      <c r="S594" s="255"/>
    </row>
    <row r="595" spans="1:19">
      <c r="A595" s="255"/>
      <c r="B595" s="55"/>
      <c r="C595" s="55"/>
      <c r="D595" s="55"/>
      <c r="E595" s="55"/>
      <c r="F595" s="55"/>
      <c r="G595" s="55"/>
      <c r="H595" s="55"/>
      <c r="I595" s="55"/>
      <c r="J595" s="55"/>
      <c r="K595" s="55"/>
      <c r="L595" s="55"/>
      <c r="M595" s="55"/>
      <c r="N595" s="55"/>
      <c r="O595" s="55"/>
      <c r="P595" s="55"/>
      <c r="Q595" s="55"/>
      <c r="R595" s="2207"/>
      <c r="S595" s="255"/>
    </row>
    <row r="596" spans="1:19">
      <c r="A596" s="255"/>
      <c r="B596" s="55"/>
      <c r="C596" s="55"/>
      <c r="D596" s="55"/>
      <c r="E596" s="55"/>
      <c r="F596" s="55"/>
      <c r="G596" s="55"/>
      <c r="H596" s="55"/>
      <c r="I596" s="55"/>
      <c r="J596" s="55"/>
      <c r="K596" s="55"/>
      <c r="L596" s="55"/>
      <c r="M596" s="55"/>
      <c r="N596" s="55"/>
      <c r="O596" s="55"/>
      <c r="P596" s="55"/>
      <c r="Q596" s="55"/>
      <c r="R596" s="2207"/>
      <c r="S596" s="255"/>
    </row>
    <row r="597" spans="1:19">
      <c r="A597" s="255"/>
      <c r="B597" s="55"/>
      <c r="C597" s="55"/>
      <c r="D597" s="55"/>
      <c r="E597" s="55"/>
      <c r="F597" s="55"/>
      <c r="G597" s="55"/>
      <c r="H597" s="55"/>
      <c r="I597" s="55"/>
      <c r="J597" s="55"/>
      <c r="K597" s="55"/>
      <c r="L597" s="55"/>
      <c r="M597" s="55"/>
      <c r="N597" s="55"/>
      <c r="O597" s="55"/>
      <c r="P597" s="55"/>
      <c r="Q597" s="55"/>
      <c r="R597" s="2207"/>
      <c r="S597" s="255"/>
    </row>
    <row r="598" spans="1:19">
      <c r="A598" s="255"/>
      <c r="B598" s="55"/>
      <c r="C598" s="55"/>
      <c r="D598" s="55"/>
      <c r="E598" s="55"/>
      <c r="F598" s="55"/>
      <c r="G598" s="55"/>
      <c r="H598" s="55"/>
      <c r="I598" s="55"/>
      <c r="J598" s="55"/>
      <c r="K598" s="55"/>
      <c r="L598" s="55"/>
      <c r="M598" s="55"/>
      <c r="N598" s="55"/>
      <c r="O598" s="55"/>
      <c r="P598" s="55"/>
      <c r="Q598" s="55"/>
      <c r="R598" s="2207"/>
      <c r="S598" s="255"/>
    </row>
    <row r="599" spans="1:19">
      <c r="A599" s="255"/>
      <c r="B599" s="55"/>
      <c r="C599" s="55"/>
      <c r="D599" s="55"/>
      <c r="E599" s="55"/>
      <c r="F599" s="55"/>
      <c r="G599" s="55"/>
      <c r="H599" s="55"/>
      <c r="I599" s="55"/>
      <c r="J599" s="55"/>
      <c r="K599" s="55"/>
      <c r="L599" s="55"/>
      <c r="M599" s="55"/>
      <c r="N599" s="55"/>
      <c r="O599" s="55"/>
      <c r="P599" s="55"/>
      <c r="Q599" s="55"/>
      <c r="R599" s="2207"/>
      <c r="S599" s="255"/>
    </row>
    <row r="600" spans="1:19">
      <c r="A600" s="255"/>
      <c r="B600" s="55"/>
      <c r="C600" s="55"/>
      <c r="D600" s="55"/>
      <c r="E600" s="55"/>
      <c r="F600" s="55"/>
      <c r="G600" s="55"/>
      <c r="H600" s="55"/>
      <c r="I600" s="55"/>
      <c r="J600" s="55"/>
      <c r="K600" s="55"/>
      <c r="L600" s="55"/>
      <c r="M600" s="55"/>
      <c r="N600" s="55"/>
      <c r="O600" s="55"/>
      <c r="P600" s="55"/>
      <c r="Q600" s="55"/>
      <c r="R600" s="2207"/>
      <c r="S600" s="255"/>
    </row>
    <row r="601" spans="1:19">
      <c r="A601" s="255"/>
      <c r="B601" s="55"/>
      <c r="C601" s="55"/>
      <c r="D601" s="55"/>
      <c r="E601" s="55"/>
      <c r="F601" s="55"/>
      <c r="G601" s="55"/>
      <c r="H601" s="55"/>
      <c r="I601" s="55"/>
      <c r="J601" s="55"/>
      <c r="K601" s="55"/>
      <c r="L601" s="55"/>
      <c r="M601" s="55"/>
      <c r="N601" s="55"/>
      <c r="O601" s="55"/>
      <c r="P601" s="55"/>
      <c r="Q601" s="55"/>
      <c r="R601" s="2207"/>
      <c r="S601" s="255"/>
    </row>
    <row r="602" spans="1:19">
      <c r="A602" s="255"/>
      <c r="B602" s="55"/>
      <c r="C602" s="55"/>
      <c r="D602" s="55"/>
      <c r="E602" s="55"/>
      <c r="F602" s="55"/>
      <c r="G602" s="55"/>
      <c r="H602" s="55"/>
      <c r="I602" s="55"/>
      <c r="J602" s="55"/>
      <c r="K602" s="55"/>
      <c r="L602" s="55"/>
      <c r="M602" s="55"/>
      <c r="N602" s="55"/>
      <c r="O602" s="55"/>
      <c r="P602" s="55"/>
      <c r="Q602" s="55"/>
      <c r="R602" s="2207"/>
      <c r="S602" s="255"/>
    </row>
    <row r="603" spans="1:19">
      <c r="A603" s="255"/>
      <c r="B603" s="55"/>
      <c r="C603" s="55"/>
      <c r="D603" s="55"/>
      <c r="E603" s="55"/>
      <c r="F603" s="55"/>
      <c r="G603" s="55"/>
      <c r="H603" s="55"/>
      <c r="I603" s="55"/>
      <c r="J603" s="55"/>
      <c r="K603" s="55"/>
      <c r="L603" s="55"/>
      <c r="M603" s="55"/>
      <c r="N603" s="55"/>
      <c r="O603" s="55"/>
      <c r="P603" s="55"/>
      <c r="Q603" s="55"/>
      <c r="R603" s="2207"/>
      <c r="S603" s="255"/>
    </row>
    <row r="604" spans="1:19">
      <c r="A604" s="255"/>
      <c r="B604" s="55"/>
      <c r="C604" s="55"/>
      <c r="D604" s="55"/>
      <c r="E604" s="55"/>
      <c r="F604" s="55"/>
      <c r="G604" s="55"/>
      <c r="H604" s="55"/>
      <c r="I604" s="55"/>
      <c r="J604" s="55"/>
      <c r="K604" s="55"/>
      <c r="L604" s="55"/>
      <c r="M604" s="55"/>
      <c r="N604" s="55"/>
      <c r="O604" s="55"/>
      <c r="P604" s="55"/>
      <c r="Q604" s="55"/>
      <c r="R604" s="2207"/>
      <c r="S604" s="255"/>
    </row>
    <row r="605" spans="1:19">
      <c r="A605" s="255"/>
      <c r="B605" s="55"/>
      <c r="C605" s="55"/>
      <c r="D605" s="55"/>
      <c r="E605" s="55"/>
      <c r="F605" s="55"/>
      <c r="G605" s="55"/>
      <c r="H605" s="55"/>
      <c r="I605" s="55"/>
      <c r="J605" s="55"/>
      <c r="K605" s="55"/>
      <c r="L605" s="55"/>
      <c r="M605" s="55"/>
      <c r="N605" s="55"/>
      <c r="O605" s="55"/>
      <c r="P605" s="55"/>
      <c r="Q605" s="55"/>
      <c r="R605" s="2207"/>
      <c r="S605" s="255"/>
    </row>
    <row r="606" spans="1:19">
      <c r="A606" s="255"/>
      <c r="B606" s="55"/>
      <c r="C606" s="55"/>
      <c r="D606" s="55"/>
      <c r="E606" s="55"/>
      <c r="F606" s="55"/>
      <c r="G606" s="55"/>
      <c r="H606" s="55"/>
      <c r="I606" s="55"/>
      <c r="J606" s="55"/>
      <c r="K606" s="55"/>
      <c r="L606" s="55"/>
      <c r="M606" s="55"/>
      <c r="N606" s="55"/>
      <c r="O606" s="55"/>
      <c r="P606" s="55"/>
      <c r="Q606" s="55"/>
      <c r="R606" s="2207"/>
      <c r="S606" s="255"/>
    </row>
    <row r="607" spans="1:19">
      <c r="A607" s="255"/>
      <c r="B607" s="55"/>
      <c r="C607" s="55"/>
      <c r="D607" s="55"/>
      <c r="E607" s="55"/>
      <c r="F607" s="55"/>
      <c r="G607" s="55"/>
      <c r="H607" s="55"/>
      <c r="I607" s="55"/>
      <c r="J607" s="55"/>
      <c r="K607" s="55"/>
      <c r="L607" s="55"/>
      <c r="M607" s="55"/>
      <c r="N607" s="55"/>
      <c r="O607" s="55"/>
      <c r="P607" s="55"/>
      <c r="Q607" s="55"/>
      <c r="R607" s="2207"/>
      <c r="S607" s="255"/>
    </row>
    <row r="608" spans="1:19">
      <c r="A608" s="255"/>
      <c r="B608" s="55"/>
      <c r="C608" s="55"/>
      <c r="D608" s="55"/>
      <c r="E608" s="55"/>
      <c r="F608" s="55"/>
      <c r="G608" s="55"/>
      <c r="H608" s="55"/>
      <c r="I608" s="55"/>
      <c r="J608" s="55"/>
      <c r="K608" s="55"/>
      <c r="L608" s="55"/>
      <c r="M608" s="55"/>
      <c r="N608" s="55"/>
      <c r="O608" s="55"/>
      <c r="P608" s="55"/>
      <c r="Q608" s="55"/>
      <c r="R608" s="2207"/>
      <c r="S608" s="255"/>
    </row>
    <row r="609" spans="1:19">
      <c r="A609" s="255"/>
      <c r="B609" s="55"/>
      <c r="C609" s="55"/>
      <c r="D609" s="55"/>
      <c r="E609" s="55"/>
      <c r="F609" s="55"/>
      <c r="G609" s="55"/>
      <c r="H609" s="55"/>
      <c r="I609" s="55"/>
      <c r="J609" s="55"/>
      <c r="K609" s="55"/>
      <c r="L609" s="55"/>
      <c r="M609" s="55"/>
      <c r="N609" s="55"/>
      <c r="O609" s="55"/>
      <c r="P609" s="55"/>
      <c r="Q609" s="55"/>
      <c r="R609" s="2207"/>
      <c r="S609" s="255"/>
    </row>
    <row r="610" spans="1:19">
      <c r="A610" s="255"/>
      <c r="B610" s="55"/>
      <c r="C610" s="55"/>
      <c r="D610" s="55"/>
      <c r="E610" s="55"/>
      <c r="F610" s="55"/>
      <c r="G610" s="55"/>
      <c r="H610" s="55"/>
      <c r="I610" s="55"/>
      <c r="J610" s="55"/>
      <c r="K610" s="55"/>
      <c r="L610" s="55"/>
      <c r="M610" s="55"/>
      <c r="N610" s="55"/>
      <c r="O610" s="55"/>
      <c r="P610" s="55"/>
      <c r="Q610" s="55"/>
      <c r="R610" s="2207"/>
      <c r="S610" s="255"/>
    </row>
    <row r="611" spans="1:19">
      <c r="A611" s="255"/>
      <c r="B611" s="55"/>
      <c r="C611" s="55"/>
      <c r="D611" s="55"/>
      <c r="E611" s="55"/>
      <c r="F611" s="55"/>
      <c r="G611" s="55"/>
      <c r="H611" s="55"/>
      <c r="I611" s="55"/>
      <c r="J611" s="55"/>
      <c r="K611" s="55"/>
      <c r="L611" s="55"/>
      <c r="M611" s="55"/>
      <c r="N611" s="55"/>
      <c r="O611" s="55"/>
      <c r="P611" s="55"/>
      <c r="Q611" s="55"/>
      <c r="R611" s="2207"/>
      <c r="S611" s="255"/>
    </row>
    <row r="612" spans="1:19">
      <c r="A612" s="255"/>
      <c r="B612" s="55"/>
      <c r="C612" s="55"/>
      <c r="D612" s="55"/>
      <c r="E612" s="55"/>
      <c r="F612" s="55"/>
      <c r="G612" s="55"/>
      <c r="H612" s="55"/>
      <c r="I612" s="55"/>
      <c r="J612" s="55"/>
      <c r="K612" s="55"/>
      <c r="L612" s="55"/>
      <c r="M612" s="55"/>
      <c r="N612" s="55"/>
      <c r="O612" s="55"/>
      <c r="P612" s="55"/>
      <c r="Q612" s="55"/>
      <c r="R612" s="2207"/>
      <c r="S612" s="255"/>
    </row>
    <row r="613" spans="1:19">
      <c r="A613" s="255"/>
      <c r="B613" s="55"/>
      <c r="C613" s="55"/>
      <c r="D613" s="55"/>
      <c r="E613" s="55"/>
      <c r="F613" s="55"/>
      <c r="G613" s="55"/>
      <c r="H613" s="55"/>
      <c r="I613" s="55"/>
      <c r="J613" s="55"/>
      <c r="K613" s="55"/>
      <c r="L613" s="55"/>
      <c r="M613" s="55"/>
      <c r="N613" s="55"/>
      <c r="O613" s="55"/>
      <c r="P613" s="55"/>
      <c r="Q613" s="55"/>
      <c r="R613" s="2207"/>
      <c r="S613" s="255"/>
    </row>
    <row r="614" spans="1:19">
      <c r="A614" s="255"/>
      <c r="B614" s="55"/>
      <c r="C614" s="55"/>
      <c r="D614" s="55"/>
      <c r="E614" s="55"/>
      <c r="F614" s="55"/>
      <c r="G614" s="55"/>
      <c r="H614" s="55"/>
      <c r="I614" s="55"/>
      <c r="J614" s="55"/>
      <c r="K614" s="55"/>
      <c r="L614" s="55"/>
      <c r="M614" s="55"/>
      <c r="N614" s="55"/>
      <c r="O614" s="55"/>
      <c r="P614" s="55"/>
      <c r="Q614" s="55"/>
      <c r="R614" s="2207"/>
      <c r="S614" s="255"/>
    </row>
    <row r="615" spans="1:19">
      <c r="A615" s="255"/>
      <c r="B615" s="55"/>
      <c r="C615" s="55"/>
      <c r="D615" s="55"/>
      <c r="E615" s="55"/>
      <c r="F615" s="55"/>
      <c r="G615" s="55"/>
      <c r="H615" s="55"/>
      <c r="I615" s="55"/>
      <c r="J615" s="55"/>
      <c r="K615" s="55"/>
      <c r="L615" s="55"/>
      <c r="M615" s="55"/>
      <c r="N615" s="55"/>
      <c r="O615" s="55"/>
      <c r="P615" s="55"/>
      <c r="Q615" s="55"/>
      <c r="R615" s="2207"/>
      <c r="S615" s="255"/>
    </row>
    <row r="616" spans="1:19">
      <c r="A616" s="255"/>
      <c r="B616" s="55"/>
      <c r="C616" s="55"/>
      <c r="D616" s="55"/>
      <c r="E616" s="55"/>
      <c r="F616" s="55"/>
      <c r="G616" s="55"/>
      <c r="H616" s="55"/>
      <c r="I616" s="55"/>
      <c r="J616" s="55"/>
      <c r="K616" s="55"/>
      <c r="L616" s="55"/>
      <c r="M616" s="55"/>
      <c r="N616" s="55"/>
      <c r="O616" s="55"/>
      <c r="P616" s="55"/>
      <c r="Q616" s="55"/>
      <c r="R616" s="2207"/>
      <c r="S616" s="255"/>
    </row>
    <row r="617" spans="1:19">
      <c r="A617" s="255"/>
      <c r="B617" s="55"/>
      <c r="C617" s="55"/>
      <c r="D617" s="55"/>
      <c r="E617" s="55"/>
      <c r="F617" s="55"/>
      <c r="G617" s="55"/>
      <c r="H617" s="55"/>
      <c r="I617" s="55"/>
      <c r="J617" s="55"/>
      <c r="K617" s="55"/>
      <c r="L617" s="55"/>
      <c r="M617" s="55"/>
      <c r="N617" s="55"/>
      <c r="O617" s="55"/>
      <c r="P617" s="55"/>
      <c r="Q617" s="55"/>
      <c r="R617" s="2207"/>
      <c r="S617" s="255"/>
    </row>
    <row r="618" spans="1:19">
      <c r="A618" s="255"/>
      <c r="B618" s="55"/>
      <c r="C618" s="55"/>
      <c r="D618" s="55"/>
      <c r="E618" s="55"/>
      <c r="F618" s="55"/>
      <c r="G618" s="55"/>
      <c r="H618" s="55"/>
      <c r="I618" s="55"/>
      <c r="J618" s="55"/>
      <c r="K618" s="55"/>
      <c r="L618" s="55"/>
      <c r="M618" s="55"/>
      <c r="N618" s="55"/>
      <c r="O618" s="55"/>
      <c r="P618" s="55"/>
      <c r="Q618" s="55"/>
      <c r="R618" s="2207"/>
      <c r="S618" s="255"/>
    </row>
    <row r="619" spans="1:19">
      <c r="A619" s="255"/>
      <c r="B619" s="55"/>
      <c r="C619" s="55"/>
      <c r="D619" s="55"/>
      <c r="E619" s="55"/>
      <c r="F619" s="55"/>
      <c r="G619" s="55"/>
      <c r="H619" s="55"/>
      <c r="I619" s="55"/>
      <c r="J619" s="55"/>
      <c r="K619" s="55"/>
      <c r="L619" s="55"/>
      <c r="M619" s="55"/>
      <c r="N619" s="55"/>
      <c r="O619" s="55"/>
      <c r="P619" s="55"/>
      <c r="Q619" s="55"/>
      <c r="R619" s="2207"/>
      <c r="S619" s="255"/>
    </row>
    <row r="620" spans="1:19">
      <c r="A620" s="255"/>
      <c r="B620" s="55"/>
      <c r="C620" s="55"/>
      <c r="D620" s="55"/>
      <c r="E620" s="55"/>
      <c r="F620" s="55"/>
      <c r="G620" s="55"/>
      <c r="H620" s="55"/>
      <c r="I620" s="55"/>
      <c r="J620" s="55"/>
      <c r="K620" s="55"/>
      <c r="L620" s="55"/>
      <c r="M620" s="55"/>
      <c r="N620" s="55"/>
      <c r="O620" s="55"/>
      <c r="P620" s="55"/>
      <c r="Q620" s="55"/>
      <c r="R620" s="2207"/>
      <c r="S620" s="255"/>
    </row>
    <row r="621" spans="1:19">
      <c r="A621" s="255"/>
      <c r="B621" s="55"/>
      <c r="C621" s="55"/>
      <c r="D621" s="55"/>
      <c r="E621" s="55"/>
      <c r="F621" s="55"/>
      <c r="G621" s="55"/>
      <c r="H621" s="55"/>
      <c r="I621" s="55"/>
      <c r="J621" s="55"/>
      <c r="K621" s="55"/>
      <c r="L621" s="55"/>
      <c r="M621" s="55"/>
      <c r="N621" s="55"/>
      <c r="O621" s="55"/>
      <c r="P621" s="55"/>
      <c r="Q621" s="55"/>
      <c r="R621" s="2207"/>
      <c r="S621" s="255"/>
    </row>
    <row r="622" spans="1:19">
      <c r="A622" s="255"/>
      <c r="B622" s="55"/>
      <c r="C622" s="55"/>
      <c r="D622" s="55"/>
      <c r="E622" s="55"/>
      <c r="F622" s="55"/>
      <c r="G622" s="55"/>
      <c r="H622" s="55"/>
      <c r="I622" s="55"/>
      <c r="J622" s="55"/>
      <c r="K622" s="55"/>
      <c r="L622" s="55"/>
      <c r="M622" s="55"/>
      <c r="N622" s="55"/>
      <c r="O622" s="55"/>
      <c r="P622" s="55"/>
      <c r="Q622" s="55"/>
      <c r="R622" s="2207"/>
      <c r="S622" s="255"/>
    </row>
    <row r="623" spans="1:19">
      <c r="A623" s="255"/>
      <c r="B623" s="55"/>
      <c r="C623" s="55"/>
      <c r="D623" s="55"/>
      <c r="E623" s="55"/>
      <c r="F623" s="55"/>
      <c r="G623" s="55"/>
      <c r="H623" s="55"/>
      <c r="I623" s="55"/>
      <c r="J623" s="55"/>
      <c r="K623" s="55"/>
      <c r="L623" s="55"/>
      <c r="M623" s="55"/>
      <c r="N623" s="55"/>
      <c r="O623" s="55"/>
      <c r="P623" s="55"/>
      <c r="Q623" s="55"/>
      <c r="R623" s="2207"/>
      <c r="S623" s="255"/>
    </row>
    <row r="624" spans="1:19">
      <c r="A624" s="255"/>
      <c r="B624" s="55"/>
      <c r="C624" s="55"/>
      <c r="D624" s="55"/>
      <c r="E624" s="55"/>
      <c r="F624" s="55"/>
      <c r="G624" s="55"/>
      <c r="H624" s="55"/>
      <c r="I624" s="55"/>
      <c r="J624" s="55"/>
      <c r="K624" s="55"/>
      <c r="L624" s="55"/>
      <c r="M624" s="55"/>
      <c r="N624" s="55"/>
      <c r="O624" s="55"/>
      <c r="P624" s="55"/>
      <c r="Q624" s="55"/>
      <c r="R624" s="2207"/>
      <c r="S624" s="255"/>
    </row>
    <row r="625" spans="1:19">
      <c r="A625" s="255"/>
      <c r="B625" s="55"/>
      <c r="C625" s="55"/>
      <c r="D625" s="55"/>
      <c r="E625" s="55"/>
      <c r="F625" s="55"/>
      <c r="G625" s="55"/>
      <c r="H625" s="55"/>
      <c r="I625" s="55"/>
      <c r="J625" s="55"/>
      <c r="K625" s="55"/>
      <c r="L625" s="55"/>
      <c r="M625" s="55"/>
      <c r="N625" s="55"/>
      <c r="O625" s="55"/>
      <c r="P625" s="55"/>
      <c r="Q625" s="55"/>
      <c r="R625" s="2207"/>
      <c r="S625" s="255"/>
    </row>
    <row r="626" spans="1:19">
      <c r="A626" s="255"/>
      <c r="B626" s="55"/>
      <c r="C626" s="55"/>
      <c r="D626" s="55"/>
      <c r="E626" s="55"/>
      <c r="F626" s="55"/>
      <c r="G626" s="55"/>
      <c r="H626" s="55"/>
      <c r="I626" s="55"/>
      <c r="J626" s="55"/>
      <c r="K626" s="55"/>
      <c r="L626" s="55"/>
      <c r="M626" s="55"/>
      <c r="N626" s="55"/>
      <c r="O626" s="55"/>
      <c r="P626" s="55"/>
      <c r="Q626" s="55"/>
      <c r="R626" s="2207"/>
      <c r="S626" s="255"/>
    </row>
    <row r="627" spans="1:19">
      <c r="A627" s="255"/>
      <c r="B627" s="55"/>
      <c r="C627" s="55"/>
      <c r="D627" s="55"/>
      <c r="E627" s="55"/>
      <c r="F627" s="55"/>
      <c r="G627" s="55"/>
      <c r="H627" s="55"/>
      <c r="I627" s="55"/>
      <c r="J627" s="55"/>
      <c r="K627" s="55"/>
      <c r="L627" s="55"/>
      <c r="M627" s="55"/>
      <c r="N627" s="55"/>
      <c r="O627" s="55"/>
      <c r="P627" s="55"/>
      <c r="Q627" s="55"/>
      <c r="R627" s="2207"/>
      <c r="S627" s="255"/>
    </row>
    <row r="628" spans="1:19">
      <c r="A628" s="255"/>
      <c r="B628" s="55"/>
      <c r="C628" s="55"/>
      <c r="D628" s="55"/>
      <c r="E628" s="55"/>
      <c r="F628" s="55"/>
      <c r="G628" s="55"/>
      <c r="H628" s="55"/>
      <c r="I628" s="55"/>
      <c r="J628" s="55"/>
      <c r="K628" s="55"/>
      <c r="L628" s="55"/>
      <c r="M628" s="55"/>
      <c r="N628" s="55"/>
      <c r="O628" s="55"/>
      <c r="P628" s="55"/>
      <c r="Q628" s="55"/>
      <c r="R628" s="2207"/>
      <c r="S628" s="255"/>
    </row>
    <row r="629" spans="1:19">
      <c r="A629" s="255"/>
      <c r="B629" s="55"/>
      <c r="C629" s="55"/>
      <c r="D629" s="55"/>
      <c r="E629" s="55"/>
      <c r="F629" s="55"/>
      <c r="G629" s="55"/>
      <c r="H629" s="55"/>
      <c r="I629" s="55"/>
      <c r="J629" s="55"/>
      <c r="K629" s="55"/>
      <c r="L629" s="55"/>
      <c r="M629" s="55"/>
      <c r="N629" s="55"/>
      <c r="O629" s="55"/>
      <c r="P629" s="55"/>
      <c r="Q629" s="55"/>
      <c r="R629" s="2207"/>
      <c r="S629" s="255"/>
    </row>
    <row r="630" spans="1:19">
      <c r="A630" s="255"/>
      <c r="B630" s="55"/>
      <c r="C630" s="55"/>
      <c r="D630" s="55"/>
      <c r="E630" s="55"/>
      <c r="F630" s="55"/>
      <c r="G630" s="55"/>
      <c r="H630" s="55"/>
      <c r="I630" s="55"/>
      <c r="J630" s="55"/>
      <c r="K630" s="55"/>
      <c r="L630" s="55"/>
      <c r="M630" s="55"/>
      <c r="N630" s="55"/>
      <c r="O630" s="55"/>
      <c r="P630" s="55"/>
      <c r="Q630" s="55"/>
      <c r="R630" s="2207"/>
      <c r="S630" s="255"/>
    </row>
    <row r="631" spans="1:19">
      <c r="A631" s="255"/>
      <c r="B631" s="55"/>
      <c r="C631" s="55"/>
      <c r="D631" s="55"/>
      <c r="E631" s="55"/>
      <c r="F631" s="55"/>
      <c r="G631" s="55"/>
      <c r="H631" s="55"/>
      <c r="I631" s="55"/>
      <c r="J631" s="55"/>
      <c r="K631" s="55"/>
      <c r="L631" s="55"/>
      <c r="M631" s="55"/>
      <c r="N631" s="55"/>
      <c r="O631" s="55"/>
      <c r="P631" s="55"/>
      <c r="Q631" s="55"/>
      <c r="R631" s="2207"/>
      <c r="S631" s="255"/>
    </row>
    <row r="632" spans="1:19">
      <c r="A632" s="255"/>
      <c r="B632" s="55"/>
      <c r="C632" s="55"/>
      <c r="D632" s="55"/>
      <c r="E632" s="55"/>
      <c r="F632" s="55"/>
      <c r="G632" s="55"/>
      <c r="H632" s="55"/>
      <c r="I632" s="55"/>
      <c r="J632" s="55"/>
      <c r="K632" s="55"/>
      <c r="L632" s="55"/>
      <c r="M632" s="55"/>
      <c r="N632" s="55"/>
      <c r="O632" s="55"/>
      <c r="P632" s="55"/>
      <c r="Q632" s="55"/>
      <c r="R632" s="2207"/>
      <c r="S632" s="255"/>
    </row>
    <row r="633" spans="1:19">
      <c r="A633" s="255"/>
      <c r="B633" s="55"/>
      <c r="C633" s="55"/>
      <c r="D633" s="55"/>
      <c r="E633" s="55"/>
      <c r="F633" s="55"/>
      <c r="G633" s="55"/>
      <c r="H633" s="55"/>
      <c r="I633" s="55"/>
      <c r="J633" s="55"/>
      <c r="K633" s="55"/>
      <c r="L633" s="55"/>
      <c r="M633" s="55"/>
      <c r="N633" s="55"/>
      <c r="O633" s="55"/>
      <c r="P633" s="55"/>
      <c r="Q633" s="55"/>
      <c r="R633" s="2207"/>
      <c r="S633" s="255"/>
    </row>
    <row r="634" spans="1:19">
      <c r="A634" s="255"/>
      <c r="B634" s="55"/>
      <c r="C634" s="55"/>
      <c r="D634" s="55"/>
      <c r="E634" s="55"/>
      <c r="F634" s="55"/>
      <c r="G634" s="55"/>
      <c r="H634" s="55"/>
      <c r="I634" s="55"/>
      <c r="J634" s="55"/>
      <c r="K634" s="55"/>
      <c r="L634" s="55"/>
      <c r="M634" s="55"/>
      <c r="N634" s="55"/>
      <c r="O634" s="55"/>
      <c r="P634" s="55"/>
      <c r="Q634" s="55"/>
      <c r="R634" s="2207"/>
      <c r="S634" s="255"/>
    </row>
    <row r="635" spans="1:19">
      <c r="A635" s="255"/>
      <c r="B635" s="55"/>
      <c r="C635" s="55"/>
      <c r="D635" s="55"/>
      <c r="E635" s="55"/>
      <c r="F635" s="55"/>
      <c r="G635" s="55"/>
      <c r="H635" s="55"/>
      <c r="I635" s="55"/>
      <c r="J635" s="55"/>
      <c r="K635" s="55"/>
      <c r="L635" s="55"/>
      <c r="M635" s="55"/>
      <c r="N635" s="55"/>
      <c r="O635" s="55"/>
      <c r="P635" s="55"/>
      <c r="Q635" s="55"/>
      <c r="R635" s="2207"/>
      <c r="S635" s="255"/>
    </row>
    <row r="636" spans="1:19">
      <c r="A636" s="255"/>
      <c r="B636" s="55"/>
      <c r="C636" s="55"/>
      <c r="D636" s="55"/>
      <c r="E636" s="55"/>
      <c r="F636" s="55"/>
      <c r="G636" s="55"/>
      <c r="H636" s="55"/>
      <c r="I636" s="55"/>
      <c r="J636" s="55"/>
      <c r="K636" s="55"/>
      <c r="L636" s="55"/>
      <c r="M636" s="55"/>
      <c r="N636" s="55"/>
      <c r="O636" s="55"/>
      <c r="P636" s="55"/>
      <c r="Q636" s="55"/>
      <c r="R636" s="2207"/>
      <c r="S636" s="255"/>
    </row>
    <row r="637" spans="1:19">
      <c r="A637" s="255"/>
      <c r="B637" s="55"/>
      <c r="C637" s="55"/>
      <c r="D637" s="55"/>
      <c r="E637" s="55"/>
      <c r="F637" s="55"/>
      <c r="G637" s="55"/>
      <c r="H637" s="55"/>
      <c r="I637" s="55"/>
      <c r="J637" s="55"/>
      <c r="K637" s="55"/>
      <c r="L637" s="55"/>
      <c r="M637" s="55"/>
      <c r="N637" s="55"/>
      <c r="O637" s="55"/>
      <c r="P637" s="55"/>
      <c r="Q637" s="55"/>
      <c r="R637" s="2207"/>
      <c r="S637" s="255"/>
    </row>
    <row r="638" spans="1:19">
      <c r="A638" s="255"/>
      <c r="B638" s="55"/>
      <c r="C638" s="55"/>
      <c r="D638" s="55"/>
      <c r="E638" s="55"/>
      <c r="F638" s="55"/>
      <c r="G638" s="55"/>
      <c r="H638" s="55"/>
      <c r="I638" s="55"/>
      <c r="J638" s="55"/>
      <c r="K638" s="55"/>
      <c r="L638" s="55"/>
      <c r="M638" s="55"/>
      <c r="N638" s="55"/>
      <c r="O638" s="55"/>
      <c r="P638" s="55"/>
      <c r="Q638" s="55"/>
      <c r="R638" s="2207"/>
      <c r="S638" s="255"/>
    </row>
    <row r="639" spans="1:19">
      <c r="A639" s="255"/>
      <c r="B639" s="55"/>
      <c r="C639" s="55"/>
      <c r="D639" s="55"/>
      <c r="E639" s="55"/>
      <c r="F639" s="55"/>
      <c r="G639" s="55"/>
      <c r="H639" s="55"/>
      <c r="I639" s="55"/>
      <c r="J639" s="55"/>
      <c r="K639" s="55"/>
      <c r="L639" s="55"/>
      <c r="M639" s="55"/>
      <c r="N639" s="55"/>
      <c r="O639" s="55"/>
      <c r="P639" s="55"/>
      <c r="Q639" s="55"/>
      <c r="R639" s="2207"/>
      <c r="S639" s="255"/>
    </row>
    <row r="640" spans="1:19">
      <c r="A640" s="255"/>
      <c r="B640" s="55"/>
      <c r="C640" s="55"/>
      <c r="D640" s="55"/>
      <c r="E640" s="55"/>
      <c r="F640" s="55"/>
      <c r="G640" s="55"/>
      <c r="H640" s="55"/>
      <c r="I640" s="55"/>
      <c r="J640" s="55"/>
      <c r="K640" s="55"/>
      <c r="L640" s="55"/>
      <c r="M640" s="55"/>
      <c r="N640" s="55"/>
      <c r="O640" s="55"/>
      <c r="P640" s="55"/>
      <c r="Q640" s="55"/>
      <c r="R640" s="2207"/>
      <c r="S640" s="255"/>
    </row>
    <row r="641" spans="1:19">
      <c r="A641" s="255"/>
      <c r="B641" s="55"/>
      <c r="C641" s="55"/>
      <c r="D641" s="55"/>
      <c r="E641" s="55"/>
      <c r="F641" s="55"/>
      <c r="G641" s="55"/>
      <c r="H641" s="55"/>
      <c r="I641" s="55"/>
      <c r="J641" s="55"/>
      <c r="K641" s="55"/>
      <c r="L641" s="55"/>
      <c r="M641" s="55"/>
      <c r="N641" s="55"/>
      <c r="O641" s="55"/>
      <c r="P641" s="55"/>
      <c r="Q641" s="55"/>
      <c r="R641" s="2207"/>
      <c r="S641" s="255"/>
    </row>
    <row r="642" spans="1:19">
      <c r="A642" s="255"/>
      <c r="B642" s="55"/>
      <c r="C642" s="55"/>
      <c r="D642" s="55"/>
      <c r="E642" s="55"/>
      <c r="F642" s="55"/>
      <c r="G642" s="55"/>
      <c r="H642" s="55"/>
      <c r="I642" s="55"/>
      <c r="J642" s="55"/>
      <c r="K642" s="55"/>
      <c r="L642" s="55"/>
      <c r="M642" s="55"/>
      <c r="N642" s="55"/>
      <c r="O642" s="55"/>
      <c r="P642" s="55"/>
      <c r="Q642" s="55"/>
      <c r="R642" s="2207"/>
      <c r="S642" s="255"/>
    </row>
    <row r="643" spans="1:19">
      <c r="A643" s="255"/>
      <c r="B643" s="55"/>
      <c r="C643" s="55"/>
      <c r="D643" s="55"/>
      <c r="E643" s="55"/>
      <c r="F643" s="55"/>
      <c r="G643" s="55"/>
      <c r="H643" s="55"/>
      <c r="I643" s="55"/>
      <c r="J643" s="55"/>
      <c r="K643" s="55"/>
      <c r="L643" s="55"/>
      <c r="M643" s="55"/>
      <c r="N643" s="55"/>
      <c r="O643" s="55"/>
      <c r="P643" s="55"/>
      <c r="Q643" s="55"/>
      <c r="R643" s="2207"/>
      <c r="S643" s="255"/>
    </row>
    <row r="644" spans="1:19">
      <c r="A644" s="255"/>
      <c r="B644" s="55"/>
      <c r="C644" s="55"/>
      <c r="D644" s="55"/>
      <c r="E644" s="55"/>
      <c r="F644" s="55"/>
      <c r="G644" s="55"/>
      <c r="H644" s="55"/>
      <c r="I644" s="55"/>
      <c r="J644" s="55"/>
      <c r="K644" s="55"/>
      <c r="L644" s="55"/>
      <c r="M644" s="55"/>
      <c r="N644" s="55"/>
      <c r="O644" s="55"/>
      <c r="P644" s="55"/>
      <c r="Q644" s="55"/>
      <c r="R644" s="2207"/>
      <c r="S644" s="255"/>
    </row>
    <row r="645" spans="1:19">
      <c r="A645" s="255"/>
      <c r="B645" s="55"/>
      <c r="C645" s="55"/>
      <c r="D645" s="55"/>
      <c r="E645" s="55"/>
      <c r="F645" s="55"/>
      <c r="G645" s="55"/>
      <c r="H645" s="55"/>
      <c r="I645" s="55"/>
      <c r="J645" s="55"/>
      <c r="K645" s="55"/>
      <c r="L645" s="55"/>
      <c r="M645" s="55"/>
      <c r="N645" s="55"/>
      <c r="O645" s="55"/>
      <c r="P645" s="55"/>
      <c r="Q645" s="55"/>
      <c r="R645" s="2207"/>
      <c r="S645" s="255"/>
    </row>
    <row r="646" spans="1:19">
      <c r="A646" s="255"/>
      <c r="B646" s="55"/>
      <c r="C646" s="55"/>
      <c r="D646" s="55"/>
      <c r="E646" s="55"/>
      <c r="F646" s="55"/>
      <c r="G646" s="55"/>
      <c r="H646" s="55"/>
      <c r="I646" s="55"/>
      <c r="J646" s="55"/>
      <c r="K646" s="55"/>
      <c r="L646" s="55"/>
      <c r="M646" s="55"/>
      <c r="N646" s="55"/>
      <c r="O646" s="55"/>
      <c r="P646" s="55"/>
      <c r="Q646" s="55"/>
      <c r="R646" s="2207"/>
      <c r="S646" s="255"/>
    </row>
    <row r="647" spans="1:19">
      <c r="A647" s="255"/>
      <c r="B647" s="55"/>
      <c r="C647" s="55"/>
      <c r="D647" s="55"/>
      <c r="E647" s="55"/>
      <c r="F647" s="55"/>
      <c r="G647" s="55"/>
      <c r="H647" s="55"/>
      <c r="I647" s="55"/>
      <c r="J647" s="55"/>
      <c r="K647" s="55"/>
      <c r="L647" s="55"/>
      <c r="M647" s="55"/>
      <c r="N647" s="55"/>
      <c r="O647" s="55"/>
      <c r="P647" s="55"/>
      <c r="Q647" s="55"/>
      <c r="R647" s="2207"/>
      <c r="S647" s="255"/>
    </row>
    <row r="648" spans="1:19">
      <c r="A648" s="255"/>
      <c r="B648" s="55"/>
      <c r="C648" s="55"/>
      <c r="D648" s="55"/>
      <c r="E648" s="55"/>
      <c r="F648" s="55"/>
      <c r="G648" s="55"/>
      <c r="H648" s="55"/>
      <c r="I648" s="55"/>
      <c r="J648" s="55"/>
      <c r="K648" s="55"/>
      <c r="L648" s="55"/>
      <c r="M648" s="55"/>
      <c r="N648" s="55"/>
      <c r="O648" s="55"/>
      <c r="P648" s="55"/>
      <c r="Q648" s="55"/>
      <c r="R648" s="2207"/>
      <c r="S648" s="255"/>
    </row>
    <row r="649" spans="1:19">
      <c r="A649" s="255"/>
      <c r="B649" s="55"/>
      <c r="C649" s="55"/>
      <c r="D649" s="55"/>
      <c r="E649" s="55"/>
      <c r="F649" s="55"/>
      <c r="G649" s="55"/>
      <c r="H649" s="55"/>
      <c r="I649" s="55"/>
      <c r="J649" s="55"/>
      <c r="K649" s="55"/>
      <c r="L649" s="55"/>
      <c r="M649" s="55"/>
      <c r="N649" s="55"/>
      <c r="O649" s="55"/>
      <c r="P649" s="55"/>
      <c r="Q649" s="55"/>
      <c r="R649" s="2207"/>
      <c r="S649" s="255"/>
    </row>
    <row r="650" spans="1:19">
      <c r="A650" s="255"/>
      <c r="B650" s="55"/>
      <c r="C650" s="55"/>
      <c r="D650" s="55"/>
      <c r="E650" s="55"/>
      <c r="F650" s="55"/>
      <c r="G650" s="55"/>
      <c r="H650" s="55"/>
      <c r="I650" s="55"/>
      <c r="J650" s="55"/>
      <c r="K650" s="55"/>
      <c r="L650" s="55"/>
      <c r="M650" s="55"/>
      <c r="N650" s="55"/>
      <c r="O650" s="55"/>
      <c r="P650" s="55"/>
      <c r="Q650" s="55"/>
      <c r="R650" s="2207"/>
      <c r="S650" s="255"/>
    </row>
    <row r="651" spans="1:19">
      <c r="A651" s="255"/>
      <c r="B651" s="55"/>
      <c r="C651" s="55"/>
      <c r="D651" s="55"/>
      <c r="E651" s="55"/>
      <c r="F651" s="55"/>
      <c r="G651" s="55"/>
      <c r="H651" s="55"/>
      <c r="I651" s="55"/>
      <c r="J651" s="55"/>
      <c r="K651" s="55"/>
      <c r="L651" s="55"/>
      <c r="M651" s="55"/>
      <c r="N651" s="55"/>
      <c r="O651" s="55"/>
      <c r="P651" s="55"/>
      <c r="Q651" s="55"/>
      <c r="R651" s="2207"/>
      <c r="S651" s="255"/>
    </row>
    <row r="652" spans="1:19">
      <c r="A652" s="255"/>
      <c r="B652" s="55"/>
      <c r="C652" s="55"/>
      <c r="D652" s="55"/>
      <c r="E652" s="55"/>
      <c r="F652" s="55"/>
      <c r="G652" s="55"/>
      <c r="H652" s="55"/>
      <c r="I652" s="55"/>
      <c r="J652" s="55"/>
      <c r="K652" s="55"/>
      <c r="L652" s="55"/>
      <c r="M652" s="55"/>
      <c r="N652" s="55"/>
      <c r="O652" s="55"/>
      <c r="P652" s="55"/>
      <c r="Q652" s="55"/>
      <c r="R652" s="2207"/>
      <c r="S652" s="255"/>
    </row>
    <row r="653" spans="1:19">
      <c r="A653" s="255"/>
      <c r="B653" s="55"/>
      <c r="C653" s="55"/>
      <c r="D653" s="55"/>
      <c r="E653" s="55"/>
      <c r="F653" s="55"/>
      <c r="G653" s="55"/>
      <c r="H653" s="55"/>
      <c r="I653" s="55"/>
      <c r="J653" s="55"/>
      <c r="K653" s="55"/>
      <c r="L653" s="55"/>
      <c r="M653" s="55"/>
      <c r="N653" s="55"/>
      <c r="O653" s="55"/>
      <c r="P653" s="55"/>
      <c r="Q653" s="55"/>
      <c r="R653" s="2207"/>
      <c r="S653" s="255"/>
    </row>
    <row r="654" spans="1:19">
      <c r="A654" s="255"/>
      <c r="B654" s="55"/>
      <c r="C654" s="55"/>
      <c r="D654" s="55"/>
      <c r="E654" s="55"/>
      <c r="F654" s="55"/>
      <c r="G654" s="55"/>
      <c r="H654" s="55"/>
      <c r="I654" s="55"/>
      <c r="J654" s="55"/>
      <c r="K654" s="55"/>
      <c r="L654" s="55"/>
      <c r="M654" s="55"/>
      <c r="N654" s="55"/>
      <c r="O654" s="55"/>
      <c r="P654" s="55"/>
      <c r="Q654" s="55"/>
      <c r="R654" s="2207"/>
      <c r="S654" s="255"/>
    </row>
    <row r="655" spans="1:19">
      <c r="A655" s="255"/>
      <c r="B655" s="55"/>
      <c r="C655" s="55"/>
      <c r="D655" s="55"/>
      <c r="E655" s="55"/>
      <c r="F655" s="55"/>
      <c r="G655" s="55"/>
      <c r="H655" s="55"/>
      <c r="I655" s="55"/>
      <c r="J655" s="55"/>
      <c r="K655" s="55"/>
      <c r="L655" s="55"/>
      <c r="M655" s="55"/>
      <c r="N655" s="55"/>
      <c r="O655" s="55"/>
      <c r="P655" s="55"/>
      <c r="Q655" s="55"/>
      <c r="R655" s="2207"/>
      <c r="S655" s="255"/>
    </row>
    <row r="656" spans="1:19">
      <c r="A656" s="255"/>
      <c r="B656" s="55"/>
      <c r="C656" s="55"/>
      <c r="D656" s="55"/>
      <c r="E656" s="55"/>
      <c r="F656" s="55"/>
      <c r="G656" s="55"/>
      <c r="H656" s="55"/>
      <c r="I656" s="55"/>
      <c r="J656" s="55"/>
      <c r="K656" s="55"/>
      <c r="L656" s="55"/>
      <c r="M656" s="55"/>
      <c r="N656" s="55"/>
      <c r="O656" s="55"/>
      <c r="P656" s="55"/>
      <c r="Q656" s="55"/>
      <c r="R656" s="2207"/>
      <c r="S656" s="255"/>
    </row>
    <row r="657" spans="1:19">
      <c r="A657" s="255"/>
      <c r="B657" s="55"/>
      <c r="C657" s="55"/>
      <c r="D657" s="55"/>
      <c r="E657" s="55"/>
      <c r="F657" s="55"/>
      <c r="G657" s="55"/>
      <c r="H657" s="55"/>
      <c r="I657" s="55"/>
      <c r="J657" s="55"/>
      <c r="K657" s="55"/>
      <c r="L657" s="55"/>
      <c r="M657" s="55"/>
      <c r="N657" s="55"/>
      <c r="O657" s="55"/>
      <c r="P657" s="55"/>
      <c r="Q657" s="55"/>
      <c r="R657" s="2207"/>
      <c r="S657" s="255"/>
    </row>
    <row r="658" spans="1:19">
      <c r="A658" s="255"/>
      <c r="B658" s="55"/>
      <c r="C658" s="55"/>
      <c r="D658" s="55"/>
      <c r="E658" s="55"/>
      <c r="F658" s="55"/>
      <c r="G658" s="55"/>
      <c r="H658" s="55"/>
      <c r="I658" s="55"/>
      <c r="J658" s="55"/>
      <c r="K658" s="55"/>
      <c r="L658" s="55"/>
      <c r="M658" s="55"/>
      <c r="N658" s="55"/>
      <c r="O658" s="55"/>
      <c r="P658" s="55"/>
      <c r="Q658" s="55"/>
      <c r="R658" s="2207"/>
      <c r="S658" s="255"/>
    </row>
    <row r="659" spans="1:19">
      <c r="A659" s="255"/>
      <c r="B659" s="55"/>
      <c r="C659" s="55"/>
      <c r="D659" s="55"/>
      <c r="E659" s="55"/>
      <c r="F659" s="55"/>
      <c r="G659" s="55"/>
      <c r="H659" s="55"/>
      <c r="I659" s="55"/>
      <c r="J659" s="55"/>
      <c r="K659" s="55"/>
      <c r="L659" s="55"/>
      <c r="M659" s="55"/>
      <c r="N659" s="55"/>
      <c r="O659" s="55"/>
      <c r="P659" s="55"/>
      <c r="Q659" s="55"/>
      <c r="R659" s="2207"/>
      <c r="S659" s="255"/>
    </row>
    <row r="660" spans="1:19">
      <c r="A660" s="255"/>
      <c r="B660" s="55"/>
      <c r="C660" s="55"/>
      <c r="D660" s="55"/>
      <c r="E660" s="55"/>
      <c r="F660" s="55"/>
      <c r="G660" s="55"/>
      <c r="H660" s="55"/>
      <c r="I660" s="55"/>
      <c r="J660" s="55"/>
      <c r="K660" s="55"/>
      <c r="L660" s="55"/>
      <c r="M660" s="55"/>
      <c r="N660" s="55"/>
      <c r="O660" s="55"/>
      <c r="P660" s="55"/>
      <c r="Q660" s="55"/>
      <c r="R660" s="2207"/>
      <c r="S660" s="255"/>
    </row>
    <row r="661" spans="1:19">
      <c r="A661" s="255"/>
      <c r="B661" s="55"/>
      <c r="C661" s="55"/>
      <c r="D661" s="55"/>
      <c r="E661" s="55"/>
      <c r="F661" s="55"/>
      <c r="G661" s="55"/>
      <c r="H661" s="55"/>
      <c r="I661" s="55"/>
      <c r="J661" s="55"/>
      <c r="K661" s="55"/>
      <c r="L661" s="55"/>
      <c r="M661" s="55"/>
      <c r="N661" s="55"/>
      <c r="O661" s="55"/>
      <c r="P661" s="55"/>
      <c r="Q661" s="55"/>
      <c r="R661" s="2207"/>
      <c r="S661" s="255"/>
    </row>
    <row r="662" spans="1:19">
      <c r="A662" s="255"/>
      <c r="B662" s="55"/>
      <c r="C662" s="55"/>
      <c r="D662" s="55"/>
      <c r="E662" s="55"/>
      <c r="F662" s="55"/>
      <c r="G662" s="55"/>
      <c r="H662" s="55"/>
      <c r="I662" s="55"/>
      <c r="J662" s="55"/>
      <c r="K662" s="55"/>
      <c r="L662" s="55"/>
      <c r="M662" s="55"/>
      <c r="N662" s="55"/>
      <c r="O662" s="55"/>
      <c r="P662" s="55"/>
      <c r="Q662" s="55"/>
      <c r="R662" s="2207"/>
      <c r="S662" s="255"/>
    </row>
    <row r="663" spans="1:19">
      <c r="A663" s="255"/>
      <c r="B663" s="55"/>
      <c r="C663" s="55"/>
      <c r="D663" s="55"/>
      <c r="E663" s="55"/>
      <c r="F663" s="55"/>
      <c r="G663" s="55"/>
      <c r="H663" s="55"/>
      <c r="I663" s="55"/>
      <c r="J663" s="55"/>
      <c r="K663" s="55"/>
      <c r="L663" s="55"/>
      <c r="M663" s="55"/>
      <c r="N663" s="55"/>
      <c r="O663" s="55"/>
      <c r="P663" s="55"/>
      <c r="Q663" s="55"/>
      <c r="R663" s="2207"/>
      <c r="S663" s="255"/>
    </row>
    <row r="664" spans="1:19">
      <c r="A664" s="255"/>
      <c r="B664" s="55"/>
      <c r="C664" s="55"/>
      <c r="D664" s="55"/>
      <c r="E664" s="55"/>
      <c r="F664" s="55"/>
      <c r="G664" s="55"/>
      <c r="H664" s="55"/>
      <c r="I664" s="55"/>
      <c r="J664" s="55"/>
      <c r="K664" s="55"/>
      <c r="L664" s="55"/>
      <c r="M664" s="55"/>
      <c r="N664" s="55"/>
      <c r="O664" s="55"/>
      <c r="P664" s="55"/>
      <c r="Q664" s="55"/>
      <c r="R664" s="2207"/>
      <c r="S664" s="255"/>
    </row>
    <row r="665" spans="1:19">
      <c r="A665" s="255"/>
      <c r="B665" s="55"/>
      <c r="C665" s="55"/>
      <c r="D665" s="55"/>
      <c r="E665" s="55"/>
      <c r="F665" s="55"/>
      <c r="G665" s="55"/>
      <c r="H665" s="55"/>
      <c r="I665" s="55"/>
      <c r="J665" s="55"/>
      <c r="K665" s="55"/>
      <c r="L665" s="55"/>
      <c r="M665" s="55"/>
      <c r="N665" s="55"/>
      <c r="O665" s="55"/>
      <c r="P665" s="55"/>
      <c r="Q665" s="55"/>
      <c r="R665" s="2207"/>
      <c r="S665" s="255"/>
    </row>
    <row r="666" spans="1:19">
      <c r="A666" s="255"/>
      <c r="B666" s="55"/>
      <c r="C666" s="55"/>
      <c r="D666" s="55"/>
      <c r="E666" s="55"/>
      <c r="F666" s="55"/>
      <c r="G666" s="55"/>
      <c r="H666" s="55"/>
      <c r="I666" s="55"/>
      <c r="J666" s="55"/>
      <c r="K666" s="55"/>
      <c r="L666" s="55"/>
      <c r="M666" s="55"/>
      <c r="N666" s="55"/>
      <c r="O666" s="55"/>
      <c r="P666" s="55"/>
      <c r="Q666" s="55"/>
      <c r="R666" s="2207"/>
      <c r="S666" s="255"/>
    </row>
    <row r="667" spans="1:19">
      <c r="A667" s="255"/>
      <c r="B667" s="55"/>
      <c r="C667" s="55"/>
      <c r="D667" s="55"/>
      <c r="E667" s="55"/>
      <c r="F667" s="55"/>
      <c r="G667" s="55"/>
      <c r="H667" s="55"/>
      <c r="I667" s="55"/>
      <c r="J667" s="55"/>
      <c r="K667" s="55"/>
      <c r="L667" s="55"/>
      <c r="M667" s="55"/>
      <c r="N667" s="55"/>
      <c r="O667" s="55"/>
      <c r="P667" s="55"/>
      <c r="Q667" s="55"/>
      <c r="R667" s="2207"/>
      <c r="S667" s="255"/>
    </row>
    <row r="668" spans="1:19">
      <c r="A668" s="255"/>
      <c r="B668" s="55"/>
      <c r="C668" s="55"/>
      <c r="D668" s="55"/>
      <c r="E668" s="55"/>
      <c r="F668" s="55"/>
      <c r="G668" s="55"/>
      <c r="H668" s="55"/>
      <c r="I668" s="55"/>
      <c r="J668" s="55"/>
      <c r="K668" s="55"/>
      <c r="L668" s="55"/>
      <c r="M668" s="55"/>
      <c r="N668" s="55"/>
      <c r="O668" s="55"/>
      <c r="P668" s="55"/>
      <c r="Q668" s="55"/>
      <c r="R668" s="2207"/>
      <c r="S668" s="255"/>
    </row>
    <row r="669" spans="1:19">
      <c r="A669" s="255"/>
      <c r="B669" s="55"/>
      <c r="C669" s="55"/>
      <c r="D669" s="55"/>
      <c r="E669" s="55"/>
      <c r="F669" s="55"/>
      <c r="G669" s="55"/>
      <c r="H669" s="55"/>
      <c r="I669" s="55"/>
      <c r="J669" s="55"/>
      <c r="K669" s="55"/>
      <c r="L669" s="55"/>
      <c r="M669" s="55"/>
      <c r="N669" s="55"/>
      <c r="O669" s="55"/>
      <c r="P669" s="55"/>
      <c r="Q669" s="55"/>
      <c r="R669" s="2207"/>
      <c r="S669" s="255"/>
    </row>
    <row r="670" spans="1:19">
      <c r="A670" s="255"/>
      <c r="B670" s="55"/>
      <c r="C670" s="55"/>
      <c r="D670" s="55"/>
      <c r="E670" s="55"/>
      <c r="F670" s="55"/>
      <c r="G670" s="55"/>
      <c r="H670" s="55"/>
      <c r="I670" s="55"/>
      <c r="J670" s="55"/>
      <c r="K670" s="55"/>
      <c r="L670" s="55"/>
      <c r="M670" s="55"/>
      <c r="N670" s="55"/>
      <c r="O670" s="55"/>
      <c r="P670" s="55"/>
      <c r="Q670" s="55"/>
      <c r="R670" s="2207"/>
      <c r="S670" s="255"/>
    </row>
    <row r="671" spans="1:19">
      <c r="A671" s="255"/>
      <c r="B671" s="55"/>
      <c r="C671" s="55"/>
      <c r="D671" s="55"/>
      <c r="E671" s="55"/>
      <c r="F671" s="55"/>
      <c r="G671" s="55"/>
      <c r="H671" s="55"/>
      <c r="I671" s="55"/>
      <c r="J671" s="55"/>
      <c r="K671" s="55"/>
      <c r="L671" s="55"/>
      <c r="M671" s="55"/>
      <c r="N671" s="55"/>
      <c r="O671" s="55"/>
      <c r="P671" s="55"/>
      <c r="Q671" s="55"/>
      <c r="R671" s="2207"/>
      <c r="S671" s="255"/>
    </row>
    <row r="672" spans="1:19">
      <c r="A672" s="255"/>
      <c r="B672" s="55"/>
      <c r="C672" s="55"/>
      <c r="D672" s="55"/>
      <c r="E672" s="55"/>
      <c r="F672" s="55"/>
      <c r="G672" s="55"/>
      <c r="H672" s="55"/>
      <c r="I672" s="55"/>
      <c r="J672" s="55"/>
      <c r="K672" s="55"/>
      <c r="L672" s="55"/>
      <c r="M672" s="55"/>
      <c r="N672" s="55"/>
      <c r="O672" s="55"/>
      <c r="P672" s="55"/>
      <c r="Q672" s="55"/>
      <c r="R672" s="2207"/>
      <c r="S672" s="255"/>
    </row>
    <row r="673" spans="1:19">
      <c r="A673" s="255"/>
      <c r="B673" s="55"/>
      <c r="C673" s="55"/>
      <c r="D673" s="55"/>
      <c r="E673" s="55"/>
      <c r="F673" s="55"/>
      <c r="G673" s="55"/>
      <c r="H673" s="55"/>
      <c r="I673" s="55"/>
      <c r="J673" s="55"/>
      <c r="K673" s="55"/>
      <c r="L673" s="55"/>
      <c r="M673" s="55"/>
      <c r="N673" s="55"/>
      <c r="O673" s="55"/>
      <c r="P673" s="55"/>
      <c r="Q673" s="55"/>
      <c r="R673" s="2207"/>
      <c r="S673" s="255"/>
    </row>
    <row r="674" spans="1:19">
      <c r="A674" s="255"/>
      <c r="B674" s="55"/>
      <c r="C674" s="55"/>
      <c r="D674" s="55"/>
      <c r="E674" s="55"/>
      <c r="F674" s="55"/>
      <c r="G674" s="55"/>
      <c r="H674" s="55"/>
      <c r="I674" s="55"/>
      <c r="J674" s="55"/>
      <c r="K674" s="55"/>
      <c r="L674" s="55"/>
      <c r="M674" s="55"/>
      <c r="N674" s="55"/>
      <c r="O674" s="55"/>
      <c r="P674" s="55"/>
      <c r="Q674" s="55"/>
      <c r="R674" s="2207"/>
      <c r="S674" s="255"/>
    </row>
    <row r="675" spans="1:19">
      <c r="A675" s="255"/>
      <c r="B675" s="55"/>
      <c r="C675" s="55"/>
      <c r="D675" s="55"/>
      <c r="E675" s="55"/>
      <c r="F675" s="55"/>
      <c r="G675" s="55"/>
      <c r="H675" s="55"/>
      <c r="I675" s="55"/>
      <c r="J675" s="55"/>
      <c r="K675" s="55"/>
      <c r="L675" s="55"/>
      <c r="M675" s="55"/>
      <c r="N675" s="55"/>
      <c r="O675" s="55"/>
      <c r="P675" s="55"/>
      <c r="Q675" s="55"/>
      <c r="R675" s="2207"/>
      <c r="S675" s="255"/>
    </row>
    <row r="676" spans="1:19">
      <c r="A676" s="255"/>
      <c r="B676" s="55"/>
      <c r="C676" s="55"/>
      <c r="D676" s="55"/>
      <c r="E676" s="55"/>
      <c r="F676" s="55"/>
      <c r="G676" s="55"/>
      <c r="H676" s="55"/>
      <c r="I676" s="55"/>
      <c r="J676" s="55"/>
      <c r="K676" s="55"/>
      <c r="L676" s="55"/>
      <c r="M676" s="55"/>
      <c r="N676" s="55"/>
      <c r="O676" s="55"/>
      <c r="P676" s="55"/>
      <c r="Q676" s="55"/>
      <c r="R676" s="2207"/>
      <c r="S676" s="255"/>
    </row>
    <row r="677" spans="1:19">
      <c r="A677" s="255"/>
      <c r="B677" s="55"/>
      <c r="C677" s="55"/>
      <c r="D677" s="55"/>
      <c r="E677" s="55"/>
      <c r="F677" s="55"/>
      <c r="G677" s="55"/>
      <c r="H677" s="55"/>
      <c r="I677" s="55"/>
      <c r="J677" s="55"/>
      <c r="K677" s="55"/>
      <c r="L677" s="55"/>
      <c r="M677" s="55"/>
      <c r="N677" s="55"/>
      <c r="O677" s="55"/>
      <c r="P677" s="55"/>
      <c r="Q677" s="55"/>
      <c r="R677" s="2207"/>
      <c r="S677" s="255"/>
    </row>
    <row r="678" spans="1:19">
      <c r="A678" s="255"/>
      <c r="B678" s="55"/>
      <c r="C678" s="55"/>
      <c r="D678" s="55"/>
      <c r="E678" s="55"/>
      <c r="F678" s="55"/>
      <c r="G678" s="55"/>
      <c r="H678" s="55"/>
      <c r="I678" s="55"/>
      <c r="J678" s="55"/>
      <c r="K678" s="55"/>
      <c r="L678" s="55"/>
      <c r="M678" s="55"/>
      <c r="N678" s="55"/>
      <c r="O678" s="55"/>
      <c r="P678" s="55"/>
      <c r="Q678" s="55"/>
      <c r="R678" s="2207"/>
      <c r="S678" s="255"/>
    </row>
    <row r="679" spans="1:19">
      <c r="A679" s="255"/>
      <c r="B679" s="55"/>
      <c r="C679" s="55"/>
      <c r="D679" s="55"/>
      <c r="E679" s="55"/>
      <c r="F679" s="55"/>
      <c r="G679" s="55"/>
      <c r="H679" s="55"/>
      <c r="I679" s="55"/>
      <c r="J679" s="55"/>
      <c r="K679" s="55"/>
      <c r="L679" s="55"/>
      <c r="M679" s="55"/>
      <c r="N679" s="55"/>
      <c r="O679" s="55"/>
      <c r="P679" s="55"/>
      <c r="Q679" s="55"/>
      <c r="R679" s="2207"/>
      <c r="S679" s="255"/>
    </row>
    <row r="680" spans="1:19">
      <c r="A680" s="255"/>
      <c r="B680" s="55"/>
      <c r="C680" s="55"/>
      <c r="D680" s="55"/>
      <c r="E680" s="55"/>
      <c r="F680" s="55"/>
      <c r="G680" s="55"/>
      <c r="H680" s="55"/>
      <c r="I680" s="55"/>
      <c r="J680" s="55"/>
      <c r="K680" s="55"/>
      <c r="L680" s="55"/>
      <c r="M680" s="55"/>
      <c r="N680" s="55"/>
      <c r="O680" s="55"/>
      <c r="P680" s="55"/>
      <c r="Q680" s="55"/>
      <c r="R680" s="2207"/>
      <c r="S680" s="255"/>
    </row>
    <row r="681" spans="1:19">
      <c r="A681" s="255"/>
      <c r="B681" s="55"/>
      <c r="C681" s="55"/>
      <c r="D681" s="55"/>
      <c r="E681" s="55"/>
      <c r="F681" s="55"/>
      <c r="G681" s="55"/>
      <c r="H681" s="55"/>
      <c r="I681" s="55"/>
      <c r="J681" s="55"/>
      <c r="K681" s="55"/>
      <c r="L681" s="55"/>
      <c r="M681" s="55"/>
      <c r="N681" s="55"/>
      <c r="O681" s="55"/>
      <c r="P681" s="55"/>
      <c r="Q681" s="55"/>
      <c r="R681" s="2207"/>
      <c r="S681" s="255"/>
    </row>
    <row r="682" spans="1:19">
      <c r="A682" s="255"/>
      <c r="B682" s="55"/>
      <c r="C682" s="55"/>
      <c r="D682" s="55"/>
      <c r="E682" s="55"/>
      <c r="F682" s="55"/>
      <c r="G682" s="55"/>
      <c r="H682" s="55"/>
      <c r="I682" s="55"/>
      <c r="J682" s="55"/>
      <c r="K682" s="55"/>
      <c r="L682" s="55"/>
      <c r="M682" s="55"/>
      <c r="N682" s="55"/>
      <c r="O682" s="55"/>
      <c r="P682" s="55"/>
      <c r="Q682" s="55"/>
      <c r="R682" s="220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2782</v>
      </c>
      <c r="C1" s="2955">
        <f>项目基本情况!D3</f>
        <v>43764</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2813</v>
      </c>
      <c r="C2" s="2956">
        <f>'数据-取费表'!B22</f>
        <v>2</v>
      </c>
      <c r="D2" s="2951" t="s">
        <v>2783</v>
      </c>
      <c r="E2" s="2954">
        <f ca="1">INDIRECT("I"&amp;$I$1)/100</f>
        <v>4.7500000000000001E-2</v>
      </c>
      <c r="G2" s="2891"/>
      <c r="H2" s="2891"/>
      <c r="I2" s="2891" t="s">
        <v>2784</v>
      </c>
      <c r="K2" s="2891"/>
      <c r="L2" s="2891"/>
      <c r="M2" s="2891"/>
      <c r="N2" s="2891" t="s">
        <v>2785</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2815</v>
      </c>
      <c r="C3" s="2953">
        <f>'数据-取费表'!B19</f>
        <v>0</v>
      </c>
      <c r="D3" s="2951" t="s">
        <v>2783</v>
      </c>
      <c r="E3" s="2954">
        <f ca="1">INDIRECT("J"&amp;$J$1)/100</f>
        <v>0</v>
      </c>
      <c r="G3" s="2893" t="s">
        <v>2786</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2814</v>
      </c>
      <c r="C4" s="2954">
        <f ca="1">N4/100</f>
        <v>1.4999999999999999E-2</v>
      </c>
      <c r="G4" s="2899" t="s">
        <v>2787</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2788</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2789</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2790</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2791</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2792</v>
      </c>
      <c r="C10" s="2918"/>
      <c r="D10" s="2918"/>
      <c r="E10" s="2918"/>
      <c r="F10" s="2918"/>
      <c r="G10" s="2918"/>
      <c r="H10" s="2918"/>
      <c r="I10" s="2892"/>
      <c r="J10" s="2892"/>
      <c r="K10" s="2918"/>
      <c r="L10" s="2919" t="s">
        <v>2793</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2794</v>
      </c>
      <c r="C11" s="2923" t="s">
        <v>2795</v>
      </c>
      <c r="D11" s="2924" t="s">
        <v>2796</v>
      </c>
      <c r="E11" s="2925"/>
      <c r="F11" s="2924" t="s">
        <v>2797</v>
      </c>
      <c r="G11" s="2926"/>
      <c r="H11" s="2925"/>
      <c r="I11" s="2924" t="s">
        <v>2798</v>
      </c>
      <c r="J11" s="2925"/>
      <c r="K11" s="2921"/>
      <c r="L11" s="2922" t="s">
        <v>2794</v>
      </c>
      <c r="M11" s="2923" t="s">
        <v>2795</v>
      </c>
      <c r="N11" s="2922" t="s">
        <v>2799</v>
      </c>
      <c r="O11" s="2924" t="s">
        <v>2800</v>
      </c>
      <c r="P11" s="2926"/>
      <c r="Q11" s="2926"/>
      <c r="R11" s="2926"/>
      <c r="S11" s="2926"/>
      <c r="T11" s="2925"/>
      <c r="U11" s="2924" t="s">
        <v>2801</v>
      </c>
      <c r="V11" s="2926"/>
      <c r="W11" s="2925"/>
      <c r="X11" s="2922" t="s">
        <v>2802</v>
      </c>
      <c r="Y11" s="2922" t="s">
        <v>2803</v>
      </c>
      <c r="Z11" s="2922" t="s">
        <v>2804</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2805</v>
      </c>
      <c r="E12" s="2931" t="s">
        <v>2806</v>
      </c>
      <c r="F12" s="2931" t="s">
        <v>2807</v>
      </c>
      <c r="G12" s="2931" t="s">
        <v>2808</v>
      </c>
      <c r="H12" s="2931" t="s">
        <v>2790</v>
      </c>
      <c r="I12" s="2932" t="s">
        <v>2809</v>
      </c>
      <c r="J12" s="2932" t="s">
        <v>2809</v>
      </c>
      <c r="K12" s="2928"/>
      <c r="L12" s="2929"/>
      <c r="M12" s="2930"/>
      <c r="N12" s="2929"/>
      <c r="O12" s="2932" t="s">
        <v>2810</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2811</v>
      </c>
      <c r="C13" s="2936">
        <v>42301</v>
      </c>
      <c r="D13" s="2937">
        <v>4.3499999999999996</v>
      </c>
      <c r="E13" s="2937">
        <v>4.3499999999999996</v>
      </c>
      <c r="F13" s="2937">
        <v>4.75</v>
      </c>
      <c r="G13" s="2937">
        <v>4.75</v>
      </c>
      <c r="H13" s="2937">
        <v>4.9000000000000004</v>
      </c>
      <c r="I13" s="2937">
        <v>2.75</v>
      </c>
      <c r="J13" s="2937">
        <v>3.25</v>
      </c>
      <c r="K13" s="2934"/>
      <c r="L13" s="2935" t="s">
        <v>2811</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2812</v>
      </c>
      <c r="Y42" s="2941" t="s">
        <v>2812</v>
      </c>
      <c r="Z42" s="2941" t="s">
        <v>2812</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2812</v>
      </c>
      <c r="Y43" s="2941" t="s">
        <v>2812</v>
      </c>
      <c r="Z43" s="2941" t="s">
        <v>2812</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2812</v>
      </c>
      <c r="Y44" s="2941" t="s">
        <v>2812</v>
      </c>
      <c r="Z44" s="2941" t="s">
        <v>2812</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2812</v>
      </c>
      <c r="Y45" s="2941" t="s">
        <v>2812</v>
      </c>
      <c r="Z45" s="2941" t="s">
        <v>2812</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2812</v>
      </c>
      <c r="Y46" s="2941" t="s">
        <v>2812</v>
      </c>
      <c r="Z46" s="2941" t="s">
        <v>2812</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2812</v>
      </c>
      <c r="Y47" s="2941" t="s">
        <v>2812</v>
      </c>
      <c r="Z47" s="2941" t="s">
        <v>2812</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2812</v>
      </c>
      <c r="Y48" s="2941" t="s">
        <v>2812</v>
      </c>
      <c r="Z48" s="2941" t="s">
        <v>2812</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2812</v>
      </c>
      <c r="Y49" s="2941" t="s">
        <v>2812</v>
      </c>
      <c r="Z49" s="2941" t="s">
        <v>2812</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2812</v>
      </c>
      <c r="Y50" s="2941" t="s">
        <v>2812</v>
      </c>
      <c r="Z50" s="2941" t="s">
        <v>2812</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2812</v>
      </c>
      <c r="V51" s="2941" t="s">
        <v>2812</v>
      </c>
      <c r="W51" s="2941" t="s">
        <v>2812</v>
      </c>
      <c r="X51" s="2941" t="s">
        <v>2812</v>
      </c>
      <c r="Y51" s="2941" t="s">
        <v>2812</v>
      </c>
      <c r="Z51" s="2941" t="s">
        <v>2812</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2812</v>
      </c>
      <c r="J55" s="2941" t="s">
        <v>2812</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6" t="s">
        <v>2035</v>
      </c>
      <c r="B1" s="3596"/>
      <c r="C1" s="3596"/>
      <c r="D1" s="3596"/>
      <c r="E1" s="3596"/>
      <c r="F1" s="3596"/>
      <c r="G1" s="3596"/>
      <c r="H1" s="3596"/>
      <c r="I1" s="3596"/>
      <c r="J1" s="3596"/>
      <c r="K1" s="3596"/>
      <c r="L1" s="3596"/>
      <c r="M1" s="3596"/>
      <c r="N1" s="3596"/>
      <c r="O1" s="3596"/>
      <c r="P1" s="3596"/>
      <c r="Q1" s="3596"/>
      <c r="R1" s="3596"/>
    </row>
    <row r="2" spans="1:18">
      <c r="A2" s="1789" t="s">
        <v>2037</v>
      </c>
      <c r="B2" s="1789"/>
      <c r="C2" s="1789"/>
      <c r="D2" s="1789"/>
      <c r="E2" s="1789"/>
      <c r="F2" s="1789"/>
      <c r="G2" s="1789"/>
      <c r="H2" s="1789"/>
      <c r="I2" s="1790"/>
      <c r="J2" s="1790"/>
      <c r="K2" s="1791" t="str">
        <f>"估价期日："&amp;TEXT(项目基本情况!D3,"yyyy年m月d日;;")</f>
        <v>估价期日：2019年10月26日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597" t="s">
        <v>2026</v>
      </c>
      <c r="B3" s="3597" t="s">
        <v>2725</v>
      </c>
      <c r="C3" s="3598" t="s">
        <v>2027</v>
      </c>
      <c r="D3" s="3597" t="s">
        <v>2729</v>
      </c>
      <c r="E3" s="3592" t="s">
        <v>2028</v>
      </c>
      <c r="F3" s="3592"/>
      <c r="G3" s="3592"/>
      <c r="H3" s="3592" t="s">
        <v>2029</v>
      </c>
      <c r="I3" s="3592"/>
      <c r="J3" s="3592"/>
      <c r="K3" s="3598" t="s">
        <v>2030</v>
      </c>
      <c r="L3" s="3598" t="s">
        <v>2031</v>
      </c>
      <c r="M3" s="3597" t="s">
        <v>2726</v>
      </c>
      <c r="N3" s="3599" t="str">
        <f>"（分摊）"&amp;项目基本情况!B16&amp;"国有建设用地使用权面积/㎡"</f>
        <v>（分摊）出让国有建设用地使用权面积/㎡</v>
      </c>
      <c r="O3" s="3597" t="s">
        <v>2060</v>
      </c>
      <c r="P3" s="3598" t="s">
        <v>2040</v>
      </c>
      <c r="Q3" s="3598" t="s">
        <v>2061</v>
      </c>
      <c r="R3" s="3598" t="s">
        <v>2032</v>
      </c>
    </row>
    <row r="4" spans="1:18" ht="36.75" customHeight="1">
      <c r="A4" s="3597"/>
      <c r="B4" s="3597"/>
      <c r="C4" s="3598"/>
      <c r="D4" s="3597"/>
      <c r="E4" s="2609" t="s">
        <v>2039</v>
      </c>
      <c r="F4" s="2609" t="s">
        <v>2738</v>
      </c>
      <c r="G4" s="2609" t="s">
        <v>2033</v>
      </c>
      <c r="H4" s="2609" t="s">
        <v>2034</v>
      </c>
      <c r="I4" s="2609" t="s">
        <v>2739</v>
      </c>
      <c r="J4" s="2609" t="s">
        <v>2033</v>
      </c>
      <c r="K4" s="3598"/>
      <c r="L4" s="3598"/>
      <c r="M4" s="3597"/>
      <c r="N4" s="3599"/>
      <c r="O4" s="3597"/>
      <c r="P4" s="3598"/>
      <c r="Q4" s="3598"/>
      <c r="R4" s="3598"/>
    </row>
    <row r="5" spans="1:18" ht="135" customHeight="1">
      <c r="A5" s="1924" t="s">
        <v>2649</v>
      </c>
      <c r="B5" s="2818" t="s">
        <v>2647</v>
      </c>
      <c r="C5" s="2608">
        <v>22</v>
      </c>
      <c r="D5" s="2607" t="s">
        <v>2648</v>
      </c>
      <c r="E5" s="1792">
        <f>项目基本情况!B12</f>
        <v>0</v>
      </c>
      <c r="F5" s="2607">
        <v>258</v>
      </c>
      <c r="G5" s="1792">
        <f>项目基本情况!B13</f>
        <v>0</v>
      </c>
      <c r="H5" s="2607">
        <v>1.5</v>
      </c>
      <c r="I5" s="2607">
        <v>1.5</v>
      </c>
      <c r="J5" s="2607">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29475.73</v>
      </c>
      <c r="O5" s="1792">
        <f>项目基本情况!C21</f>
        <v>49030.880000000005</v>
      </c>
      <c r="P5" s="1792">
        <f ca="1">结果表!E42</f>
        <v>16015</v>
      </c>
      <c r="Q5" s="1792">
        <f ca="1">结果表!D42</f>
        <v>9627</v>
      </c>
      <c r="R5" s="1793">
        <f ca="1">结果表!C42</f>
        <v>47204</v>
      </c>
    </row>
    <row r="6" spans="1:18">
      <c r="A6" s="3593" t="str">
        <f>IF(项目基本情况!B9="市场价格","——","抵押价格")</f>
        <v>抵押价格</v>
      </c>
      <c r="B6" s="3594"/>
      <c r="C6" s="3594"/>
      <c r="D6" s="3594"/>
      <c r="E6" s="3594"/>
      <c r="F6" s="3594"/>
      <c r="G6" s="3594"/>
      <c r="H6" s="3594"/>
      <c r="I6" s="3594"/>
      <c r="J6" s="3594"/>
      <c r="K6" s="3594"/>
      <c r="L6" s="3594"/>
      <c r="M6" s="3594"/>
      <c r="N6" s="3594"/>
      <c r="O6" s="3594"/>
      <c r="P6" s="3594"/>
      <c r="Q6" s="3595"/>
      <c r="R6" s="1794">
        <f ca="1">结果表!O39</f>
        <v>47204</v>
      </c>
    </row>
    <row r="7" spans="1:18">
      <c r="A7" s="3593" t="str">
        <f>IF(项目基本情况!B9="市场价格","——",IF(项目基本情况!E8="已注销及未注销","抵押担保权已注销时的抵押价格","——"))</f>
        <v>——</v>
      </c>
      <c r="B7" s="3594"/>
      <c r="C7" s="3594"/>
      <c r="D7" s="3594"/>
      <c r="E7" s="3594"/>
      <c r="F7" s="3594"/>
      <c r="G7" s="3594"/>
      <c r="H7" s="3594"/>
      <c r="I7" s="3594"/>
      <c r="J7" s="3594"/>
      <c r="K7" s="3594"/>
      <c r="L7" s="3594"/>
      <c r="M7" s="3594"/>
      <c r="N7" s="3594"/>
      <c r="O7" s="3594"/>
      <c r="P7" s="3594"/>
      <c r="Q7" s="3595"/>
      <c r="R7" s="1794" t="str">
        <f>结果表!O40</f>
        <v>——</v>
      </c>
    </row>
    <row r="8" spans="1:18">
      <c r="A8" s="3593">
        <f>IF(项目基本情况!B9="市场价格","——",项目基本情况!E9)</f>
        <v>0</v>
      </c>
      <c r="B8" s="3594"/>
      <c r="C8" s="3594"/>
      <c r="D8" s="3594"/>
      <c r="E8" s="3594"/>
      <c r="F8" s="3594"/>
      <c r="G8" s="3594"/>
      <c r="H8" s="3594"/>
      <c r="I8" s="3594"/>
      <c r="J8" s="3594"/>
      <c r="K8" s="3594"/>
      <c r="L8" s="3594"/>
      <c r="M8" s="3594"/>
      <c r="N8" s="3594"/>
      <c r="O8" s="3594"/>
      <c r="P8" s="3594"/>
      <c r="Q8" s="3595"/>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601" t="s">
        <v>2062</v>
      </c>
      <c r="B1" s="3601"/>
      <c r="C1" s="3601"/>
      <c r="D1" s="3601"/>
    </row>
    <row r="2" spans="1:4" ht="47.25" customHeight="1">
      <c r="A2" s="3602" t="str">
        <f>"1.权利限制："&amp;项目基本情况!L24&amp;"未设定租赁等其他他项权利。"</f>
        <v>1.权利限制：根据估价对象《不动产权证书》原件、《国有土地使用权》复印件，截至估价期日，估价对象抵押权未见登记。未设定租赁等其他他项权利。</v>
      </c>
      <c r="B2" s="3602"/>
      <c r="C2" s="3602"/>
      <c r="D2" s="3602"/>
    </row>
    <row r="3" spans="1:4" ht="48" customHeight="1">
      <c r="A3" s="36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1"/>
      <c r="C3" s="3601"/>
      <c r="D3" s="3601"/>
    </row>
    <row r="4" spans="1:4" ht="36.75" customHeight="1">
      <c r="A4" s="3601" t="str">
        <f>"3.估价规划限制条件：详见"&amp;项目基本情况!E21&amp;"。"</f>
        <v>3.估价规划限制条件：详见《建设工程规划许可证》[]、《出让合同》[]。</v>
      </c>
      <c r="B4" s="3601"/>
      <c r="C4" s="3601"/>
      <c r="D4" s="3601"/>
    </row>
    <row r="5" spans="1:4">
      <c r="A5" s="3600" t="s">
        <v>2063</v>
      </c>
      <c r="B5" s="3600"/>
      <c r="C5" s="3600"/>
      <c r="D5" s="3600"/>
    </row>
    <row r="6" spans="1:4">
      <c r="A6" s="3601" t="s">
        <v>2041</v>
      </c>
      <c r="B6" s="3601"/>
      <c r="C6" s="3601"/>
      <c r="D6" s="3601"/>
    </row>
    <row r="7" spans="1:4" ht="33" customHeight="1">
      <c r="A7" s="3601" t="s">
        <v>2569</v>
      </c>
      <c r="B7" s="3601"/>
      <c r="C7" s="3601"/>
      <c r="D7" s="3601"/>
    </row>
    <row r="8" spans="1:4" ht="32.25" customHeight="1">
      <c r="A8" s="36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1"/>
      <c r="C8" s="3601"/>
      <c r="D8" s="3601"/>
    </row>
    <row r="9" spans="1:4" ht="33.75" customHeight="1">
      <c r="A9" s="36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1"/>
      <c r="C9" s="3601"/>
      <c r="D9" s="3601"/>
    </row>
    <row r="10" spans="1:4">
      <c r="A10" s="3601" t="str">
        <f>IF(项目基本情况!B8="抵押","4.估价师所知悉的法定优先受偿款情况为：","——")</f>
        <v>4.估价师所知悉的法定优先受偿款情况为：</v>
      </c>
      <c r="B10" s="3601"/>
      <c r="C10" s="3601"/>
      <c r="D10" s="3601"/>
    </row>
    <row r="11" spans="1:4" ht="37.5" customHeight="1">
      <c r="A11" s="36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3"/>
      <c r="C11" s="3603"/>
      <c r="D11" s="3603"/>
    </row>
    <row r="12" spans="1:4" ht="168" customHeight="1">
      <c r="A12" s="3600" t="s">
        <v>2065</v>
      </c>
      <c r="B12" s="3600"/>
      <c r="C12" s="3600"/>
      <c r="D12" s="3600"/>
    </row>
    <row r="13" spans="1:4">
      <c r="A13" s="3604" t="s">
        <v>2740</v>
      </c>
      <c r="B13" s="3604"/>
      <c r="C13" s="3604"/>
      <c r="D13" s="3604"/>
    </row>
    <row r="14" spans="1:4">
      <c r="A14" s="3603" t="str">
        <f>IF(项目基本情况!B8="抵押","综上，"&amp;结果表!K47,"——")</f>
        <v>综上，本次评估不存在估价师知悉的法定优先受偿款</v>
      </c>
      <c r="B14" s="3603"/>
      <c r="C14" s="3603"/>
      <c r="D14" s="3603"/>
    </row>
    <row r="15" spans="1:4" ht="58.5" customHeight="1">
      <c r="A15" s="36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1"/>
      <c r="C15" s="3601"/>
      <c r="D15" s="3601"/>
    </row>
    <row r="16" spans="1:4" ht="70.5" customHeight="1">
      <c r="A16" s="36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1"/>
      <c r="C16" s="3601"/>
      <c r="D16" s="3601"/>
    </row>
    <row r="17" spans="1:4">
      <c r="A17" s="3601" t="s">
        <v>2696</v>
      </c>
      <c r="B17" s="3601"/>
      <c r="C17" s="3601"/>
      <c r="D17" s="3601"/>
    </row>
    <row r="18" spans="1:4">
      <c r="A18" s="3601" t="s">
        <v>2688</v>
      </c>
      <c r="B18" s="3601"/>
      <c r="C18" s="3601"/>
      <c r="D18" s="3601"/>
    </row>
    <row r="19" spans="1:4">
      <c r="A19" s="2819" t="s">
        <v>2689</v>
      </c>
      <c r="B19" s="2819" t="s">
        <v>2690</v>
      </c>
      <c r="C19" s="2819" t="s">
        <v>2691</v>
      </c>
      <c r="D19" s="2819" t="s">
        <v>2692</v>
      </c>
    </row>
    <row r="20" spans="1:4">
      <c r="A20" s="2819" t="str">
        <f>项目基本情况!B4</f>
        <v>土地估价师</v>
      </c>
      <c r="B20" s="2819">
        <f>项目基本情况!C4</f>
        <v>0</v>
      </c>
      <c r="C20" s="2821"/>
      <c r="D20" s="1782" t="s">
        <v>2697</v>
      </c>
    </row>
    <row r="21" spans="1:4">
      <c r="A21" s="2819" t="str">
        <f>项目基本情况!D4</f>
        <v>土地估价师</v>
      </c>
      <c r="B21" s="2819">
        <f>项目基本情况!E4</f>
        <v>0</v>
      </c>
      <c r="C21" s="2821"/>
      <c r="D21" s="1782" t="s">
        <v>2698</v>
      </c>
    </row>
    <row r="23" spans="1:4">
      <c r="A23" s="3601" t="s">
        <v>2693</v>
      </c>
      <c r="B23" s="3601"/>
      <c r="C23" s="3601"/>
      <c r="D23" s="3601"/>
    </row>
    <row r="24" spans="1:4">
      <c r="A24" s="2819" t="s">
        <v>2689</v>
      </c>
      <c r="B24" s="2819" t="s">
        <v>2694</v>
      </c>
      <c r="C24" s="2819" t="s">
        <v>2691</v>
      </c>
      <c r="D24" s="2819" t="s">
        <v>2692</v>
      </c>
    </row>
    <row r="25" spans="1:4">
      <c r="A25" s="2822" t="s">
        <v>2695</v>
      </c>
      <c r="B25" s="2819" t="s">
        <v>949</v>
      </c>
      <c r="C25" s="2821"/>
      <c r="D25" s="1782" t="s">
        <v>2698</v>
      </c>
    </row>
    <row r="29" spans="1:4">
      <c r="D29" s="2820" t="s">
        <v>2036</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33" sqref="F33"/>
      <selection pane="bottomLeft" activeCell="F33" sqref="F33"/>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612" t="s">
        <v>53</v>
      </c>
      <c r="B15" s="3613" t="s">
        <v>843</v>
      </c>
      <c r="C15" s="3609"/>
    </row>
    <row r="16" spans="1:7" ht="14.25">
      <c r="A16" s="3612"/>
      <c r="B16" s="3610" t="s">
        <v>54</v>
      </c>
      <c r="C16" s="1166" t="s">
        <v>53</v>
      </c>
    </row>
    <row r="17" spans="1:3" ht="14.25">
      <c r="A17" s="3612"/>
      <c r="B17" s="3610"/>
      <c r="C17" s="1166" t="s">
        <v>55</v>
      </c>
    </row>
    <row r="18" spans="1:3" ht="14.25">
      <c r="A18" s="3612"/>
      <c r="B18" s="3610"/>
      <c r="C18" s="1166" t="s">
        <v>56</v>
      </c>
    </row>
    <row r="19" spans="1:3" ht="14.25">
      <c r="A19" s="3612"/>
      <c r="B19" s="3608" t="s">
        <v>57</v>
      </c>
      <c r="C19" s="3609"/>
    </row>
    <row r="20" spans="1:3" ht="14.25">
      <c r="A20" s="1167" t="s">
        <v>58</v>
      </c>
      <c r="B20" s="1168"/>
      <c r="C20" s="1169"/>
    </row>
    <row r="21" spans="1:3" ht="14.25">
      <c r="A21" s="3611" t="s">
        <v>59</v>
      </c>
      <c r="B21" s="3608" t="s">
        <v>60</v>
      </c>
      <c r="C21" s="3609"/>
    </row>
    <row r="22" spans="1:3" ht="14.25">
      <c r="A22" s="3611"/>
      <c r="B22" s="3608" t="s">
        <v>61</v>
      </c>
      <c r="C22" s="3609"/>
    </row>
    <row r="23" spans="1:3" ht="14.25">
      <c r="A23" s="3611"/>
      <c r="B23" s="3608" t="s">
        <v>62</v>
      </c>
      <c r="C23" s="3609"/>
    </row>
    <row r="24" spans="1:3" ht="14.25">
      <c r="A24" s="3611"/>
      <c r="B24" s="3614" t="s">
        <v>63</v>
      </c>
      <c r="C24" s="1170" t="s">
        <v>834</v>
      </c>
    </row>
    <row r="25" spans="1:3" ht="14.25">
      <c r="A25" s="3611"/>
      <c r="B25" s="3615"/>
      <c r="C25" s="1170" t="s">
        <v>835</v>
      </c>
    </row>
    <row r="26" spans="1:3" ht="14.25">
      <c r="A26" s="3611"/>
      <c r="B26" s="3615"/>
      <c r="C26" s="1170" t="s">
        <v>836</v>
      </c>
    </row>
    <row r="27" spans="1:3" ht="14.25">
      <c r="A27" s="3611"/>
      <c r="B27" s="3615"/>
      <c r="C27" s="1170" t="s">
        <v>837</v>
      </c>
    </row>
    <row r="28" spans="1:3" ht="14.25">
      <c r="A28" s="3611"/>
      <c r="B28" s="3615"/>
      <c r="C28" s="1170" t="s">
        <v>838</v>
      </c>
    </row>
    <row r="29" spans="1:3" ht="14.25">
      <c r="A29" s="3611"/>
      <c r="B29" s="3615"/>
      <c r="C29" s="1170" t="s">
        <v>839</v>
      </c>
    </row>
    <row r="30" spans="1:3" ht="14.25">
      <c r="A30" s="3611"/>
      <c r="B30" s="3615"/>
      <c r="C30" s="1170" t="s">
        <v>840</v>
      </c>
    </row>
    <row r="31" spans="1:3" ht="14.25">
      <c r="A31" s="3611"/>
      <c r="B31" s="3615"/>
      <c r="C31" s="1170" t="s">
        <v>841</v>
      </c>
    </row>
    <row r="32" spans="1:3" ht="14.25">
      <c r="A32" s="3611"/>
      <c r="B32" s="3615"/>
      <c r="C32" s="1170" t="s">
        <v>1643</v>
      </c>
    </row>
    <row r="33" spans="1:3" ht="14.25">
      <c r="A33" s="3611"/>
      <c r="B33" s="3605" t="s">
        <v>1649</v>
      </c>
      <c r="C33" s="1170" t="s">
        <v>1644</v>
      </c>
    </row>
    <row r="34" spans="1:3" ht="14.25">
      <c r="A34" s="3611"/>
      <c r="B34" s="3606"/>
      <c r="C34" s="1175" t="s">
        <v>1645</v>
      </c>
    </row>
    <row r="35" spans="1:3" ht="14.25">
      <c r="A35" s="3611"/>
      <c r="B35" s="3606"/>
      <c r="C35" s="1176" t="s">
        <v>1646</v>
      </c>
    </row>
    <row r="36" spans="1:3" ht="14.25">
      <c r="A36" s="3611"/>
      <c r="B36" s="3606"/>
      <c r="C36" s="1176" t="s">
        <v>1647</v>
      </c>
    </row>
    <row r="37" spans="1:3" ht="14.25">
      <c r="A37" s="3611"/>
      <c r="B37" s="3607"/>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1904</v>
      </c>
      <c r="B2" s="3122">
        <f ca="1">TODAY()</f>
        <v>43773</v>
      </c>
      <c r="C2" s="3123" t="s">
        <v>1905</v>
      </c>
      <c r="D2" s="3123"/>
    </row>
    <row r="3" spans="1:6" ht="20.25" customHeight="1">
      <c r="A3" s="3125" t="s">
        <v>1906</v>
      </c>
      <c r="B3" s="3126" t="s">
        <v>1907</v>
      </c>
      <c r="C3" s="3126" t="s">
        <v>1908</v>
      </c>
      <c r="D3" s="3127" t="s">
        <v>1909</v>
      </c>
      <c r="E3" s="3126" t="s">
        <v>1910</v>
      </c>
      <c r="F3" s="3126" t="s">
        <v>1908</v>
      </c>
    </row>
    <row r="4" spans="1:6" ht="20.25" customHeight="1">
      <c r="A4" s="3126" t="s">
        <v>1911</v>
      </c>
      <c r="B4" s="3126">
        <f ca="1">IF(C4&lt;B2,"已过期",1119970066)</f>
        <v>1119970066</v>
      </c>
      <c r="C4" s="3128">
        <v>43849</v>
      </c>
      <c r="D4" s="3126" t="s">
        <v>1911</v>
      </c>
      <c r="E4" s="3126">
        <f ca="1">IF(F4&lt;B2,"已过期",96010014)</f>
        <v>96010014</v>
      </c>
      <c r="F4" s="3129">
        <v>47118</v>
      </c>
    </row>
    <row r="5" spans="1:6" ht="20.25" customHeight="1">
      <c r="A5" s="3126" t="s">
        <v>1912</v>
      </c>
      <c r="B5" s="3126">
        <f ca="1">IF(C5&lt;B2,"已过期",1119970074)</f>
        <v>1119970074</v>
      </c>
      <c r="C5" s="3128">
        <v>43849</v>
      </c>
      <c r="D5" s="3126" t="s">
        <v>1912</v>
      </c>
      <c r="E5" s="3126">
        <f ca="1">IF(F5&lt;B2,"已过期",2002110027)</f>
        <v>2002110027</v>
      </c>
      <c r="F5" s="3129">
        <v>46752</v>
      </c>
    </row>
    <row r="6" spans="1:6" ht="20.25" customHeight="1">
      <c r="A6" s="3126" t="s">
        <v>1913</v>
      </c>
      <c r="B6" s="3126">
        <f ca="1">IF(C6&lt;B2,"已过期",1119970111)</f>
        <v>1119970111</v>
      </c>
      <c r="C6" s="3128">
        <v>43849</v>
      </c>
      <c r="D6" s="3126" t="s">
        <v>1913</v>
      </c>
      <c r="E6" s="3126">
        <f ca="1">IF(F6&lt;B2,"已过期",94010078)</f>
        <v>94010078</v>
      </c>
      <c r="F6" s="3129">
        <v>46387</v>
      </c>
    </row>
    <row r="7" spans="1:6" ht="20.25" customHeight="1">
      <c r="A7" s="3126" t="s">
        <v>1914</v>
      </c>
      <c r="B7" s="3126">
        <f ca="1">IF(C7&lt;B2,"已过期",1120050019)</f>
        <v>1120050019</v>
      </c>
      <c r="C7" s="3128">
        <v>44395</v>
      </c>
      <c r="D7" s="3126" t="s">
        <v>1914</v>
      </c>
      <c r="E7" s="3126">
        <f ca="1">IF(F7&lt;B2,"已过期",2002110030)</f>
        <v>2002110030</v>
      </c>
      <c r="F7" s="3129">
        <v>46387</v>
      </c>
    </row>
    <row r="8" spans="1:6" ht="20.25" customHeight="1">
      <c r="A8" s="3126" t="s">
        <v>1915</v>
      </c>
      <c r="B8" s="3126">
        <f ca="1">IF(C8&lt;B2,"已过期",1120000080)</f>
        <v>1120000080</v>
      </c>
      <c r="C8" s="3128">
        <v>43849</v>
      </c>
      <c r="D8" s="3126" t="s">
        <v>1915</v>
      </c>
      <c r="E8" s="3126">
        <f ca="1">IF(F8&lt;B2,"已过期",2000110082)</f>
        <v>2000110082</v>
      </c>
      <c r="F8" s="3129">
        <v>46387</v>
      </c>
    </row>
    <row r="9" spans="1:6" ht="20.25" customHeight="1">
      <c r="A9" s="3126" t="s">
        <v>1916</v>
      </c>
      <c r="B9" s="3126">
        <f ca="1">IF(C9&lt;B2,"已过期",1419970001)</f>
        <v>1419970001</v>
      </c>
      <c r="C9" s="3128">
        <v>43867</v>
      </c>
      <c r="D9" s="3126" t="s">
        <v>1916</v>
      </c>
      <c r="E9" s="3126">
        <f ca="1">IF(F9&lt;B2,"已过期",2002110125)</f>
        <v>2002110125</v>
      </c>
      <c r="F9" s="3129">
        <v>47118</v>
      </c>
    </row>
    <row r="10" spans="1:6" ht="20.25" customHeight="1">
      <c r="A10" s="3126" t="s">
        <v>1917</v>
      </c>
      <c r="B10" s="3126">
        <f ca="1">IF(C10&lt;B2,"已过期",1120060040)</f>
        <v>1120060040</v>
      </c>
      <c r="C10" s="3128">
        <v>44554</v>
      </c>
      <c r="D10" s="3126" t="s">
        <v>1917</v>
      </c>
      <c r="E10" s="3126">
        <f ca="1">IF(F10&lt;B2,"已过期",2004110096)</f>
        <v>2004110096</v>
      </c>
      <c r="F10" s="3129">
        <v>47118</v>
      </c>
    </row>
    <row r="11" spans="1:6" ht="20.25" customHeight="1">
      <c r="A11" s="3126" t="s">
        <v>1918</v>
      </c>
      <c r="B11" s="3126">
        <f ca="1">IF(C11&lt;B2,"已过期",1120100036)</f>
        <v>1120100036</v>
      </c>
      <c r="C11" s="3128">
        <v>44675</v>
      </c>
      <c r="D11" s="3126" t="s">
        <v>1918</v>
      </c>
      <c r="E11" s="3126">
        <f ca="1">IF(F11&lt;B2,"已过期",2010110070)</f>
        <v>2010110070</v>
      </c>
      <c r="F11" s="3129">
        <v>47907</v>
      </c>
    </row>
    <row r="12" spans="1:6" ht="20.25" customHeight="1">
      <c r="A12" s="3126"/>
      <c r="B12" s="3126"/>
      <c r="C12" s="3128"/>
      <c r="D12" s="3126"/>
      <c r="E12" s="3126"/>
      <c r="F12" s="3129"/>
    </row>
    <row r="13" spans="1:6" ht="20.25" customHeight="1">
      <c r="A13" s="3126" t="s">
        <v>1919</v>
      </c>
      <c r="B13" s="3126">
        <f ca="1">IF(C13&lt;B2,"已过期",1120070131)</f>
        <v>1120070131</v>
      </c>
      <c r="C13" s="3128">
        <v>43814</v>
      </c>
      <c r="D13" s="3126" t="s">
        <v>1919</v>
      </c>
      <c r="E13" s="3126">
        <f ca="1">IF(F13&lt;B2,"已过期",2014110011)</f>
        <v>2014110011</v>
      </c>
      <c r="F13" s="3129">
        <v>49302</v>
      </c>
    </row>
    <row r="14" spans="1:6" ht="20.25" customHeight="1">
      <c r="A14" s="3126" t="s">
        <v>2975</v>
      </c>
      <c r="B14" s="3126">
        <f ca="1">IF(C14&lt;B2,"已过期",1120040230)</f>
        <v>1120040230</v>
      </c>
      <c r="C14" s="3130">
        <v>43835</v>
      </c>
      <c r="D14" s="3131" t="s">
        <v>2976</v>
      </c>
      <c r="E14" s="3126">
        <f ca="1">IF(F14&lt;B2,"已过期",98030020)</f>
        <v>98030020</v>
      </c>
      <c r="F14" s="3129">
        <v>47118</v>
      </c>
    </row>
    <row r="15" spans="1:6" ht="20.25" customHeight="1">
      <c r="A15" s="3126" t="s">
        <v>2568</v>
      </c>
      <c r="B15" s="3126">
        <f ca="1">IF(C15&lt;B2,"已过期",1120070085)</f>
        <v>1120070085</v>
      </c>
      <c r="C15" s="3130">
        <v>43814</v>
      </c>
      <c r="D15" s="3126" t="s">
        <v>2977</v>
      </c>
      <c r="E15" s="3126">
        <f ca="1">IF(F15&lt;B2,"已过期",2004110128)</f>
        <v>2004110128</v>
      </c>
      <c r="F15" s="3132">
        <v>47118</v>
      </c>
    </row>
    <row r="16" spans="1:6" ht="20.25" customHeight="1">
      <c r="A16" s="3126" t="s">
        <v>1920</v>
      </c>
      <c r="B16" s="3126">
        <f ca="1">IF(C16&lt;B2,"已过期",1120140022)</f>
        <v>1120140022</v>
      </c>
      <c r="C16" s="3128">
        <v>44029</v>
      </c>
      <c r="D16" s="3126" t="s">
        <v>2978</v>
      </c>
      <c r="E16" s="3126">
        <f ca="1">IF(F16&lt;B2,"已过期",2008110059)</f>
        <v>2008110059</v>
      </c>
      <c r="F16" s="3129">
        <v>47177</v>
      </c>
    </row>
    <row r="17" spans="1:7" ht="20.25" customHeight="1">
      <c r="A17" s="3126"/>
      <c r="B17" s="3126"/>
      <c r="C17" s="3128"/>
      <c r="D17" s="3131" t="s">
        <v>2979</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1921</v>
      </c>
      <c r="E21" s="3126">
        <f ca="1">IF(F21&lt;B2,"已过期",2011110090)</f>
        <v>2011110090</v>
      </c>
      <c r="F21" s="3129">
        <v>48302</v>
      </c>
    </row>
    <row r="22" spans="1:7" ht="20.25" customHeight="1">
      <c r="A22" s="3126" t="s">
        <v>1922</v>
      </c>
      <c r="B22" s="3126">
        <f ca="1">IF(C22&lt;B2,"已过期",1120020033)</f>
        <v>1120020033</v>
      </c>
      <c r="C22" s="3128">
        <v>44339</v>
      </c>
      <c r="D22" s="3126" t="s">
        <v>1922</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616" t="s">
        <v>1923</v>
      </c>
      <c r="B25" s="3616"/>
      <c r="C25" s="3616"/>
      <c r="D25" s="3616"/>
      <c r="E25" s="3616"/>
      <c r="F25" s="3616"/>
      <c r="G25" s="3616"/>
    </row>
    <row r="26" spans="1:7" ht="20.25" customHeight="1">
      <c r="A26" s="3617" t="s">
        <v>1924</v>
      </c>
      <c r="B26" s="3617"/>
      <c r="C26" s="3617"/>
      <c r="D26" s="3617" t="s">
        <v>1925</v>
      </c>
      <c r="E26" s="3617"/>
      <c r="F26" s="3617"/>
    </row>
    <row r="27" spans="1:7" s="3121" customFormat="1" ht="20.25" customHeight="1">
      <c r="A27" s="3135" t="s">
        <v>1926</v>
      </c>
      <c r="B27" s="3136" t="s">
        <v>1927</v>
      </c>
      <c r="C27" s="3136" t="s">
        <v>1928</v>
      </c>
      <c r="D27" s="3126" t="s">
        <v>1926</v>
      </c>
      <c r="E27" s="3136" t="s">
        <v>1927</v>
      </c>
      <c r="F27" s="3136" t="s">
        <v>1928</v>
      </c>
    </row>
    <row r="28" spans="1:7" s="3121" customFormat="1" ht="20.25" customHeight="1">
      <c r="A28" s="3137" t="s">
        <v>1929</v>
      </c>
      <c r="B28" s="3137" t="s">
        <v>1930</v>
      </c>
      <c r="C28" s="3129">
        <v>43725</v>
      </c>
      <c r="D28" s="3137" t="s">
        <v>1931</v>
      </c>
      <c r="E28" s="3137" t="s">
        <v>1932</v>
      </c>
      <c r="F28" s="3138">
        <v>44377</v>
      </c>
    </row>
    <row r="29" spans="1:7" s="3121" customFormat="1" ht="20.25" customHeight="1">
      <c r="A29" s="3137"/>
      <c r="B29" s="3137"/>
      <c r="C29" s="3139"/>
      <c r="D29" s="3137" t="s">
        <v>1933</v>
      </c>
      <c r="E29" s="3137" t="s">
        <v>2987</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9" sqref="AA29"/>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3"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2539</v>
      </c>
      <c r="R1" s="2542" t="s">
        <v>2533</v>
      </c>
      <c r="S1" s="6" t="s">
        <v>146</v>
      </c>
      <c r="T1" s="7" t="s">
        <v>147</v>
      </c>
      <c r="U1" s="6" t="s">
        <v>148</v>
      </c>
      <c r="V1" s="6" t="s">
        <v>149</v>
      </c>
      <c r="W1" s="1002" t="s">
        <v>871</v>
      </c>
    </row>
    <row r="2" spans="1:23">
      <c r="A2" s="8" t="s">
        <v>73</v>
      </c>
      <c r="B2" s="8" t="s">
        <v>150</v>
      </c>
      <c r="C2" s="1534"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c r="A3" s="8" t="s">
        <v>78</v>
      </c>
      <c r="B3" s="10" t="s">
        <v>151</v>
      </c>
      <c r="C3" s="1535"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c r="A4" s="8" t="s">
        <v>87</v>
      </c>
      <c r="B4" s="8" t="s">
        <v>152</v>
      </c>
      <c r="C4" s="1534" t="s">
        <v>1708</v>
      </c>
      <c r="D4" s="9" t="s">
        <v>1991</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c r="A5" s="8" t="s">
        <v>94</v>
      </c>
      <c r="B5" s="8" t="s">
        <v>153</v>
      </c>
      <c r="C5" s="1534" t="s">
        <v>1709</v>
      </c>
      <c r="F5" s="9" t="s">
        <v>95</v>
      </c>
      <c r="H5" s="9" t="s">
        <v>70</v>
      </c>
      <c r="I5" s="9" t="s">
        <v>96</v>
      </c>
      <c r="K5" s="9" t="s">
        <v>97</v>
      </c>
      <c r="L5" s="9" t="s">
        <v>97</v>
      </c>
      <c r="M5" s="9" t="s">
        <v>97</v>
      </c>
      <c r="N5" s="9" t="s">
        <v>97</v>
      </c>
      <c r="O5" s="9" t="s">
        <v>97</v>
      </c>
      <c r="P5" s="1004" t="s">
        <v>543</v>
      </c>
      <c r="Q5" s="9" t="s">
        <v>97</v>
      </c>
      <c r="R5" s="1004" t="s">
        <v>2537</v>
      </c>
      <c r="S5" s="9" t="s">
        <v>97</v>
      </c>
      <c r="T5" s="9" t="s">
        <v>98</v>
      </c>
      <c r="U5" s="9" t="s">
        <v>97</v>
      </c>
      <c r="W5" s="9" t="s">
        <v>875</v>
      </c>
    </row>
    <row r="6" spans="1:23">
      <c r="A6" s="8" t="s">
        <v>99</v>
      </c>
      <c r="B6" s="1143" t="s">
        <v>1637</v>
      </c>
      <c r="C6" s="1536" t="s">
        <v>1710</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c r="A7" s="8" t="s">
        <v>102</v>
      </c>
      <c r="B7" s="8" t="s">
        <v>103</v>
      </c>
      <c r="C7" s="1534" t="s">
        <v>1711</v>
      </c>
      <c r="F7" s="9" t="s">
        <v>154</v>
      </c>
      <c r="H7" s="9" t="s">
        <v>104</v>
      </c>
      <c r="I7" s="9" t="s">
        <v>105</v>
      </c>
    </row>
    <row r="8" spans="1:23">
      <c r="A8" s="8" t="s">
        <v>106</v>
      </c>
      <c r="B8" s="8" t="s">
        <v>107</v>
      </c>
      <c r="C8" s="1534" t="s">
        <v>1712</v>
      </c>
      <c r="F8" s="9" t="s">
        <v>155</v>
      </c>
      <c r="H8" s="9"/>
      <c r="I8" s="9" t="s">
        <v>108</v>
      </c>
    </row>
    <row r="9" spans="1:23">
      <c r="A9" s="8" t="s">
        <v>109</v>
      </c>
      <c r="B9" s="8" t="s">
        <v>156</v>
      </c>
      <c r="C9" s="1534" t="s">
        <v>1713</v>
      </c>
      <c r="F9" s="9" t="s">
        <v>110</v>
      </c>
      <c r="H9" s="9"/>
    </row>
    <row r="10" spans="1:23">
      <c r="A10" s="8" t="s">
        <v>111</v>
      </c>
      <c r="B10" s="8" t="s">
        <v>157</v>
      </c>
      <c r="C10" s="1534" t="s">
        <v>1714</v>
      </c>
      <c r="F10" s="9" t="s">
        <v>6</v>
      </c>
    </row>
    <row r="11" spans="1:23">
      <c r="A11" s="8" t="s">
        <v>112</v>
      </c>
      <c r="B11" s="8" t="s">
        <v>158</v>
      </c>
      <c r="C11" s="1534" t="s">
        <v>1715</v>
      </c>
    </row>
    <row r="12" spans="1:23">
      <c r="A12" s="8" t="s">
        <v>113</v>
      </c>
      <c r="B12" s="8" t="s">
        <v>159</v>
      </c>
      <c r="C12" s="1534" t="s">
        <v>1716</v>
      </c>
    </row>
    <row r="13" spans="1:23">
      <c r="A13" s="8" t="s">
        <v>114</v>
      </c>
      <c r="B13" s="8" t="s">
        <v>160</v>
      </c>
      <c r="C13" s="1534" t="s">
        <v>1717</v>
      </c>
    </row>
    <row r="14" spans="1:23">
      <c r="A14" s="8" t="s">
        <v>115</v>
      </c>
      <c r="B14" s="8" t="s">
        <v>161</v>
      </c>
      <c r="C14" s="1537" t="s">
        <v>1893</v>
      </c>
    </row>
    <row r="15" spans="1:23">
      <c r="A15" s="8" t="s">
        <v>116</v>
      </c>
      <c r="B15" s="8" t="s">
        <v>1678</v>
      </c>
      <c r="C15" s="1537"/>
    </row>
    <row r="16" spans="1:23">
      <c r="A16" s="8" t="s">
        <v>117</v>
      </c>
      <c r="B16" s="8" t="s">
        <v>1679</v>
      </c>
      <c r="C16" s="1537"/>
    </row>
    <row r="17" spans="1:3">
      <c r="A17" s="8" t="s">
        <v>118</v>
      </c>
      <c r="B17" s="8" t="s">
        <v>1680</v>
      </c>
      <c r="C17" s="1537"/>
    </row>
    <row r="18" spans="1:3">
      <c r="A18" s="8" t="s">
        <v>119</v>
      </c>
      <c r="B18" s="3059" t="s">
        <v>2949</v>
      </c>
      <c r="C18" s="1537"/>
    </row>
    <row r="19" spans="1:3">
      <c r="A19" s="8" t="s">
        <v>120</v>
      </c>
      <c r="B19" s="3059" t="s">
        <v>2957</v>
      </c>
      <c r="C19" s="1537"/>
    </row>
    <row r="20" spans="1:3">
      <c r="A20" s="8" t="s">
        <v>121</v>
      </c>
      <c r="B20" s="3059" t="s">
        <v>3513</v>
      </c>
      <c r="C20" s="1537"/>
    </row>
    <row r="21" spans="1:3">
      <c r="A21" s="8" t="s">
        <v>122</v>
      </c>
      <c r="B21" s="3059" t="s">
        <v>3515</v>
      </c>
      <c r="C21" s="1537"/>
    </row>
    <row r="22" spans="1:3">
      <c r="A22" s="8" t="s">
        <v>123</v>
      </c>
      <c r="B22" s="8" t="s">
        <v>1638</v>
      </c>
      <c r="C22" s="1537"/>
    </row>
    <row r="23" spans="1:3">
      <c r="A23" s="8" t="s">
        <v>124</v>
      </c>
      <c r="B23" s="8" t="s">
        <v>1638</v>
      </c>
      <c r="C23" s="1537"/>
    </row>
    <row r="24" spans="1:3">
      <c r="A24" s="8" t="s">
        <v>12</v>
      </c>
      <c r="B24" s="8" t="s">
        <v>1638</v>
      </c>
      <c r="C24" s="1537"/>
    </row>
    <row r="25" spans="1:3">
      <c r="A25" s="8" t="s">
        <v>125</v>
      </c>
      <c r="B25" s="8" t="s">
        <v>1638</v>
      </c>
      <c r="C25" s="1537"/>
    </row>
    <row r="26" spans="1:3">
      <c r="A26" s="8" t="s">
        <v>126</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618"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c r="D53" s="1749"/>
      <c r="E53" s="1749"/>
    </row>
    <row r="54" spans="1:5">
      <c r="A54" s="3618"/>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618"/>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618"/>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618"/>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比较法-洋房</vt:lpstr>
      <vt:lpstr>洋房案例</vt:lpstr>
      <vt:lpstr>比较法-叠墅</vt:lpstr>
      <vt:lpstr>叠墅案例</vt:lpstr>
      <vt:lpstr>不动产收益法-商业</vt:lpstr>
      <vt:lpstr>不动产收益法-车库</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'比较法-叠墅'!住宅朝向</vt:lpstr>
      <vt:lpstr>住宅朝向</vt:lpstr>
      <vt:lpstr>'比较法-叠墅'!住宅房型</vt:lpstr>
      <vt:lpstr>住宅房型</vt:lpstr>
      <vt:lpstr>'比较法-叠墅'!住宅公共部分装修</vt:lpstr>
      <vt:lpstr>住宅公共部分装修</vt:lpstr>
      <vt:lpstr>'比较法-叠墅'!住宅基础设施水平</vt:lpstr>
      <vt:lpstr>住宅基础设施水平</vt:lpstr>
      <vt:lpstr>'比较法-叠墅'!住宅建筑结构</vt:lpstr>
      <vt:lpstr>住宅建筑结构</vt:lpstr>
      <vt:lpstr>'比较法-叠墅'!住宅建筑类型</vt:lpstr>
      <vt:lpstr>住宅建筑类型</vt:lpstr>
      <vt:lpstr>'比较法-叠墅'!住宅建筑品质</vt:lpstr>
      <vt:lpstr>住宅建筑品质</vt:lpstr>
      <vt:lpstr>'比较法-叠墅'!住宅交易情况</vt:lpstr>
      <vt:lpstr>住宅交易情况</vt:lpstr>
      <vt:lpstr>'比较法-叠墅'!住宅楼层</vt:lpstr>
      <vt:lpstr>住宅楼层</vt:lpstr>
      <vt:lpstr>'比较法-叠墅'!住宅内部装修</vt:lpstr>
      <vt:lpstr>住宅内部装修</vt:lpstr>
      <vt:lpstr>'比较法-叠墅'!住宅物业管理</vt:lpstr>
      <vt:lpstr>住宅物业管理</vt:lpstr>
      <vt:lpstr>'比较法-叠墅'!住宅用途</vt:lpstr>
      <vt:lpstr>住宅用途</vt:lpstr>
      <vt:lpstr>'比较法-叠墅'!住宅主力户型面积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2019-11-04T06:36:25Z</dcterms:modified>
</cp:coreProperties>
</file>