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655AF5C-7C2E-4BC8-B7D0-3C4E8C5B3B79}"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4" i="34"/>
  <c r="I7" i="34" l="1"/>
  <c r="G7" i="34"/>
  <c r="E7" i="34"/>
  <c r="J49" i="67"/>
  <c r="J41" i="1"/>
  <c r="K40" i="1"/>
  <c r="L39" i="1"/>
  <c r="M29" i="1"/>
  <c r="M41" i="1" s="1"/>
  <c r="L29" i="1"/>
  <c r="L41" i="1" s="1"/>
  <c r="K29" i="1"/>
  <c r="K39" i="1" s="1"/>
  <c r="J29" i="1"/>
  <c r="J40" i="1" s="1"/>
  <c r="I29" i="1"/>
  <c r="I41" i="1" s="1"/>
  <c r="I39" i="1" l="1"/>
  <c r="M39" i="1"/>
  <c r="L40" i="1"/>
  <c r="K41" i="1"/>
  <c r="J39" i="1"/>
  <c r="I40" i="1"/>
  <c r="M40" i="1"/>
  <c r="N19" i="1" l="1"/>
  <c r="N6" i="1" s="1"/>
  <c r="Y6" i="1" s="1"/>
  <c r="B59" i="1"/>
  <c r="B21" i="1"/>
  <c r="F19" i="6"/>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F68" i="35"/>
  <c r="H18" i="35"/>
  <c r="AB18" i="35" s="1"/>
  <c r="G68" i="35"/>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s="1"/>
  <c r="F109" i="33"/>
  <c r="E109" i="33"/>
  <c r="D109" i="33"/>
  <c r="C109" i="33"/>
  <c r="D91" i="33"/>
  <c r="E91" i="33"/>
  <c r="B88" i="33"/>
  <c r="F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c r="B92" i="21"/>
  <c r="J28" i="21" s="1"/>
  <c r="B90" i="21"/>
  <c r="J27" i="21"/>
  <c r="W27" i="2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W9" i="34"/>
  <c r="H39" i="33"/>
  <c r="AB39" i="33" s="1"/>
  <c r="U33" i="33"/>
  <c r="S40" i="33"/>
  <c r="W33" i="33"/>
  <c r="W39" i="33"/>
  <c r="H39" i="37"/>
  <c r="AB39" i="37"/>
  <c r="S27" i="35"/>
  <c r="F11" i="40"/>
  <c r="AA11" i="40" s="1"/>
  <c r="H11" i="40"/>
  <c r="AB11" i="40"/>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AC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14" i="21"/>
  <c r="U14" i="21" s="1"/>
  <c r="H28" i="21"/>
  <c r="AB28" i="21" s="1"/>
  <c r="F28" i="21"/>
  <c r="AA28" i="21" s="1"/>
  <c r="H30" i="21"/>
  <c r="AB30" i="21" s="1"/>
  <c r="U30" i="2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AC5"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29" i="3"/>
  <c r="AZ233" i="3"/>
  <c r="AZ249" i="3"/>
  <c r="AZ269" i="3"/>
  <c r="BA379" i="3"/>
  <c r="AZ379" i="3" s="1"/>
  <c r="BL380" i="3"/>
  <c r="G381" i="3"/>
  <c r="BA383" i="3"/>
  <c r="AZ383" i="3" s="1"/>
  <c r="BL384" i="3"/>
  <c r="G385" i="3"/>
  <c r="BA387" i="3"/>
  <c r="BL388" i="3"/>
  <c r="G389" i="3"/>
  <c r="BA391" i="3"/>
  <c r="AZ391" i="3" s="1"/>
  <c r="BL392" i="3"/>
  <c r="G393" i="3"/>
  <c r="BO5" i="3"/>
  <c r="BM5" i="3"/>
  <c r="BJ5" i="3"/>
  <c r="BH5" i="3"/>
  <c r="BF5" i="3"/>
  <c r="BD5" i="3"/>
  <c r="AZ341" i="3"/>
  <c r="AZ506" i="3"/>
  <c r="AZ496" i="3"/>
  <c r="G548" i="3"/>
  <c r="G538" i="3"/>
  <c r="G520" i="3"/>
  <c r="G502" i="3"/>
  <c r="BS5" i="3"/>
  <c r="BP5" i="3"/>
  <c r="BN5" i="3"/>
  <c r="BK5" i="3"/>
  <c r="BI5" i="3"/>
  <c r="BG5" i="3"/>
  <c r="BE5" i="3"/>
  <c r="BC5" i="3"/>
  <c r="G17" i="3"/>
  <c r="BA17" i="3"/>
  <c r="BT5" i="3"/>
  <c r="AZ356" i="3"/>
  <c r="AZ368" i="3"/>
  <c r="BA15" i="3"/>
  <c r="BB5" i="3"/>
  <c r="BR5" i="3"/>
  <c r="AZ392" i="3"/>
  <c r="AZ509" i="3"/>
  <c r="G509" i="3"/>
  <c r="BL493" i="3"/>
  <c r="AZ493" i="3"/>
  <c r="U36" i="40"/>
  <c r="F83" i="43"/>
  <c r="H85" i="43" s="1"/>
  <c r="F50" i="43"/>
  <c r="H54" i="43" s="1"/>
  <c r="F72" i="43"/>
  <c r="H75" i="43" s="1"/>
  <c r="U17" i="39"/>
  <c r="S14" i="35"/>
  <c r="U43" i="21"/>
  <c r="U35" i="21"/>
  <c r="AC35" i="21"/>
  <c r="AC11" i="39"/>
  <c r="AZ563" i="3"/>
  <c r="AZ501" i="3"/>
  <c r="W37" i="37"/>
  <c r="W44" i="34"/>
  <c r="AC44" i="34"/>
  <c r="S15"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53" i="3"/>
  <c r="AZ386" i="3"/>
  <c r="C40" i="11"/>
  <c r="AZ227" i="3"/>
  <c r="AZ235" i="3"/>
  <c r="AZ251" i="3"/>
  <c r="AZ256" i="3"/>
  <c r="AZ133" i="3"/>
  <c r="F23" i="39"/>
  <c r="AA23" i="39" s="1"/>
  <c r="H27" i="36"/>
  <c r="U27" i="36" s="1"/>
  <c r="F27" i="36"/>
  <c r="AA27" i="36" s="1"/>
  <c r="H33" i="34"/>
  <c r="U33" i="34" s="1"/>
  <c r="F32" i="37"/>
  <c r="F20" i="36"/>
  <c r="AA20" i="36" s="1"/>
  <c r="J33" i="34"/>
  <c r="AC33" i="34" s="1"/>
  <c r="H23" i="39"/>
  <c r="U23" i="39" s="1"/>
  <c r="D48" i="9"/>
  <c r="M52" i="9" s="1"/>
  <c r="K9" i="1"/>
  <c r="M9" i="1" s="1"/>
  <c r="D93" i="9"/>
  <c r="G29" i="6"/>
  <c r="W27" i="34"/>
  <c r="AC27" i="34"/>
  <c r="AB34" i="36"/>
  <c r="U34" i="36"/>
  <c r="AB33" i="36"/>
  <c r="U33" i="36"/>
  <c r="AC12" i="39"/>
  <c r="W12" i="39"/>
  <c r="W12" i="33"/>
  <c r="AC12" i="33"/>
  <c r="AA32" i="36"/>
  <c r="S32" i="36"/>
  <c r="AZ473" i="3"/>
  <c r="BL14" i="3"/>
  <c r="U30" i="33"/>
  <c r="AC13" i="34"/>
  <c r="AA47" i="34"/>
  <c r="W28" i="37"/>
  <c r="S19" i="39"/>
  <c r="F12" i="33"/>
  <c r="H12" i="39"/>
  <c r="AB12" i="39"/>
  <c r="F39" i="40"/>
  <c r="AA39" i="40" s="1"/>
  <c r="BA14" i="3"/>
  <c r="AZ157" i="3"/>
  <c r="B12" i="1"/>
  <c r="E12" i="1" s="1"/>
  <c r="B10" i="1"/>
  <c r="E10" i="1" s="1"/>
  <c r="K12" i="1"/>
  <c r="M12" i="1" s="1"/>
  <c r="S13" i="1"/>
  <c r="AR13" i="1" s="1"/>
  <c r="R13" i="1"/>
  <c r="J51" i="67"/>
  <c r="C42" i="1"/>
  <c r="C24" i="12" s="1"/>
  <c r="AC34" i="33"/>
  <c r="B41" i="1"/>
  <c r="M18" i="15" s="1"/>
  <c r="AB37" i="40"/>
  <c r="S35" i="40"/>
  <c r="U35" i="40"/>
  <c r="AC36" i="40"/>
  <c r="W38" i="40"/>
  <c r="AA32" i="40"/>
  <c r="S17" i="40"/>
  <c r="S23" i="40"/>
  <c r="AC17" i="40"/>
  <c r="AC15" i="40"/>
  <c r="AB27" i="40"/>
  <c r="S30"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AA25" i="33" s="1"/>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c r="F23" i="21"/>
  <c r="S23" i="21" s="1"/>
  <c r="E85" i="21"/>
  <c r="AA14" i="21"/>
  <c r="D120" i="9"/>
  <c r="D121" i="9" s="1"/>
  <c r="D7" i="52"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U25" i="35"/>
  <c r="S24" i="35"/>
  <c r="S35" i="35"/>
  <c r="W35" i="35"/>
  <c r="AA16" i="35"/>
  <c r="AA35" i="37"/>
  <c r="W36" i="37"/>
  <c r="S27" i="37"/>
  <c r="S28"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AB15" i="21" s="1"/>
  <c r="U15" i="21"/>
  <c r="J17" i="21"/>
  <c r="AC17" i="21"/>
  <c r="AC19" i="21"/>
  <c r="W39"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H91" i="33"/>
  <c r="I91" i="33"/>
  <c r="J91" i="33" s="1"/>
  <c r="K91" i="33" s="1"/>
  <c r="L91" i="33" s="1"/>
  <c r="M91" i="33" s="1"/>
  <c r="J27" i="33"/>
  <c r="U25" i="33"/>
  <c r="AB25" i="33"/>
  <c r="G87" i="33"/>
  <c r="H87" i="33"/>
  <c r="I87" i="33"/>
  <c r="J87" i="33" s="1"/>
  <c r="K87" i="33" s="1"/>
  <c r="L87" i="33" s="1"/>
  <c r="M87" i="33" s="1"/>
  <c r="J25" i="33"/>
  <c r="AB23" i="33"/>
  <c r="U23" i="33"/>
  <c r="F23" i="33"/>
  <c r="H19" i="33"/>
  <c r="AB19" i="33" s="1"/>
  <c r="G81" i="33"/>
  <c r="H17" i="33"/>
  <c r="U17" i="33" s="1"/>
  <c r="F17" i="33"/>
  <c r="W17" i="33"/>
  <c r="AC17" i="33"/>
  <c r="AA23" i="21"/>
  <c r="J23" i="21"/>
  <c r="W23" i="21" s="1"/>
  <c r="F85" i="21"/>
  <c r="G85" i="21" s="1"/>
  <c r="H23" i="21"/>
  <c r="U23" i="21" s="1"/>
  <c r="D6" i="52"/>
  <c r="AP7" i="1"/>
  <c r="AB45" i="21"/>
  <c r="AB9" i="21"/>
  <c r="U9" i="21"/>
  <c r="S32" i="21"/>
  <c r="W9" i="21"/>
  <c r="U32" i="21"/>
  <c r="U32" i="39"/>
  <c r="W32" i="39"/>
  <c r="W23" i="37"/>
  <c r="AC23" i="37"/>
  <c r="J11" i="37"/>
  <c r="AC11" i="37" s="1"/>
  <c r="J11" i="34"/>
  <c r="W11" i="34" s="1"/>
  <c r="AB36" i="33"/>
  <c r="W27" i="33"/>
  <c r="AC27" i="33"/>
  <c r="W25" i="33"/>
  <c r="AC25" i="33"/>
  <c r="U19" i="33"/>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C20" i="9"/>
  <c r="E2" i="68"/>
  <c r="F36" i="15"/>
  <c r="B12" i="76"/>
  <c r="E9" i="76"/>
  <c r="E2" i="69"/>
  <c r="B10" i="76"/>
  <c r="M28" i="15"/>
  <c r="M9" i="15"/>
  <c r="F20" i="31"/>
  <c r="F6" i="73"/>
  <c r="F13" i="15"/>
  <c r="F7" i="15"/>
  <c r="E12" i="76"/>
  <c r="AO13" i="1"/>
  <c r="F40" i="15"/>
  <c r="B13" i="76"/>
  <c r="E10" i="76"/>
  <c r="F5" i="73"/>
  <c r="F6" i="15"/>
  <c r="F3" i="73"/>
  <c r="F38" i="15"/>
  <c r="E13" i="76"/>
  <c r="E8" i="76"/>
  <c r="F9" i="15"/>
  <c r="B7" i="76"/>
  <c r="F42" i="15"/>
  <c r="M8" i="15"/>
  <c r="M29" i="15"/>
  <c r="B9" i="76"/>
  <c r="F8" i="15"/>
  <c r="F7" i="73"/>
  <c r="M24" i="15"/>
  <c r="F43" i="15"/>
  <c r="F26" i="15"/>
  <c r="F37" i="15"/>
  <c r="E11" i="76"/>
  <c r="F16" i="15"/>
  <c r="B11" i="76"/>
  <c r="M22" i="15"/>
  <c r="L48" i="15"/>
  <c r="J15" i="15"/>
  <c r="C19" i="9"/>
  <c r="M26" i="15"/>
  <c r="C76" i="15"/>
  <c r="L47" i="15"/>
  <c r="E7" i="76"/>
  <c r="M23" i="15"/>
  <c r="M6" i="15"/>
  <c r="B8" i="76"/>
  <c r="F4" i="73"/>
  <c r="C18" i="9" l="1"/>
  <c r="D18" i="9" s="1"/>
  <c r="U34" i="34"/>
  <c r="AB8" i="34"/>
  <c r="W8" i="34"/>
  <c r="F34" i="67"/>
  <c r="F62" i="67" s="1"/>
  <c r="F32" i="67"/>
  <c r="F60" i="67" s="1"/>
  <c r="F30" i="11"/>
  <c r="C48" i="11" s="1"/>
  <c r="F52" i="9"/>
  <c r="F32" i="15"/>
  <c r="F60" i="15" s="1"/>
  <c r="F28" i="67"/>
  <c r="C28" i="67" s="1"/>
  <c r="F54" i="9"/>
  <c r="F28" i="15"/>
  <c r="M18" i="67"/>
  <c r="F30" i="68"/>
  <c r="F48" i="68" s="1"/>
  <c r="C40" i="69"/>
  <c r="C21" i="68"/>
  <c r="K1" i="12"/>
  <c r="K6" i="1"/>
  <c r="AP6" i="1" s="1"/>
  <c r="G1" i="67"/>
  <c r="G1" i="68"/>
  <c r="F29" i="6"/>
  <c r="J1" i="73"/>
  <c r="AB23" i="21"/>
  <c r="U20" i="35"/>
  <c r="AB20" i="35"/>
  <c r="C21" i="71"/>
  <c r="D21" i="71" s="1"/>
  <c r="AA37" i="21"/>
  <c r="S37" i="21"/>
  <c r="AZ326" i="3"/>
  <c r="AZ344" i="3"/>
  <c r="AC23" i="21"/>
  <c r="S13" i="21"/>
  <c r="S17" i="33"/>
  <c r="AA17" i="33"/>
  <c r="AA19" i="33"/>
  <c r="S25" i="33"/>
  <c r="AZ14" i="3"/>
  <c r="W39" i="34"/>
  <c r="AC39" i="34"/>
  <c r="S34" i="33"/>
  <c r="AA34" i="33"/>
  <c r="F48" i="9"/>
  <c r="O52" i="9" s="1"/>
  <c r="F31" i="12"/>
  <c r="F30" i="69"/>
  <c r="F48" i="69" s="1"/>
  <c r="D68" i="9"/>
  <c r="AA32" i="37"/>
  <c r="S32" i="37"/>
  <c r="AC14" i="21"/>
  <c r="W14" i="21"/>
  <c r="W28" i="21"/>
  <c r="AC28" i="21"/>
  <c r="S26" i="33"/>
  <c r="AA26" i="33"/>
  <c r="AZ571" i="3"/>
  <c r="AZ579" i="3"/>
  <c r="AZ516" i="3"/>
  <c r="AC44" i="33"/>
  <c r="AC11" i="35"/>
  <c r="S38" i="33"/>
  <c r="F12" i="36"/>
  <c r="AB12" i="36"/>
  <c r="W11" i="40"/>
  <c r="U35" i="33"/>
  <c r="W22" i="35"/>
  <c r="BL585" i="3"/>
  <c r="B75" i="43"/>
  <c r="H9" i="33"/>
  <c r="J26" i="33"/>
  <c r="W27" i="35"/>
  <c r="F38" i="40"/>
  <c r="H38" i="40"/>
  <c r="G556" i="3"/>
  <c r="AZ387" i="3"/>
  <c r="AZ362" i="3"/>
  <c r="AZ338" i="3"/>
  <c r="AZ390" i="3"/>
  <c r="AZ371" i="3"/>
  <c r="AZ351" i="3"/>
  <c r="AZ336" i="3"/>
  <c r="AZ305" i="3"/>
  <c r="AZ360" i="3"/>
  <c r="G521" i="3"/>
  <c r="AZ539" i="3"/>
  <c r="AZ529" i="3"/>
  <c r="AZ537" i="3"/>
  <c r="AZ518" i="3"/>
  <c r="AZ585" i="3"/>
  <c r="S14" i="37"/>
  <c r="J39" i="40"/>
  <c r="H39" i="40"/>
  <c r="AZ400" i="3"/>
  <c r="AZ304" i="3"/>
  <c r="AZ306" i="3"/>
  <c r="AZ557" i="3"/>
  <c r="AZ513" i="3"/>
  <c r="AZ575" i="3"/>
  <c r="AZ548" i="3"/>
  <c r="AZ502" i="3"/>
  <c r="BL587" i="3"/>
  <c r="AZ587" i="3" s="1"/>
  <c r="BL586" i="3"/>
  <c r="AZ586" i="3" s="1"/>
  <c r="J23" i="36"/>
  <c r="J24" i="36"/>
  <c r="H24" i="36"/>
  <c r="AZ407" i="3"/>
  <c r="U19" i="37"/>
  <c r="W32" i="37"/>
  <c r="U24" i="35"/>
  <c r="U32" i="40"/>
  <c r="S37" i="37"/>
  <c r="AB19" i="40"/>
  <c r="AA19" i="40"/>
  <c r="U13" i="37"/>
  <c r="AZ357" i="3"/>
  <c r="AZ322" i="3"/>
  <c r="AZ313" i="3"/>
  <c r="AZ394" i="3"/>
  <c r="AA25" i="21"/>
  <c r="AZ519" i="3"/>
  <c r="AZ531" i="3"/>
  <c r="AZ573" i="3"/>
  <c r="AZ583" i="3"/>
  <c r="AZ568" i="3"/>
  <c r="AZ576" i="3"/>
  <c r="AA14" i="34"/>
  <c r="G587" i="3"/>
  <c r="J12" i="35"/>
  <c r="BA551" i="3"/>
  <c r="AZ551" i="3" s="1"/>
  <c r="BA550" i="3"/>
  <c r="AZ550" i="3" s="1"/>
  <c r="BL548" i="3"/>
  <c r="BL400" i="3"/>
  <c r="BL413" i="3"/>
  <c r="AZ413" i="3" s="1"/>
  <c r="G416" i="3"/>
  <c r="BL417" i="3"/>
  <c r="BL418" i="3"/>
  <c r="BL420" i="3"/>
  <c r="G423" i="3"/>
  <c r="BL424" i="3"/>
  <c r="G427" i="3"/>
  <c r="BL428" i="3"/>
  <c r="BL429" i="3"/>
  <c r="BA432" i="3"/>
  <c r="AZ432" i="3" s="1"/>
  <c r="G438" i="3"/>
  <c r="BL438" i="3"/>
  <c r="BL439" i="3"/>
  <c r="G558" i="3"/>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L433" i="3"/>
  <c r="BL434" i="3"/>
  <c r="BL440" i="3"/>
  <c r="BL445" i="3"/>
  <c r="BL446" i="3"/>
  <c r="BA450" i="3"/>
  <c r="BA452" i="3"/>
  <c r="BL550" i="3"/>
  <c r="BL15" i="3"/>
  <c r="AZ15" i="3" s="1"/>
  <c r="BA398" i="3"/>
  <c r="AZ398" i="3" s="1"/>
  <c r="BA399" i="3"/>
  <c r="AZ399" i="3" s="1"/>
  <c r="BL401" i="3"/>
  <c r="AZ401" i="3" s="1"/>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G431" i="3"/>
  <c r="BL431" i="3"/>
  <c r="G433" i="3"/>
  <c r="BL435" i="3"/>
  <c r="BL436" i="3"/>
  <c r="BA438" i="3"/>
  <c r="BL447" i="3"/>
  <c r="AZ480" i="3"/>
  <c r="AZ403" i="3"/>
  <c r="BA404" i="3"/>
  <c r="BA405" i="3"/>
  <c r="BL410" i="3"/>
  <c r="G412" i="3"/>
  <c r="AZ419" i="3"/>
  <c r="AZ228" i="3"/>
  <c r="BA440" i="3"/>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G266" i="3"/>
  <c r="BA268" i="3"/>
  <c r="BA277" i="3"/>
  <c r="BL277" i="3"/>
  <c r="BA286" i="3"/>
  <c r="AZ286" i="3" s="1"/>
  <c r="G299" i="3"/>
  <c r="BA453" i="3"/>
  <c r="AZ453" i="3" s="1"/>
  <c r="BA455" i="3"/>
  <c r="AZ455" i="3" s="1"/>
  <c r="BL457" i="3"/>
  <c r="BL460" i="3"/>
  <c r="BL461" i="3"/>
  <c r="BL463" i="3"/>
  <c r="BA471" i="3"/>
  <c r="AZ471" i="3" s="1"/>
  <c r="AZ487" i="3"/>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A276" i="3"/>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BA459" i="3"/>
  <c r="BA460" i="3"/>
  <c r="BA461" i="3"/>
  <c r="AZ461" i="3" s="1"/>
  <c r="BL464" i="3"/>
  <c r="AZ464" i="3" s="1"/>
  <c r="BL466" i="3"/>
  <c r="G468" i="3"/>
  <c r="G469"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L262" i="3"/>
  <c r="BL263" i="3"/>
  <c r="AZ263" i="3" s="1"/>
  <c r="BA267" i="3"/>
  <c r="AZ267" i="3" s="1"/>
  <c r="BA274" i="3"/>
  <c r="AZ274" i="3" s="1"/>
  <c r="BL274" i="3"/>
  <c r="BA279" i="3"/>
  <c r="BA283" i="3"/>
  <c r="AZ283" i="3" s="1"/>
  <c r="AZ466" i="3"/>
  <c r="BA482" i="3"/>
  <c r="BA484" i="3"/>
  <c r="AZ484" i="3" s="1"/>
  <c r="BA303" i="3"/>
  <c r="AZ303" i="3" s="1"/>
  <c r="BA307" i="3"/>
  <c r="AZ307" i="3" s="1"/>
  <c r="BL314" i="3"/>
  <c r="AZ314" i="3" s="1"/>
  <c r="BA332" i="3"/>
  <c r="AZ332" i="3" s="1"/>
  <c r="BL332" i="3"/>
  <c r="G339" i="3"/>
  <c r="G364" i="3"/>
  <c r="BA367" i="3"/>
  <c r="AZ367" i="3" s="1"/>
  <c r="BA370" i="3"/>
  <c r="AZ370" i="3" s="1"/>
  <c r="BA247" i="3"/>
  <c r="BL247" i="3"/>
  <c r="BL260" i="3"/>
  <c r="G262" i="3"/>
  <c r="BL264" i="3"/>
  <c r="BA271" i="3"/>
  <c r="AZ271" i="3" s="1"/>
  <c r="BL271" i="3"/>
  <c r="G281" i="3"/>
  <c r="BA288" i="3"/>
  <c r="BA282" i="3"/>
  <c r="AZ282" i="3" s="1"/>
  <c r="BL282" i="3"/>
  <c r="BA284" i="3"/>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BA40" i="3"/>
  <c r="G46" i="3"/>
  <c r="G47" i="3"/>
  <c r="C44" i="71"/>
  <c r="D43" i="71"/>
  <c r="D31" i="71"/>
  <c r="C32" i="71"/>
  <c r="D50" i="71"/>
  <c r="C51" i="71"/>
  <c r="BA262" i="3"/>
  <c r="AZ262" i="3" s="1"/>
  <c r="G265" i="3"/>
  <c r="BL265" i="3"/>
  <c r="AZ265" i="3" s="1"/>
  <c r="BA273" i="3"/>
  <c r="AZ273" i="3" s="1"/>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G38" i="3"/>
  <c r="BA38" i="3"/>
  <c r="AZ38" i="3" s="1"/>
  <c r="BL40" i="3"/>
  <c r="BL41" i="3"/>
  <c r="AZ41" i="3" s="1"/>
  <c r="BA52" i="3"/>
  <c r="AZ52" i="3" s="1"/>
  <c r="BA53" i="3"/>
  <c r="BA54" i="3"/>
  <c r="BA62" i="3"/>
  <c r="BL64" i="3"/>
  <c r="D34" i="71"/>
  <c r="C35" i="71"/>
  <c r="F66" i="71"/>
  <c r="Q67" i="7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BA43" i="3"/>
  <c r="BL47" i="3"/>
  <c r="AZ47" i="3" s="1"/>
  <c r="BL56" i="3"/>
  <c r="BA58" i="3"/>
  <c r="BL59" i="3"/>
  <c r="BL60" i="3"/>
  <c r="BA61" i="3"/>
  <c r="C55" i="71"/>
  <c r="D54" i="71"/>
  <c r="BL48" i="3"/>
  <c r="BL54" i="3"/>
  <c r="BL55" i="3"/>
  <c r="AZ55" i="3" s="1"/>
  <c r="G57" i="3"/>
  <c r="G58" i="3"/>
  <c r="BA59" i="3"/>
  <c r="AZ59" i="3" s="1"/>
  <c r="G61"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AZ103"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G33" i="3"/>
  <c r="G34" i="3"/>
  <c r="BA37" i="3"/>
  <c r="G39" i="3"/>
  <c r="BL39" i="3"/>
  <c r="AZ39" i="3" s="1"/>
  <c r="G43" i="3"/>
  <c r="G44" i="3"/>
  <c r="BA45" i="3"/>
  <c r="AZ45" i="3" s="1"/>
  <c r="BA46" i="3"/>
  <c r="BL49" i="3"/>
  <c r="AZ49" i="3" s="1"/>
  <c r="BL50" i="3"/>
  <c r="AZ50" i="3" s="1"/>
  <c r="BL51" i="3"/>
  <c r="AZ51" i="3" s="1"/>
  <c r="G53" i="3"/>
  <c r="BL53" i="3"/>
  <c r="BA56" i="3"/>
  <c r="BA57" i="3"/>
  <c r="AZ57" i="3" s="1"/>
  <c r="BL58" i="3"/>
  <c r="G60" i="3"/>
  <c r="BA60" i="3"/>
  <c r="BA63" i="3"/>
  <c r="AZ63" i="3" s="1"/>
  <c r="BA66" i="3"/>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62" i="3"/>
  <c r="BL63" i="3"/>
  <c r="BL65" i="3"/>
  <c r="AZ65" i="3" s="1"/>
  <c r="BL66" i="3"/>
  <c r="BL67" i="3"/>
  <c r="AZ67" i="3" s="1"/>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C103" i="9"/>
  <c r="B13" i="70"/>
  <c r="F68" i="15"/>
  <c r="C36" i="68"/>
  <c r="D9" i="69"/>
  <c r="C36" i="69"/>
  <c r="D9" i="68"/>
  <c r="M23" i="67"/>
  <c r="M24" i="67"/>
  <c r="J15" i="67"/>
  <c r="M22" i="67"/>
  <c r="M26" i="67"/>
  <c r="F7" i="67"/>
  <c r="F8" i="67"/>
  <c r="C76" i="67"/>
  <c r="L47" i="67"/>
  <c r="F43" i="67"/>
  <c r="M6" i="67"/>
  <c r="M9" i="67"/>
  <c r="M8" i="67"/>
  <c r="F26" i="67"/>
  <c r="F16" i="67"/>
  <c r="F36" i="67"/>
  <c r="F40" i="67"/>
  <c r="M28" i="67"/>
  <c r="F42" i="67"/>
  <c r="F38" i="67"/>
  <c r="L48" i="67"/>
  <c r="D6" i="73"/>
  <c r="F9" i="67"/>
  <c r="F13" i="67"/>
  <c r="M29" i="67"/>
  <c r="F37" i="67"/>
  <c r="C16" i="67"/>
  <c r="D5" i="73"/>
  <c r="F6" i="67"/>
  <c r="D3" i="73"/>
  <c r="D4" i="73"/>
  <c r="C16" i="15"/>
  <c r="D7" i="73"/>
  <c r="N94" i="46" l="1"/>
  <c r="H26" i="43"/>
  <c r="N370" i="46"/>
  <c r="E26" i="43"/>
  <c r="C30" i="68"/>
  <c r="C48" i="68"/>
  <c r="L56" i="67"/>
  <c r="I54" i="67"/>
  <c r="J53" i="67"/>
  <c r="Q52" i="67" s="1"/>
  <c r="J57" i="67"/>
  <c r="J55" i="67" s="1"/>
  <c r="J58" i="67" s="1"/>
  <c r="Q50" i="67" s="1"/>
  <c r="F66" i="67"/>
  <c r="F68" i="67"/>
  <c r="F64" i="67"/>
  <c r="C27" i="67"/>
  <c r="F71" i="67"/>
  <c r="L58" i="67"/>
  <c r="Q73" i="67" s="1"/>
  <c r="M59" i="67"/>
  <c r="N59" i="67"/>
  <c r="L59" i="67"/>
  <c r="Q61" i="67" s="1"/>
  <c r="Q71" i="67"/>
  <c r="F51" i="67"/>
  <c r="F50" i="67"/>
  <c r="M7" i="67"/>
  <c r="J6" i="67" s="1"/>
  <c r="J18" i="67" s="1"/>
  <c r="E59" i="40"/>
  <c r="G26" i="43"/>
  <c r="Q16" i="1"/>
  <c r="F27" i="69" s="1"/>
  <c r="F45" i="69" s="1"/>
  <c r="H16" i="1"/>
  <c r="P6" i="1"/>
  <c r="C13" i="12" s="1"/>
  <c r="K16" i="1"/>
  <c r="J7" i="36"/>
  <c r="F31" i="67"/>
  <c r="C6" i="67"/>
  <c r="C32" i="67" s="1"/>
  <c r="F65" i="67"/>
  <c r="AZ66" i="3"/>
  <c r="C70" i="71"/>
  <c r="D70" i="71" s="1"/>
  <c r="D71" i="71"/>
  <c r="C56" i="71"/>
  <c r="D55" i="71"/>
  <c r="T32" i="71"/>
  <c r="D32" i="71"/>
  <c r="AZ182" i="3"/>
  <c r="AZ483" i="3"/>
  <c r="AZ457" i="3"/>
  <c r="AZ440" i="3"/>
  <c r="AC23" i="36"/>
  <c r="W23" i="36"/>
  <c r="W26" i="33"/>
  <c r="AC26" i="33"/>
  <c r="S12" i="36"/>
  <c r="AA12" i="36"/>
  <c r="G5" i="3"/>
  <c r="B3" i="3" s="1"/>
  <c r="E212" i="3" s="1"/>
  <c r="T28" i="71"/>
  <c r="D28" i="71"/>
  <c r="U28" i="71" s="1"/>
  <c r="C27" i="71"/>
  <c r="D75" i="71"/>
  <c r="C74" i="71"/>
  <c r="D74" i="71" s="1"/>
  <c r="AZ58" i="3"/>
  <c r="C36" i="71"/>
  <c r="D35" i="71"/>
  <c r="AZ62" i="3"/>
  <c r="AZ25" i="3"/>
  <c r="AB38" i="40"/>
  <c r="U38" i="40"/>
  <c r="AB9" i="33"/>
  <c r="U9" i="33"/>
  <c r="G16" i="1"/>
  <c r="F10" i="39" s="1"/>
  <c r="AA10" i="39" s="1"/>
  <c r="D79" i="71"/>
  <c r="C78" i="71"/>
  <c r="D78" i="71" s="1"/>
  <c r="AZ75" i="3"/>
  <c r="AZ61" i="3"/>
  <c r="C52" i="71"/>
  <c r="D51" i="71"/>
  <c r="D44" i="71"/>
  <c r="T44" i="71"/>
  <c r="AZ19" i="3"/>
  <c r="AZ302" i="3"/>
  <c r="AZ284" i="3"/>
  <c r="AZ247" i="3"/>
  <c r="AZ460" i="3"/>
  <c r="AZ244" i="3"/>
  <c r="AZ239" i="3"/>
  <c r="AZ397" i="3"/>
  <c r="AZ405" i="3"/>
  <c r="AZ428" i="3"/>
  <c r="W12" i="35"/>
  <c r="AC12" i="35"/>
  <c r="AB24" i="36"/>
  <c r="U24" i="36"/>
  <c r="U39" i="40"/>
  <c r="AB39" i="40"/>
  <c r="AA38" i="40"/>
  <c r="S38" i="40"/>
  <c r="AZ71" i="3"/>
  <c r="C40" i="71"/>
  <c r="D39" i="71"/>
  <c r="D83" i="71"/>
  <c r="C82" i="71"/>
  <c r="D82" i="71" s="1"/>
  <c r="O65" i="71"/>
  <c r="D66" i="71"/>
  <c r="O66" i="71"/>
  <c r="AZ53" i="3"/>
  <c r="AZ130" i="3"/>
  <c r="AZ459" i="3"/>
  <c r="AZ277" i="3"/>
  <c r="AZ491" i="3"/>
  <c r="AZ404" i="3"/>
  <c r="AZ425" i="3"/>
  <c r="AC24" i="36"/>
  <c r="W24" i="36"/>
  <c r="W39" i="40"/>
  <c r="AC39" i="40"/>
  <c r="J7" i="37"/>
  <c r="K1" i="73"/>
  <c r="E241" i="3"/>
  <c r="E283" i="3"/>
  <c r="E34" i="3"/>
  <c r="E405" i="3"/>
  <c r="E115" i="3"/>
  <c r="E158" i="3"/>
  <c r="E422" i="3"/>
  <c r="E276" i="3"/>
  <c r="E234" i="3"/>
  <c r="E62" i="3"/>
  <c r="E58" i="3"/>
  <c r="E500" i="3"/>
  <c r="E48" i="3"/>
  <c r="E297" i="3"/>
  <c r="E374" i="3"/>
  <c r="E66" i="3"/>
  <c r="E459" i="3"/>
  <c r="E154" i="3"/>
  <c r="E504" i="3"/>
  <c r="E82" i="3"/>
  <c r="E352" i="3"/>
  <c r="E313" i="3"/>
  <c r="E438" i="3"/>
  <c r="E471" i="3"/>
  <c r="E208" i="3"/>
  <c r="E93" i="3"/>
  <c r="E145" i="3"/>
  <c r="E548" i="3"/>
  <c r="E403" i="3"/>
  <c r="E126" i="3"/>
  <c r="AM6" i="3"/>
  <c r="E501" i="3"/>
  <c r="E328" i="3"/>
  <c r="O6" i="3"/>
  <c r="E285" i="3"/>
  <c r="E97" i="3"/>
  <c r="E523" i="3"/>
  <c r="E506" i="3"/>
  <c r="E321" i="3"/>
  <c r="E298" i="3"/>
  <c r="E304" i="3"/>
  <c r="E565" i="3"/>
  <c r="E302" i="3"/>
  <c r="E221" i="3"/>
  <c r="E303" i="3"/>
  <c r="E402" i="3"/>
  <c r="E280" i="3"/>
  <c r="AA6" i="3"/>
  <c r="E434" i="3"/>
  <c r="E128"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J10" i="39"/>
  <c r="W10" i="39" s="1"/>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C49" i="67" l="1"/>
  <c r="J5" i="67"/>
  <c r="F10" i="40"/>
  <c r="S10" i="40" s="1"/>
  <c r="Q74" i="67"/>
  <c r="F1" i="67"/>
  <c r="C47" i="69"/>
  <c r="D45" i="69" s="1"/>
  <c r="C29" i="69"/>
  <c r="D27" i="69" s="1"/>
  <c r="Q60" i="67"/>
  <c r="E319" i="3"/>
  <c r="E317" i="3"/>
  <c r="E92" i="3"/>
  <c r="E547" i="3"/>
  <c r="E411" i="3"/>
  <c r="E207" i="3"/>
  <c r="E14" i="3"/>
  <c r="E168" i="3"/>
  <c r="E537" i="3"/>
  <c r="E474" i="3"/>
  <c r="E224" i="3"/>
  <c r="E136" i="3"/>
  <c r="E127" i="3"/>
  <c r="E187" i="3"/>
  <c r="E87" i="3"/>
  <c r="AD6" i="3"/>
  <c r="E163" i="3"/>
  <c r="E341" i="3"/>
  <c r="E464" i="3"/>
  <c r="E138" i="3"/>
  <c r="E312" i="3"/>
  <c r="E460" i="3"/>
  <c r="E340" i="3"/>
  <c r="E38" i="3"/>
  <c r="E108" i="3"/>
  <c r="E543" i="3"/>
  <c r="E49" i="3"/>
  <c r="E420" i="3"/>
  <c r="E173" i="3"/>
  <c r="E235" i="3"/>
  <c r="E184" i="3"/>
  <c r="E442"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259" i="3"/>
  <c r="E584" i="3"/>
  <c r="E149" i="3"/>
  <c r="E446" i="3"/>
  <c r="E244" i="3"/>
  <c r="E141" i="3"/>
  <c r="E112" i="3"/>
  <c r="E473" i="3"/>
  <c r="E401" i="3"/>
  <c r="E105" i="3"/>
  <c r="E220" i="3"/>
  <c r="E497" i="3"/>
  <c r="E22" i="3"/>
  <c r="E18" i="3"/>
  <c r="E371"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39" i="3"/>
  <c r="E375" i="3"/>
  <c r="E284" i="3"/>
  <c r="E520" i="3"/>
  <c r="E24" i="3"/>
  <c r="E365" i="3"/>
  <c r="E392" i="3"/>
  <c r="L6" i="3"/>
  <c r="AH6" i="3"/>
  <c r="E16" i="3"/>
  <c r="E428" i="3"/>
  <c r="E408" i="3"/>
  <c r="E102" i="3"/>
  <c r="E391" i="3"/>
  <c r="E467"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198" i="3"/>
  <c r="E63" i="3"/>
  <c r="E67" i="3"/>
  <c r="E267" i="3"/>
  <c r="E409" i="3"/>
  <c r="E95" i="3"/>
  <c r="E536"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494" i="3"/>
  <c r="E68" i="3"/>
  <c r="E84" i="3"/>
  <c r="E160" i="3"/>
  <c r="E59" i="3"/>
  <c r="E491"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AL6" i="3"/>
  <c r="E309" i="3"/>
  <c r="E233" i="3"/>
  <c r="E310" i="3"/>
  <c r="E64" i="3"/>
  <c r="E389" i="3"/>
  <c r="I3" i="6"/>
  <c r="E3" i="6"/>
  <c r="E332" i="3"/>
  <c r="E21" i="3"/>
  <c r="E264" i="3"/>
  <c r="E381" i="3"/>
  <c r="E144" i="3"/>
  <c r="E23" i="3"/>
  <c r="E300" i="3"/>
  <c r="E103" i="3"/>
  <c r="E425" i="3"/>
  <c r="E76" i="3"/>
  <c r="E363" i="3"/>
  <c r="E192" i="3"/>
  <c r="E56" i="3"/>
  <c r="E554" i="3"/>
  <c r="E430" i="3"/>
  <c r="E575" i="3"/>
  <c r="E42" i="3"/>
  <c r="E281" i="3"/>
  <c r="E513" i="3"/>
  <c r="E81" i="3"/>
  <c r="E355" i="3"/>
  <c r="E33" i="3"/>
  <c r="E492" i="3"/>
  <c r="E249" i="3"/>
  <c r="E46" i="3"/>
  <c r="E484" i="3"/>
  <c r="E544" i="3"/>
  <c r="E292" i="3"/>
  <c r="E152" i="3"/>
  <c r="E417" i="3"/>
  <c r="AP6" i="3"/>
  <c r="E541" i="3"/>
  <c r="E286" i="3"/>
  <c r="E349" i="3"/>
  <c r="E258" i="3"/>
  <c r="E37" i="3"/>
  <c r="E435" i="3"/>
  <c r="E449" i="3"/>
  <c r="E502" i="3"/>
  <c r="E539" i="3"/>
  <c r="R6" i="3"/>
  <c r="E199" i="3"/>
  <c r="E510" i="3"/>
  <c r="T40" i="71"/>
  <c r="D40" i="71"/>
  <c r="D36" i="71"/>
  <c r="T36" i="71"/>
  <c r="C26" i="71"/>
  <c r="D26" i="71" s="1"/>
  <c r="D27" i="71"/>
  <c r="E479" i="3"/>
  <c r="E517" i="3"/>
  <c r="E255" i="3"/>
  <c r="E466" i="3"/>
  <c r="E499" i="3"/>
  <c r="D56" i="71"/>
  <c r="T56"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AE6" i="1"/>
  <c r="F41" i="67" s="1"/>
  <c r="M27" i="15"/>
  <c r="M27" i="67"/>
  <c r="F41" i="15"/>
  <c r="F69" i="67" l="1"/>
  <c r="F25" i="12"/>
  <c r="C26" i="12" s="1"/>
  <c r="D25" i="12" s="1"/>
  <c r="AC6" i="3"/>
  <c r="H6" i="3"/>
  <c r="E6" i="3" s="1"/>
  <c r="F22" i="69"/>
  <c r="F41" i="69" s="1"/>
  <c r="F24" i="15"/>
  <c r="C24" i="15" s="1"/>
  <c r="F22" i="68"/>
  <c r="F41" i="68" s="1"/>
  <c r="I53" i="34"/>
  <c r="J53" i="34" s="1"/>
  <c r="I46" i="37"/>
  <c r="J46" i="37" s="1"/>
  <c r="F22" i="11"/>
  <c r="C24"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67"/>
  <c r="C17" i="15"/>
  <c r="C23" i="68" l="1"/>
  <c r="C23" i="11"/>
  <c r="C26" i="68"/>
  <c r="D22" i="68" s="1"/>
  <c r="C44" i="69"/>
  <c r="D41" i="69" s="1"/>
  <c r="C26" i="69"/>
  <c r="D22" i="69" s="1"/>
  <c r="C25" i="11"/>
  <c r="H25" i="6"/>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6" i="1"/>
  <c r="AO7" i="1"/>
  <c r="AO9" i="1"/>
  <c r="AO10"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F118" i="9"/>
  <c r="F119" i="9" s="1"/>
  <c r="F5" i="52" s="1"/>
  <c r="B53" i="72" s="1"/>
  <c r="H118" i="9"/>
  <c r="F4" i="52"/>
  <c r="B51" i="72" s="1"/>
  <c r="H102" i="9"/>
  <c r="E118" i="9"/>
  <c r="I4" i="52"/>
  <c r="C104" i="9" l="1"/>
  <c r="D14" i="74"/>
  <c r="G14" i="74" s="1"/>
  <c r="B6" i="74" s="1"/>
  <c r="D6" i="74" s="1"/>
  <c r="H4" i="52"/>
  <c r="H119" i="9"/>
  <c r="H5" i="52" s="1"/>
  <c r="H101" i="9"/>
  <c r="M48" i="9" s="1"/>
  <c r="D7" i="53"/>
  <c r="B21" i="72" s="1"/>
  <c r="D118" i="9"/>
  <c r="E4" i="52"/>
  <c r="B48" i="72" s="1"/>
  <c r="H107" i="9"/>
  <c r="B5" i="74" l="1"/>
  <c r="F14" i="74"/>
  <c r="D45" i="9"/>
  <c r="C78" i="9" s="1"/>
  <c r="C73" i="9" s="1"/>
  <c r="D5" i="53"/>
  <c r="D6" i="53" s="1"/>
  <c r="B22" i="72" s="1"/>
  <c r="D119" i="9"/>
  <c r="D5" i="52" s="1"/>
  <c r="B49" i="72" s="1"/>
  <c r="D4" i="52"/>
  <c r="B47" i="72" s="1"/>
  <c r="D122" i="9"/>
  <c r="H108" i="9"/>
  <c r="M49" i="9"/>
  <c r="D13" i="53"/>
  <c r="D52" i="9" l="1"/>
  <c r="C64" i="9"/>
  <c r="C63" i="9" s="1"/>
  <c r="C67" i="9" s="1"/>
  <c r="B20" i="72"/>
  <c r="C93" i="9"/>
  <c r="C86" i="9" s="1"/>
  <c r="C95" i="9" s="1"/>
  <c r="C72" i="9"/>
  <c r="C79" i="9" s="1"/>
  <c r="C85" i="9"/>
  <c r="D53" i="9"/>
  <c r="D55" i="9"/>
  <c r="M53" i="9" s="1"/>
  <c r="D5" i="74"/>
  <c r="C5" i="74"/>
  <c r="L67" i="9"/>
  <c r="M67" i="9" s="1"/>
  <c r="L64" i="9"/>
  <c r="M64" i="9" s="1"/>
  <c r="L68" i="9"/>
  <c r="M68" i="9" s="1"/>
  <c r="L65" i="9"/>
  <c r="M65" i="9" s="1"/>
  <c r="L66" i="9"/>
  <c r="M66" i="9" s="1"/>
  <c r="L63" i="9"/>
  <c r="M63" i="9" s="1"/>
  <c r="D14" i="53"/>
  <c r="B32" i="72" s="1"/>
  <c r="B30" i="72"/>
  <c r="D59" i="9"/>
  <c r="M55" i="9" s="1"/>
  <c r="C68" i="9"/>
  <c r="D54" i="9" s="1"/>
  <c r="C6" i="74"/>
  <c r="D15" i="53"/>
  <c r="B31" i="72" s="1"/>
  <c r="D123" i="9"/>
  <c r="D9" i="52" s="1"/>
  <c r="D8" i="52"/>
  <c r="C80" i="9" l="1"/>
  <c r="E80" i="9" s="1"/>
  <c r="E81" i="9" s="1"/>
  <c r="C81" i="9"/>
  <c r="C96" i="9"/>
  <c r="E96" i="9" s="1"/>
  <c r="E97" i="9" s="1"/>
  <c r="M69" i="9"/>
  <c r="N69" i="9" s="1"/>
  <c r="C97" i="9" l="1"/>
  <c r="D58" i="9" s="1"/>
  <c r="D56" i="9" s="1"/>
  <c r="M54" i="9" s="1"/>
  <c r="N57" i="9" s="1"/>
  <c r="N59" i="9" s="1"/>
  <c r="N61" i="9" l="1"/>
  <c r="N60" i="9"/>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<sst xmlns="http://schemas.openxmlformats.org/spreadsheetml/2006/main" count="7842" uniqueCount="3446">
  <si>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</si>
  <si>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</si>
  <si>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</si>
  <si>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</si>
  <si>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</si>
  <si>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</si>
  <si>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</si>
  <si>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</si>
  <si>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</si>
  <si>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</si>
  <si>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</si>
  <si>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</si>
  <si>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</si>
  <si>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</si>
  <si>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</si>
  <si>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</si>
  <si>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</si>
  <si>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</si>
  <si>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</si>
  <si>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</si>
  <si>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</si>
  <si>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</si>
  <si>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</si>
  <si>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</si>
  <si>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</si>
  <si>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</si>
  <si>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</si>
  <si>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</si>
  <si>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</si>
  <si>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</si>
  <si>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</si>
  <si>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</si>
  <si>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</si>
  <si>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</si>
  <si>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</si>
  <si>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</si>
  <si>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</si>
  <si>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</si>
  <si>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</si>
  <si>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</si>
  <si>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</si>
  <si>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</si>
  <si>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</si>
  <si>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</si>
  <si>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</si>
  <si>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</si>
  <si>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</si>
  <si>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</si>
  <si>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</si>
  <si>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</si>
  <si>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</si>
  <si>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</si>
  <si>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</si>
  <si>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</si>
  <si>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</si>
  <si>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</si>
  <si>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</si>
  <si>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</si>
  <si>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</si>
  <si>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</si>
  <si>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</si>
  <si>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</si>
  <si>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</si>
  <si>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</si>
  <si>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</si>
  <si>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</si>
  <si>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</si>
  <si>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</si>
  <si>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</si>
  <si>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</si>
  <si>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</si>
  <si>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</si>
  <si>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</si>
  <si>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</si>
  <si>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</si>
  <si>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</si>
  <si>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</si>
  <si>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</si>
  <si>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</si>
  <si>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</si>
  <si>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</si>
  <si>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</si>
  <si>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</si>
  <si>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</si>
  <si>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</si>
  <si>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</si>
  <si>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</si>
  <si>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</si>
  <si>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</si>
  <si>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</si>
  <si>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</si>
  <si>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</si>
  <si>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</si>
  <si>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</si>
  <si>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</si>
  <si>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</si>
  <si>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</si>
  <si>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</si>
  <si>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</si>
  <si>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</si>
  <si>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</si>
  <si>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</si>
  <si>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</si>
  <si>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</si>
  <si>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</si>
  <si>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</si>
  <si>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</si>
  <si>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</si>
  <si>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</si>
  <si>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</si>
  <si>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</si>
  <si>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</si>
  <si>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</si>
  <si>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</si>
  <si>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</si>
  <si>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</si>
  <si>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</si>
  <si>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</si>
  <si>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</si>
  <si>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</si>
  <si>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</si>
  <si>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</si>
  <si>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</si>
  <si>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</si>
  <si>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</si>
  <si>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</si>
  <si>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</si>
  <si>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</si>
  <si>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</si>
  <si>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</si>
  <si>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</si>
  <si>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</si>
  <si>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</si>
  <si>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</si>
  <si>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</si>
  <si>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</si>
  <si>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</si>
  <si>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</si>
  <si>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</si>
  <si>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</si>
  <si>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</si>
  <si>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</si>
  <si>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</si>
  <si>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</si>
  <si>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</si>
  <si>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</si>
  <si>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</si>
  <si>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</si>
  <si>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</si>
  <si>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</si>
  <si>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</si>
  <si>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</si>
  <si>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</si>
  <si>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</si>
  <si>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</si>
  <si>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</si>
  <si>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</si>
  <si>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</si>
  <si>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</si>
  <si>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</si>
  <si>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</si>
  <si>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</si>
  <si>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</si>
  <si>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</si>
  <si>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</si>
  <si>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</si>
  <si>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</si>
  <si>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</si>
  <si>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</si>
  <si>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</si>
  <si>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</si>
  <si>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</si>
  <si>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</si>
  <si>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</si>
  <si>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</si>
  <si>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</si>
  <si>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</si>
  <si>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</si>
  <si>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</si>
  <si>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</si>
  <si>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</si>
  <si>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</si>
  <si>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</si>
  <si>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</si>
  <si>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</si>
  <si>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</si>
  <si>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</si>
  <si>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</si>
  <si>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</si>
  <si>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</si>
  <si>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</si>
  <si>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</si>
  <si>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</si>
  <si>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</si>
  <si>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</si>
  <si>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</si>
  <si>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</si>
  <si>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</si>
  <si>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</si>
  <si>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</si>
  <si>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</si>
  <si>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</si>
  <si>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</si>
  <si>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</si>
  <si>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</si>
  <si>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</si>
  <si>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</si>
  <si>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</si>
  <si>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</si>
  <si>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</si>
  <si>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</si>
  <si>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</si>
  <si>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</si>
  <si>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</si>
  <si>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</si>
  <si>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</si>
  <si>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</si>
  <si>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</si>
  <si>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</si>
  <si>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</si>
  <si>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</si>
  <si>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</si>
  <si>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</si>
  <si>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</si>
  <si>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</si>
  <si>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</si>
  <si>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</si>
  <si>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</si>
  <si>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</si>
  <si>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</si>
  <si>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</si>
  <si>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</si>
  <si>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</si>
  <si>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</si>
  <si>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</si>
  <si>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</si>
  <si>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</si>
  <si>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</si>
  <si>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</si>
  <si>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</si>
  <si>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</si>
  <si>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</si>
  <si>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</si>
  <si>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</si>
  <si>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</si>
  <si>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</si>
  <si>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</si>
  <si>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</si>
  <si>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</si>
  <si>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</si>
  <si>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</si>
  <si>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</si>
  <si>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</si>
  <si>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</si>
  <si>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</si>
  <si>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</si>
  <si>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</si>
  <si>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</si>
  <si>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</si>
  <si>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</si>
  <si>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</si>
  <si>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</si>
  <si>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</si>
  <si>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</si>
  <si>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</si>
  <si>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</si>
  <si>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</si>
  <si>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</si>
  <si>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</si>
  <si>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</si>
  <si>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</si>
  <si>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</si>
  <si>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</si>
  <si>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</si>
  <si>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</si>
  <si>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</si>
  <si>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</si>
  <si>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</si>
  <si>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</si>
  <si>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</si>
  <si>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</si>
  <si>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</si>
  <si>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</si>
  <si>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</si>
  <si>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</si>
  <si>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</si>
  <si>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</si>
  <si>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</si>
  <si>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</si>
  <si>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</si>
  <si>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</si>
  <si>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</si>
  <si>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</si>
  <si>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</si>
  <si>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</si>
  <si>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</si>
  <si>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</si>
  <si>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</si>
  <si>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</si>
  <si>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</si>
  <si>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</si>
  <si>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</si>
  <si>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</si>
  <si>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</si>
  <si>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</si>
  <si>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</si>
  <si>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</si>
  <si>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</si>
  <si>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</si>
  <si>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</si>
  <si>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</si>
  <si>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</si>
  <si>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</si>
  <si>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</si>
  <si>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</si>
  <si>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</si>
  <si>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</si>
  <si>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</si>
  <si>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</si>
  <si>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</si>
  <si>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</si>
  <si>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</si>
  <si>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</si>
  <si>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</si>
  <si>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</si>
  <si>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</si>
  <si>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</si>
  <si>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</si>
  <si>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</si>
  <si>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</si>
  <si>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</si>
  <si>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</si>
  <si>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</si>
  <si>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</si>
  <si>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</si>
  <si>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</si>
  <si>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</si>
  <si>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</si>
  <si>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</si>
  <si>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</si>
  <si>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</si>
  <si>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</si>
  <si>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</si>
  <si>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</si>
  <si>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</si>
  <si>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</si>
  <si>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</si>
  <si>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</si>
  <si>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</si>
  <si>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</si>
  <si>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</si>
  <si>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</si>
  <si>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</si>
  <si>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</si>
  <si>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</si>
  <si>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</si>
  <si>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</si>
  <si>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</si>
  <si>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</si>
  <si>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</si>
  <si>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</si>
  <si>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</si>
  <si>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</si>
  <si>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</si>
  <si>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</si>
  <si>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</si>
  <si>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</si>
  <si>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</si>
  <si>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</si>
  <si>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</si>
  <si>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</si>
  <si>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</si>
  <si>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</si>
  <si>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</si>
  <si>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</si>
  <si>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</si>
  <si>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</si>
  <si>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</si>
  <si>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</si>
  <si>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</si>
  <si>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</si>
  <si>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</si>
  <si>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</si>
  <si>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</si>
  <si>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</si>
  <si>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</si>
  <si>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</si>
  <si>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</si>
  <si>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</si>
  <si>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</si>
  <si>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</si>
  <si>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</si>
  <si>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</si>
  <si>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</si>
  <si>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</si>
  <si>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</si>
  <si>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</si>
  <si>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</si>
  <si>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</si>
  <si>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</si>
  <si>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</si>
  <si>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</si>
  <si>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</si>
  <si>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</si>
  <si>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</si>
  <si>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</si>
  <si>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</si>
  <si>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</si>
  <si>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</si>
  <si>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</si>
  <si>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</si>
  <si>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</si>
  <si>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</si>
  <si>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</si>
  <si>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</si>
  <si>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</si>
  <si>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</si>
  <si>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</si>
  <si>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</si>
  <si>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</si>
  <si>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</si>
  <si>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</si>
  <si>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</si>
  <si>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</si>
  <si>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</si>
  <si>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</si>
  <si>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</si>
  <si>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</si>
  <si>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</si>
  <si>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</si>
  <si>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</si>
  <si>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</si>
  <si>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</si>
  <si>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</si>
  <si>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</si>
  <si>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</si>
  <si>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</si>
  <si>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</si>
  <si>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</si>
  <si>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</si>
  <si>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</si>
  <si>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</si>
  <si>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</si>
  <si>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</si>
  <si>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</si>
  <si>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</si>
  <si>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</si>
  <si>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</si>
  <si>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</si>
  <si>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</si>
  <si>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</si>
  <si>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</si>
  <si>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</si>
  <si>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</si>
  <si>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</si>
  <si>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</si>
  <si>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</si>
  <si>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</si>
  <si>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</si>
  <si>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</si>
  <si>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</si>
  <si>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</si>
  <si>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</si>
  <si>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</si>
  <si>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</si>
  <si>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</si>
  <si>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</si>
  <si>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</si>
  <si>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</si>
  <si>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</si>
  <si>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</si>
  <si>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</si>
  <si>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</si>
  <si>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</si>
  <si>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</si>
  <si>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</si>
  <si>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</si>
  <si>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</si>
  <si>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</si>
  <si>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</si>
  <si>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</si>
  <si>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</si>
  <si>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</si>
  <si>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</si>
  <si>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</si>
  <si>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</si>
  <si>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</si>
  <si>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</si>
  <si>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</si>
  <si>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</si>
  <si>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</si>
  <si>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</si>
  <si>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</si>
  <si>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</si>
  <si>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</si>
  <si>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</si>
  <si>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</si>
  <si>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</si>
  <si>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</si>
  <si>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</si>
  <si>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</si>
  <si>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</si>
  <si>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</si>
  <si>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</si>
  <si>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</si>
  <si>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</si>
  <si>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</si>
  <si>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</si>
  <si>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</si>
  <si>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</si>
  <si>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</si>
  <si>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</si>
  <si>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</si>
  <si>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</si>
  <si>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</si>
  <si>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</si>
  <si>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</si>
  <si>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</si>
  <si>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</si>
  <si>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</si>
  <si>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</si>
  <si>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</si>
  <si>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</si>
  <si>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</si>
  <si>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</si>
  <si>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</si>
  <si>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</si>
  <si>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</si>
  <si>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</si>
  <si>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</si>
  <si>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</si>
  <si>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</si>
  <si>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</si>
  <si>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</si>
  <si>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</si>
  <si>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</si>
  <si>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</si>
  <si>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</si>
  <si>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</si>
  <si>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</si>
  <si>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</si>
  <si>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</si>
  <si>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</si>
  <si>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</si>
  <si>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</si>
  <si>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</si>
  <si>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</si>
  <si>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</si>
  <si>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</si>
  <si>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</si>
  <si>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</si>
  <si>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</si>
  <si>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</si>
  <si>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</si>
  <si>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</si>
  <si>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</si>
  <si>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</si>
  <si>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</si>
  <si>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</si>
  <si>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</si>
  <si>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</si>
  <si>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</si>
  <si>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</si>
  <si>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</si>
  <si>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</si>
  <si>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</si>
  <si>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</si>
  <si>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</si>
  <si>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</si>
  <si>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</si>
  <si>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</si>
  <si>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</si>
  <si>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</si>
  <si>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</si>
  <si>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</si>
  <si>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</si>
  <si>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</si>
  <si>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</si>
  <si>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</si>
  <si>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</si>
  <si>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</si>
  <si>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</si>
  <si>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</si>
  <si>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</si>
  <si>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</si>
  <si>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</si>
  <si>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</si>
  <si>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</si>
  <si>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</si>
  <si>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</si>
  <si>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</si>
  <si>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</si>
  <si>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</si>
  <si>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</si>
  <si>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</si>
  <si>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</si>
  <si>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</si>
  <si>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</si>
  <si>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</si>
  <si>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</si>
  <si>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</si>
  <si>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</si>
  <si>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</si>
  <si>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</si>
  <si>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</si>
  <si>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</si>
  <si>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</si>
  <si>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</si>
  <si>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</si>
  <si>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</si>
  <si>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</si>
  <si>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</si>
  <si>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</si>
  <si>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</si>
  <si>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</si>
  <si>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</si>
  <si>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</si>
  <si>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</si>
  <si>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</si>
  <si>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</si>
  <si>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</si>
  <si>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</si>
  <si>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</si>
  <si>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</si>
  <si>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</si>
  <si>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</si>
  <si>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</si>
  <si>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</si>
  <si>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</si>
  <si>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</si>
  <si>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</si>
  <si>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</si>
  <si>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</si>
  <si>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</si>
  <si>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</si>
  <si>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</si>
  <si>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</si>
  <si>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</si>
  <si>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</si>
  <si>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</si>
  <si>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</si>
  <si>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</si>
  <si>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</si>
  <si>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</si>
  <si>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</si>
  <si>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</si>
  <si>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</si>
  <si>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</si>
  <si>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</si>
  <si>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</si>
  <si>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</si>
  <si>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</si>
  <si>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</si>
  <si>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</si>
  <si>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</si>
  <si>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</si>
  <si>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</si>
  <si>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</si>
  <si>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</si>
  <si>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</si>
  <si>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</si>
  <si>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</si>
  <si>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</si>
  <si>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</si>
  <si>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</si>
  <si>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</si>
  <si>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</si>
  <si>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</si>
  <si>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</si>
  <si>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</si>
  <si>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</si>
  <si>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</si>
  <si>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</si>
  <si>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</si>
  <si>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</si>
  <si>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</si>
  <si>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</si>
  <si>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</si>
  <si>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</si>
  <si>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</si>
  <si>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</si>
  <si>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</si>
  <si>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</si>
  <si>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</si>
  <si>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</si>
  <si>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</si>
  <si>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</si>
  <si>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</si>
  <si>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</si>
  <si>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</si>
  <si>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</si>
  <si>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</si>
  <si>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</si>
  <si>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</si>
  <si>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</si>
  <si>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</si>
  <si>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</si>
  <si>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</si>
  <si>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</si>
  <si>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</si>
  <si>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</si>
  <si>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</si>
  <si>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</si>
  <si>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</si>
  <si>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</si>
  <si>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</si>
  <si>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</si>
  <si>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</si>
  <si>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</si>
  <si>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</si>
  <si>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</si>
  <si>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</si>
  <si>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</si>
  <si>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</si>
  <si>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</si>
  <si>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</si>
  <si>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</si>
  <si>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</si>
  <si>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</si>
  <si>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</si>
  <si>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</si>
  <si>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</si>
  <si>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</si>
  <si>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</si>
  <si>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</si>
  <si>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</si>
  <si>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</si>
  <si>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</si>
  <si>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</si>
  <si>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</si>
  <si>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</si>
  <si>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</si>
  <si>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</si>
  <si>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</si>
  <si>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</si>
  <si>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</si>
  <si>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</si>
  <si>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</si>
  <si>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</si>
  <si>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</si>
  <si>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</si>
  <si>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</si>
  <si>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</si>
  <si>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</si>
  <si>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</si>
  <si>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</si>
  <si>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</si>
  <si>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</si>
  <si>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</si>
  <si>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</si>
  <si>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</si>
  <si>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</si>
  <si>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</si>
  <si>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</si>
  <si>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</si>
  <si>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</si>
  <si>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</si>
  <si>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</si>
  <si>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</si>
  <si>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</si>
  <si>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</si>
  <si>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</si>
  <si>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</si>
  <si>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</si>
  <si>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</si>
  <si>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</si>
  <si>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</si>
  <si>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</si>
  <si>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</si>
  <si>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</si>
  <si>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</si>
  <si>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</si>
  <si>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</si>
  <si>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</si>
  <si>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</si>
  <si>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</si>
  <si>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</si>
  <si>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</si>
  <si>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</si>
  <si>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</si>
  <si>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</si>
  <si>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</si>
  <si>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</si>
  <si>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</si>
  <si>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</si>
  <si>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</si>
  <si>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</si>
  <si>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</si>
  <si>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</si>
  <si>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</si>
  <si>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</si>
  <si>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</si>
  <si>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</si>
  <si>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</si>
  <si>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</si>
  <si>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</si>
  <si>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</si>
  <si>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</si>
  <si>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</si>
  <si>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</si>
  <si>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</si>
  <si>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</si>
  <si>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</si>
  <si>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</si>
  <si>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</si>
  <si>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</si>
  <si>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</si>
  <si>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</si>
  <si>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</si>
  <si>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</si>
  <si>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</si>
  <si>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</si>
  <si>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</si>
  <si>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</si>
  <si>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</si>
  <si>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</si>
  <si>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</si>
  <si>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</si>
  <si>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</si>
  <si>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</si>
  <si>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</si>
  <si>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</si>
  <si>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</si>
  <si>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</si>
  <si>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</si>
  <si>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</si>
  <si>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</si>
  <si>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</si>
  <si>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</si>
  <si>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</si>
  <si>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</si>
  <si>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</si>
  <si>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</si>
  <si>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</si>
  <si>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</si>
  <si>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</si>
  <si>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</si>
  <si>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</si>
  <si>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</si>
  <si>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</si>
  <si>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</si>
  <si>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</si>
  <si>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</si>
  <si>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</si>
  <si>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</si>
  <si>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</si>
  <si>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</si>
  <si>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</si>
  <si>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</si>
  <si>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</si>
  <si>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</si>
  <si>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</si>
  <si>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</si>
  <si>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</si>
  <si>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</si>
  <si>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</si>
  <si>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</si>
  <si>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</si>
  <si>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</si>
  <si>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</si>
  <si>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</si>
  <si>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</si>
  <si>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</si>
  <si>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</si>
  <si>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</si>
  <si>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</si>
  <si>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</si>
  <si>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</si>
  <si>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</si>
  <si>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</si>
  <si>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</si>
  <si>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</si>
  <si>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</si>
  <si>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</si>
  <si>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</si>
  <si>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</si>
  <si>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</si>
  <si>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</si>
  <si>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</si>
  <si>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</si>
  <si>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</si>
  <si>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</si>
  <si>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</si>
  <si>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</si>
  <si>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</si>
  <si>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</si>
  <si>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</si>
  <si>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</si>
  <si>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</si>
  <si>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</si>
  <si>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</si>
  <si>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</si>
  <si>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</si>
  <si>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</si>
  <si>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</si>
  <si>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</si>
  <si>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</si>
  <si>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</si>
  <si>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</si>
  <si>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</si>
  <si>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</si>
  <si>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</si>
  <si>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</si>
  <si>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</si>
  <si>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</si>
  <si>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</si>
  <si>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</si>
  <si>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</si>
  <si>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</si>
  <si>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</si>
  <si>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</si>
  <si>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</si>
  <si>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</si>
  <si>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</si>
  <si>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</si>
  <si>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</si>
  <si>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</si>
  <si>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</si>
  <si>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</si>
  <si>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</si>
  <si>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</si>
  <si>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</si>
  <si>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</si>
  <si>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</si>
  <si>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</si>
  <si>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</si>
  <si>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</si>
  <si>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</si>
  <si>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</si>
  <si>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</si>
  <si>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</si>
  <si>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</si>
  <si>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</si>
  <si>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</si>
  <si>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</si>
  <si>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</si>
  <si>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</si>
  <si>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</si>
  <si>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</si>
  <si>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</si>
  <si>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</si>
  <si>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</si>
  <si>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</si>
  <si>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</si>
  <si>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</si>
  <si>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</si>
  <si>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</si>
  <si>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</si>
  <si>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</si>
  <si>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</si>
  <si>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</si>
  <si>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</si>
  <si>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</si>
  <si>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</si>
  <si>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</si>
  <si>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</si>
  <si>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</si>
  <si>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</si>
  <si>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</si>
  <si>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</si>
  <si>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</si>
  <si>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</si>
  <si>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</si>
  <si>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</si>
  <si>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</si>
  <si>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</si>
  <si>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</si>
  <si>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</si>
  <si>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</si>
  <si>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</si>
  <si>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</si>
  <si>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</si>
  <si>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</si>
  <si>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</si>
  <si>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</si>
  <si>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</si>
  <si>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</si>
  <si>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</si>
  <si>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</si>
  <si>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</si>
  <si>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</si>
  <si>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</si>
  <si>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</si>
  <si>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</si>
  <si>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</si>
  <si>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</si>
  <si>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</si>
  <si>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</si>
  <si>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</si>
  <si>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</si>
  <si>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</si>
  <si>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</si>
  <si>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</si>
  <si>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</si>
  <si>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</si>
  <si>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</si>
  <si>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</si>
  <si>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</si>
  <si>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</si>
  <si>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</si>
  <si>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</si>
  <si>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</si>
  <si>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</si>
  <si>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</si>
  <si>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</si>
  <si>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</si>
  <si>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</si>
  <si>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</si>
  <si>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</si>
  <si>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</si>
  <si>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</si>
  <si>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</si>
  <si>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</si>
  <si>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</si>
  <si>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</si>
  <si>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</si>
  <si>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</si>
  <si>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</si>
  <si>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</si>
  <si>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</si>
  <si>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</si>
  <si>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</si>
  <si>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</si>
  <si>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</si>
  <si>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</si>
  <si>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</si>
  <si>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</si>
  <si>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</si>
  <si>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</si>
  <si>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</si>
  <si>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</si>
  <si>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</si>
  <si>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</si>
  <si>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</si>
  <si>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</si>
  <si>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</si>
  <si>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</si>
  <si>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</si>
  <si>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</si>
  <si>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</si>
  <si>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</si>
  <si>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</si>
  <si>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</si>
  <si>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</si>
  <si>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</si>
  <si>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</si>
  <si>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</si>
  <si>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</si>
  <si>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</si>
  <si>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</si>
  <si>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</si>
  <si>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</si>
  <si>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</si>
  <si>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</si>
  <si>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</si>
  <si>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</si>
  <si>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</si>
  <si>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</si>
  <si>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</si>
  <si>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</si>
  <si>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</si>
  <si>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</si>
  <si>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</si>
  <si>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</si>
  <si>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</si>
  <si>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</si>
  <si>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</si>
  <si>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</si>
  <si>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</si>
  <si>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</si>
  <si>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</si>
  <si>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</si>
  <si>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</si>
  <si>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</si>
  <si>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</si>
  <si>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</si>
  <si>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</si>
  <si>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</si>
  <si>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</si>
  <si>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</si>
  <si>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</si>
  <si>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</si>
  <si>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</si>
  <si>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</si>
  <si>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</si>
  <si>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</si>
  <si>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</si>
  <si>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</si>
  <si>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</si>
  <si>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</si>
  <si>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</si>
  <si>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</si>
  <si>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</si>
  <si>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</si>
  <si>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</si>
  <si>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</si>
  <si>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</si>
  <si>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</si>
  <si>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</si>
  <si>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</si>
  <si>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</si>
  <si>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</si>
  <si>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</si>
  <si>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</si>
  <si>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</si>
  <si>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</si>
  <si>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</si>
  <si>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</si>
  <si>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</si>
  <si>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</si>
  <si>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</si>
  <si>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</si>
  <si>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</si>
  <si>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</si>
  <si>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</si>
  <si>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</si>
  <si>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</si>
  <si>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</si>
  <si>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</si>
  <si>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</si>
  <si>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</si>
  <si>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</si>
  <si>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</si>
  <si>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</si>
  <si>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</si>
  <si>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</si>
  <si>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</si>
  <si>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</si>
  <si>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</si>
  <si>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</si>
  <si>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</si>
  <si>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</si>
  <si>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</si>
  <si>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</si>
  <si>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</si>
  <si>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</si>
  <si>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</si>
  <si>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</si>
  <si>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</si>
  <si>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</si>
  <si>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</si>
  <si>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</si>
  <si>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</si>
  <si>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</si>
  <si>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</si>
  <si>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</si>
  <si>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</si>
  <si>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</si>
  <si>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</si>
  <si>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</si>
  <si>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</si>
  <si>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</si>
  <si>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</si>
  <si>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</si>
  <si>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</si>
  <si>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</si>
  <si>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</si>
  <si>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</si>
  <si>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</si>
  <si>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</si>
  <si>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</si>
  <si>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</si>
  <si>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</si>
  <si>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</si>
  <si>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</si>
  <si>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</si>
  <si>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</si>
  <si>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</si>
  <si>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</si>
  <si>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</si>
  <si>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</si>
  <si>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</si>
  <si>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</si>
  <si>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</si>
  <si>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</si>
  <si>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</si>
  <si>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</si>
  <si>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</si>
  <si>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</si>
  <si>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</si>
  <si>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</si>
  <si>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</si>
  <si>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</si>
  <si>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</si>
  <si>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</si>
  <si>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</si>
  <si>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</si>
  <si>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</si>
  <si>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</si>
  <si>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</si>
  <si>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</si>
  <si>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</si>
  <si>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</si>
  <si>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</si>
  <si>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</si>
  <si>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</si>
  <si>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</si>
  <si>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</si>
  <si>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</si>
  <si>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</si>
  <si>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</si>
  <si>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</si>
  <si>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</si>
  <si>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</si>
  <si>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</si>
  <si>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</si>
  <si>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</si>
  <si>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</si>
  <si>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</si>
  <si>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</si>
  <si>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</si>
  <si>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</si>
  <si>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</si>
  <si>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</si>
  <si>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</si>
  <si>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</si>
  <si>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</si>
  <si>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</si>
  <si>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</si>
  <si>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</si>
  <si>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</si>
  <si>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</si>
  <si>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</si>
  <si>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</si>
  <si>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</si>
  <si>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</si>
  <si>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</si>
  <si>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</si>
  <si>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</si>
  <si>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</si>
  <si>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</si>
  <si>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</si>
  <si>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</si>
  <si>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</si>
  <si>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</si>
  <si>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</si>
  <si>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</si>
  <si>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</si>
  <si>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</si>
  <si>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</si>
  <si>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</si>
  <si>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</si>
  <si>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</si>
  <si>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</si>
  <si>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</si>
  <si>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</si>
  <si>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</si>
  <si>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</si>
  <si>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</si>
  <si>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</si>
  <si>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</si>
  <si>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</si>
  <si>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</si>
  <si>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</si>
  <si>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</si>
  <si>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</si>
  <si>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</si>
  <si>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</si>
  <si>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</si>
  <si>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</si>
  <si>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</si>
  <si>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</si>
  <si>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</si>
  <si>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</si>
  <si>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</si>
  <si>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</si>
  <si>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</si>
  <si>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</si>
  <si>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</si>
  <si>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</si>
  <si>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</si>
  <si>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</si>
  <si>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</si>
  <si>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</si>
  <si>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</si>
  <si>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</si>
  <si>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</si>
  <si>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</si>
  <si>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</si>
  <si>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</si>
  <si>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</si>
  <si>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</si>
  <si>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</si>
  <si>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</si>
  <si>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</si>
  <si>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</si>
  <si>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</si>
  <si>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</si>
  <si>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</si>
  <si>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</si>
  <si>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</si>
  <si>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</si>
  <si>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</si>
  <si>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</si>
  <si>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</si>
  <si>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</si>
  <si>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</si>
  <si>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</si>
  <si>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</si>
  <si>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</si>
  <si>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</si>
  <si>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</si>
  <si>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</si>
  <si>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</si>
  <si>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</si>
  <si>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</si>
  <si>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</si>
  <si>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</si>
  <si>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</si>
  <si>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</si>
  <si>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</si>
  <si>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</si>
  <si>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</si>
  <si>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</si>
  <si>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</si>
  <si>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</si>
  <si>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</si>
  <si>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</si>
  <si>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</si>
  <si>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</si>
  <si>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</si>
  <si>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</si>
  <si>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</si>
  <si>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</si>
  <si>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</si>
  <si>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</si>
  <si>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</si>
  <si>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</si>
  <si>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</si>
  <si>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</si>
  <si>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</si>
  <si>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</si>
  <si>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</si>
  <si>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</si>
  <si>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</si>
  <si>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</si>
  <si>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</si>
  <si>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</si>
  <si>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</si>
  <si>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</si>
  <si>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</si>
  <si>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</si>
  <si>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</si>
  <si>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</si>
  <si>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</si>
  <si>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</si>
  <si>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</si>
  <si>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</si>
  <si>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</si>
  <si>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</si>
  <si>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</si>
  <si>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</si>
  <si>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</si>
  <si>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</si>
  <si>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</si>
  <si>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</si>
  <si>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</si>
  <si>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</si>
  <si>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</si>
  <si>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</si>
  <si>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</si>
  <si>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</si>
  <si>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</si>
  <si>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</si>
  <si>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</si>
  <si>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</si>
  <si>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</si>
  <si>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</si>
  <si>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</si>
  <si>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</si>
  <si>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</si>
  <si>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</si>
  <si>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</si>
  <si>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</si>
  <si>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</si>
  <si>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</si>
  <si>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</si>
  <si>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</si>
  <si>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</si>
  <si>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</si>
  <si>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</si>
  <si>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</si>
  <si>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</si>
  <si>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</si>
  <si>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</si>
  <si>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</si>
  <si>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</si>
  <si>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</si>
  <si>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</si>
  <si>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</si>
  <si>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</si>
  <si>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</si>
  <si>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</si>
  <si>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</si>
  <si>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</si>
  <si>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</si>
  <si>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</si>
  <si>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</si>
  <si>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</si>
  <si>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</si>
  <si>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</si>
  <si>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</si>
  <si>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</si>
  <si>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</si>
  <si>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</si>
  <si>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</si>
  <si>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</si>
  <si>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</si>
  <si>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</si>
  <si>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</si>
  <si>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</si>
  <si>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</si>
  <si>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</si>
  <si>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</si>
  <si>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</si>
  <si>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</si>
  <si>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</si>
  <si>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</si>
  <si>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</si>
  <si>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</si>
  <si>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</si>
  <si>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</si>
  <si>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</si>
  <si>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</si>
  <si>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</si>
  <si>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</si>
  <si>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</si>
  <si>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</si>
  <si>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</si>
  <si>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</si>
  <si>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</si>
  <si>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</si>
  <si>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</si>
  <si>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</si>
  <si>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</si>
  <si>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</si>
  <si>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</si>
  <si>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</si>
  <si>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</si>
  <si>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</si>
  <si>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</si>
  <si>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</si>
  <si>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</si>
  <si>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</si>
  <si>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</si>
  <si>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</si>
  <si>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</si>
  <si>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</si>
  <si>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</si>
  <si>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</si>
  <si>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</si>
  <si>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</si>
  <si>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</si>
  <si>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</si>
  <si>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</si>
  <si>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</si>
  <si>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</si>
  <si>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</si>
  <si>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</si>
  <si>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</si>
  <si>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</si>
  <si>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</si>
  <si>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</si>
  <si>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</si>
  <si>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</si>
  <si>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</si>
  <si>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</si>
  <si>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</si>
  <si>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</si>
  <si>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</si>
  <si>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</si>
  <si>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</si>
  <si>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</si>
  <si>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</si>
  <si>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</si>
  <si>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</si>
  <si>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</si>
  <si>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</si>
  <si>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</si>
  <si>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</si>
  <si>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</si>
  <si>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</si>
  <si>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</si>
  <si>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</si>
  <si>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</si>
  <si>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</si>
  <si>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</si>
  <si>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</si>
  <si>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</si>
  <si>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</si>
  <si>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</si>
  <si>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</si>
  <si>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</si>
  <si>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</si>
  <si>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</si>
  <si>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</si>
  <si>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</si>
  <si>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</si>
  <si>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</si>
  <si>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</si>
  <si>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</si>
  <si>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</si>
  <si>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</si>
  <si>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</si>
  <si>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</si>
  <si>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</si>
  <si>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</si>
  <si>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</si>
  <si>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</si>
  <si>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</si>
  <si>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</si>
  <si>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</si>
  <si>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</si>
  <si>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</si>
  <si>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</si>
  <si>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</si>
  <si>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</si>
  <si>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</si>
  <si>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</si>
  <si>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</si>
  <si>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</si>
  <si>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</si>
  <si>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</si>
  <si>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</si>
  <si>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</si>
  <si>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</si>
  <si>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</si>
  <si>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</si>
  <si>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</si>
  <si>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</si>
  <si>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</si>
  <si>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</si>
  <si>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</si>
  <si>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</si>
  <si>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</si>
  <si>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</si>
  <si>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</si>
  <si>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</si>
  <si>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</si>
  <si>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</si>
  <si>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</si>
  <si>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</si>
  <si>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</si>
  <si>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</si>
  <si>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</si>
  <si>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</si>
  <si>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</si>
  <si>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</si>
  <si>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</si>
  <si>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</si>
  <si>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</si>
  <si>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</si>
  <si>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</si>
  <si>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</si>
  <si>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</si>
  <si>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</si>
  <si>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</si>
  <si>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</si>
  <si>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</si>
  <si>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</si>
  <si>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</si>
  <si>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</si>
  <si>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</si>
  <si>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</si>
  <si>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</si>
  <si>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</si>
  <si>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</si>
  <si>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</si>
  <si>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</si>
  <si>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</si>
  <si>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</si>
  <si>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</si>
  <si>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</si>
  <si>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</si>
  <si>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</si>
  <si>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</si>
  <si>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</si>
  <si>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</si>
  <si>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</si>
  <si>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</si>
  <si>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</si>
  <si>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</si>
  <si>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</si>
  <si>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</si>
  <si>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</si>
  <si>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</si>
  <si>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</si>
  <si>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</si>
  <si>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</si>
  <si>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</si>
  <si>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</si>
  <si>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</si>
  <si>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</si>
  <si>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</si>
  <si>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</si>
  <si>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</si>
  <si>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</si>
  <si>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</si>
  <si>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</si>
  <si>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</si>
  <si>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</si>
  <si>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</si>
  <si>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</si>
  <si>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</si>
  <si>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</si>
  <si>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</si>
  <si>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</si>
  <si>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</si>
  <si>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</si>
  <si>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</si>
  <si>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</si>
  <si>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</si>
  <si>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</si>
  <si>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</si>
  <si>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</si>
  <si>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</si>
  <si>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</si>
  <si>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</si>
  <si>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</si>
  <si>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</si>
  <si>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</si>
  <si>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</si>
  <si>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</si>
  <si>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</si>
  <si>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</si>
  <si>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</si>
  <si>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</si>
  <si>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</si>
  <si>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</si>
  <si>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</si>
  <si>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</si>
  <si>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</si>
  <si>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</si>
  <si>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</si>
  <si>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</si>
  <si>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</si>
  <si>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</si>
  <si>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</si>
  <si>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</si>
  <si>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</si>
  <si>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</si>
  <si>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</si>
  <si>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</si>
  <si>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</si>
  <si>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</si>
  <si>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</si>
  <si>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</si>
  <si>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</si>
  <si>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</si>
  <si>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</si>
  <si>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</si>
  <si>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</si>
  <si>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</si>
  <si>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</si>
  <si>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</si>
  <si>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</si>
  <si>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</si>
  <si>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</si>
  <si>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</si>
  <si>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</si>
  <si>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</si>
  <si>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</si>
  <si>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</si>
  <si>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</si>
  <si>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</si>
  <si>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</si>
  <si>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</si>
  <si>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</si>
  <si>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</si>
  <si>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</si>
  <si>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</si>
  <si>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</si>
  <si>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</si>
  <si>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</si>
  <si>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</si>
  <si>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</si>
  <si>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</si>
  <si>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</si>
  <si>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</si>
  <si>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</si>
  <si>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</si>
  <si>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</si>
  <si>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</si>
  <si>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</si>
  <si>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</si>
  <si>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</si>
  <si>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</si>
  <si>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</si>
  <si>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</si>
  <si>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</si>
  <si>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</si>
  <si>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</si>
  <si>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</si>
  <si>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</si>
  <si>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</si>
  <si>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</si>
  <si>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</si>
  <si>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</si>
  <si>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</si>
  <si>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</si>
  <si>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</si>
  <si>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</si>
  <si>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</si>
  <si>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</si>
  <si>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</si>
  <si>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</si>
  <si>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</si>
  <si>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</si>
  <si>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</si>
  <si>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</si>
  <si>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</si>
  <si>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</si>
  <si>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</si>
  <si>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</si>
  <si>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</si>
  <si>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</si>
  <si>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</si>
  <si>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</si>
  <si>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</si>
  <si>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</si>
  <si>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</si>
  <si>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</si>
  <si>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</si>
  <si>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</si>
  <si>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</si>
  <si>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</si>
  <si>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</si>
  <si>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</si>
  <si>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</si>
  <si>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</si>
  <si>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</si>
  <si>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</si>
  <si>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</si>
  <si>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</si>
  <si>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</si>
  <si>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</si>
  <si>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</si>
  <si>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</si>
  <si>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</si>
  <si>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</si>
  <si>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</si>
  <si>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</si>
  <si>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</si>
  <si>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</si>
  <si>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</si>
  <si>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</si>
  <si>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</si>
  <si>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</si>
  <si>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</si>
  <si>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</si>
  <si>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</si>
  <si>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</si>
  <si>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</si>
  <si>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</si>
  <si>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</si>
  <si>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</si>
  <si>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</si>
  <si>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</si>
  <si>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</si>
  <si>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</si>
  <si>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</si>
  <si>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</si>
  <si>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</si>
  <si>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</si>
  <si>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</si>
  <si>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</si>
  <si>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</si>
  <si>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</si>
  <si>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</si>
  <si>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</si>
  <si>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</si>
  <si>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</si>
  <si>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</si>
  <si>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</si>
  <si>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</si>
  <si>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</si>
  <si>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</si>
  <si>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</si>
  <si>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</si>
  <si>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</si>
  <si>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</si>
  <si>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</si>
  <si>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</si>
  <si>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</si>
  <si>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</si>
  <si>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</si>
  <si>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</si>
  <si>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</si>
  <si>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</si>
  <si>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</si>
  <si>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</si>
  <si>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</si>
  <si>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</si>
  <si>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</si>
  <si>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</si>
  <si>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</si>
  <si>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</si>
  <si>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</si>
  <si>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</si>
  <si>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</si>
  <si>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</si>
  <si>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</si>
  <si>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</si>
  <si>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</si>
  <si>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</si>
  <si>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</si>
  <si>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</si>
  <si>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</si>
  <si>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</si>
  <si>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</si>
  <si>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</si>
  <si>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</si>
  <si>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</si>
  <si>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</si>
  <si>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</si>
  <si>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</si>
  <si>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</si>
  <si>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</si>
  <si>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</si>
  <si>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</si>
  <si>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</si>
  <si>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</si>
  <si>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</si>
  <si>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</si>
  <si>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</si>
  <si>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</si>
  <si>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</si>
  <si>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</si>
  <si>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</si>
  <si>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</si>
  <si>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</si>
  <si>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</si>
  <si>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</si>
  <si>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</si>
  <si>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</si>
  <si>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</si>
  <si>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</si>
  <si>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</si>
  <si>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</si>
  <si>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</si>
  <si>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</si>
  <si>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</si>
  <si>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</si>
  <si>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</si>
  <si>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</si>
  <si>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</si>
  <si>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</si>
  <si>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</si>
  <si>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</si>
  <si>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</si>
  <si>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</si>
  <si>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</si>
  <si>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</si>
  <si>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</si>
  <si>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</si>
  <si>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</si>
  <si>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</si>
  <si>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</si>
  <si>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</si>
  <si>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</si>
  <si>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</si>
  <si>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</si>
  <si>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</si>
  <si>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</si>
  <si>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</si>
  <si>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</si>
  <si>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</si>
  <si>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</si>
  <si>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</si>
  <si>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</si>
  <si>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</si>
  <si>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</si>
  <si>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</si>
  <si>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</si>
  <si>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</si>
  <si>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</si>
  <si>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</si>
  <si>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</si>
  <si>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</si>
  <si>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</si>
  <si>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</si>
  <si>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</si>
  <si>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</si>
  <si>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</si>
  <si>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</si>
  <si>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</si>
  <si>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</si>
  <si>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</si>
  <si>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</si>
  <si>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</si>
  <si>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</si>
  <si>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</si>
  <si>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</si>
  <si>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</si>
  <si>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</si>
  <si>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</si>
  <si>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</si>
  <si>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</si>
  <si>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</si>
  <si>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</si>
  <si>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</si>
  <si>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</si>
  <si>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</si>
  <si>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</si>
  <si>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</si>
  <si>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</si>
  <si>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</si>
  <si>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</si>
  <si>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</si>
  <si>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</si>
  <si>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</si>
  <si>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</si>
  <si>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</si>
  <si>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</si>
  <si>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</si>
  <si>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</si>
  <si>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</si>
  <si>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</si>
  <si>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</si>
  <si>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</si>
  <si>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</si>
  <si>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</si>
  <si>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</si>
  <si>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</si>
  <si>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</si>
  <si>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</si>
  <si>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</si>
  <si>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</si>
  <si>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</si>
  <si>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</si>
  <si>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</si>
  <si>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</si>
  <si>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</si>
  <si>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</si>
  <si>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</si>
  <si>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</si>
  <si>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</si>
  <si>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</si>
  <si>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</si>
  <si>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</si>
  <si>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</si>
  <si>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</si>
  <si>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</si>
  <si>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</si>
  <si>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</si>
  <si>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</si>
  <si>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</si>
  <si>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</si>
  <si>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</si>
  <si>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</si>
  <si>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</si>
  <si>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</si>
  <si>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</si>
  <si>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</si>
  <si>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</si>
  <si>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</si>
  <si>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</si>
  <si>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</si>
  <si>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</si>
  <si>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</si>
  <si>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</si>
  <si>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</si>
  <si>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</si>
  <si>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</si>
  <si>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</si>
  <si>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</si>
  <si>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</si>
  <si>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</si>
  <si>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</si>
  <si>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</si>
  <si>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</si>
  <si>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</si>
  <si>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</si>
  <si>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</si>
  <si>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</si>
  <si>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</si>
  <si>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</si>
  <si>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</si>
  <si>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</si>
  <si>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</si>
  <si>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</si>
  <si>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</si>
  <si>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</si>
  <si>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</si>
  <si>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</si>
  <si>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</si>
  <si>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</si>
  <si>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</si>
  <si>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</si>
  <si>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</si>
  <si>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</si>
  <si>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</si>
  <si>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</si>
  <si>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</si>
  <si>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</si>
  <si>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</si>
  <si>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</si>
  <si>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</si>
  <si>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</si>
  <si>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</si>
  <si>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</si>
  <si>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</si>
  <si>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</si>
  <si>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</si>
  <si>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</si>
  <si>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</si>
  <si>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</si>
  <si>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</si>
  <si>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</si>
  <si>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</si>
  <si>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</si>
  <si>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</si>
  <si>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</si>
  <si>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</si>
  <si>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</si>
  <si>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</si>
  <si>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</si>
  <si>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</si>
  <si>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</si>
  <si>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</si>
  <si>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</si>
  <si>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</si>
  <si>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</si>
  <si>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</si>
  <si>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</si>
  <si>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</si>
  <si>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</si>
  <si>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</si>
  <si>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</si>
  <si>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</si>
  <si>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</si>
  <si>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</si>
  <si>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</si>
  <si>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</si>
  <si>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</si>
  <si>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</si>
  <si>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</si>
  <si>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</si>
  <si>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</si>
  <si>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</si>
  <si>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</si>
  <si>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</si>
  <si>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</si>
  <si>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</si>
  <si>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</si>
  <si>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</si>
  <si>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</si>
  <si>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</si>
  <si>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</si>
  <si>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</si>
  <si>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</si>
  <si>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</si>
  <si>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</si>
  <si>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</si>
  <si>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</si>
  <si>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</si>
  <si>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</si>
  <si>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</si>
  <si>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</si>
  <si>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</si>
  <si>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</si>
  <si>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</si>
  <si>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</si>
  <si>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</si>
  <si>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</si>
  <si>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</si>
  <si>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</si>
  <si>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</si>
  <si>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</si>
  <si>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</si>
  <si>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</si>
  <si>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</si>
  <si>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</si>
  <si>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</si>
  <si>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</si>
  <si>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</si>
  <si>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</si>
  <si>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</si>
  <si>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</si>
  <si>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</si>
  <si>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</si>
  <si>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</si>
  <si>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</si>
  <si>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</si>
  <si>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</si>
  <si>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</si>
  <si>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</si>
  <si>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</si>
  <si>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</si>
  <si>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</si>
  <si>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</si>
  <si>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</si>
  <si>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</si>
  <si>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</si>
  <si>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</si>
  <si>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</si>
  <si>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</si>
  <si>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</si>
  <si>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</si>
  <si>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</si>
  <si>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</si>
  <si>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</si>
  <si>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</si>
  <si>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</si>
  <si>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</si>
  <si>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</si>
  <si>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</si>
  <si>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</si>
  <si>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</si>
  <si>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</si>
  <si>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</si>
  <si>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</si>
  <si>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</si>
  <si>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</si>
  <si>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</si>
  <si>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</si>
  <si>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</si>
  <si>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</si>
  <si>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</si>
  <si>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</si>
  <si>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</si>
  <si>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</si>
  <si>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</si>
  <si>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</si>
  <si>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</si>
  <si>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</si>
  <si>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</si>
  <si>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</si>
  <si>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</si>
  <si>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</si>
  <si>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</si>
  <si>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</si>
  <si>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</si>
  <si>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</si>
  <si>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</si>
  <si>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</si>
  <si>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</si>
  <si>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</si>
  <si>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</si>
  <si>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</si>
  <si>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</si>
  <si>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</si>
  <si>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</si>
  <si>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</si>
  <si>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</si>
  <si>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</si>
  <si>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</si>
  <si>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</si>
  <si>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</si>
  <si>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</si>
  <si>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</si>
  <si>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</si>
  <si>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</si>
  <si>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</si>
  <si>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</si>
  <si>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</si>
  <si>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</si>
  <si>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</si>
  <si>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</si>
  <si>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</si>
  <si>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</si>
  <si>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</si>
  <si>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</si>
  <si>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</si>
  <si>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</si>
  <si>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</si>
  <si>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</si>
  <si>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</si>
  <si>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</si>
  <si>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</si>
  <si>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</si>
  <si>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</si>
  <si>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</si>
  <si>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</si>
  <si>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</si>
  <si>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</si>
  <si>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</si>
  <si>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</si>
  <si>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</si>
  <si>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</si>
  <si>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</si>
  <si>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</si>
  <si>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</si>
  <si>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</si>
  <si>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</si>
  <si>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</si>
  <si>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</si>
  <si>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</si>
  <si>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</si>
  <si>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</si>
  <si>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</si>
  <si>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</si>
  <si>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</si>
  <si>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</si>
  <si>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</si>
  <si>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</si>
  <si>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</si>
  <si>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</si>
  <si>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</si>
  <si>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</si>
  <si>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</si>
  <si>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</si>
  <si>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</si>
  <si>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</si>
  <si>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</si>
  <si>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</si>
  <si>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</si>
  <si>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</si>
  <si>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</si>
  <si>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</si>
  <si>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</si>
  <si>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</si>
  <si>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</si>
  <si>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</si>
  <si>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</si>
  <si>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</si>
  <si>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</si>
  <si>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</si>
  <si>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</si>
  <si>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</si>
  <si>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</si>
  <si>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</si>
  <si>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</si>
  <si>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</si>
  <si>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</si>
  <si>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</si>
  <si>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</si>
  <si>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</si>
  <si>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</si>
  <si>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</si>
  <si>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</si>
  <si>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</si>
  <si>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</si>
  <si>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</si>
  <si>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</si>
  <si>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</si>
  <si>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</si>
  <si>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</si>
  <si>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</si>
  <si>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</si>
  <si>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</si>
  <si>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</si>
  <si>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</si>
  <si>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</si>
  <si>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</si>
  <si>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</si>
  <si>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</si>
  <si>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</si>
  <si>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</si>
  <si>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</si>
  <si>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</si>
  <si>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</si>
  <si>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</si>
  <si>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</si>
  <si>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</si>
  <si>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</si>
  <si>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</si>
  <si>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</si>
  <si>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</si>
  <si>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</si>
  <si>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</si>
  <si>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</si>
  <si>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</si>
  <si>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</si>
  <si>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</si>
  <si>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</si>
  <si>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</si>
  <si>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</si>
  <si>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</si>
  <si>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</si>
  <si>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</si>
  <si>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</si>
  <si>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</si>
  <si>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</si>
  <si>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</si>
  <si>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</si>
  <si>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</si>
  <si>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</si>
  <si>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</si>
  <si>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</si>
  <si>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</si>
  <si>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</si>
  <si>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</si>
  <si>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</si>
  <si>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</si>
  <si>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</si>
  <si>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</si>
  <si>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</si>
  <si>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</si>
  <si>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</si>
  <si>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</si>
  <si>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</si>
  <si>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</si>
  <si>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</si>
  <si>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</si>
  <si>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</si>
  <si>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</si>
  <si>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</si>
  <si>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</si>
  <si>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</si>
  <si>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</si>
  <si>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</si>
  <si>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</si>
  <si>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</si>
  <si>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</si>
  <si>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</si>
  <si>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</si>
  <si>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</si>
  <si>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</si>
  <si>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</si>
  <si>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</si>
  <si>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</si>
  <si>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</si>
  <si>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</si>
  <si>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</si>
  <si>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</si>
  <si>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</si>
  <si>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</si>
  <si>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</si>
  <si>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</si>
  <si>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</si>
  <si>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</si>
  <si>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</si>
  <si>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</si>
  <si>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</si>
  <si>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</si>
  <si>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</si>
  <si>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</si>
  <si>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</si>
  <si>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</si>
  <si>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</si>
  <si>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</si>
  <si>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</si>
  <si>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</si>
  <si>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</si>
  <si>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</si>
  <si>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</si>
  <si>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</si>
  <si>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</si>
  <si>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</si>
  <si>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</si>
  <si>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</si>
  <si>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</si>
  <si>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</si>
  <si>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</si>
  <si>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</si>
  <si>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</si>
  <si>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</si>
  <si>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</si>
  <si>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</si>
  <si>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</si>
  <si>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</si>
  <si>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</si>
  <si>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</si>
  <si>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</si>
  <si>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</si>
  <si>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</si>
  <si>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</si>
  <si>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</si>
  <si>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</si>
  <si>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</si>
  <si>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</si>
  <si>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</si>
  <si>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</si>
  <si>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</si>
  <si>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</si>
  <si>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</si>
  <si>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</si>
  <si>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</si>
  <si>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</si>
  <si>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</si>
  <si>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</si>
  <si>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</si>
  <si>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</si>
  <si>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</si>
  <si>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</si>
  <si>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</si>
  <si>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</si>
  <si>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</si>
  <si>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</si>
  <si>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</si>
  <si>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</si>
  <si>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</si>
  <si>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</si>
  <si>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</si>
  <si>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</si>
  <si>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</si>
  <si>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</si>
  <si>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</si>
  <si>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</si>
  <si>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</si>
  <si>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</si>
  <si>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</si>
  <si>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</si>
  <si>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</si>
  <si>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</si>
  <si>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</si>
  <si>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</si>
  <si>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</si>
  <si>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</si>
  <si>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</si>
  <si>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</si>
  <si>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</si>
  <si>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</si>
  <si>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</si>
  <si>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</si>
  <si>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</si>
  <si>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</si>
  <si>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</si>
  <si>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</si>
  <si>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</si>
  <si>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</si>
  <si>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</si>
  <si>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</si>
  <si>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</si>
  <si>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</si>
  <si>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</si>
  <si>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</si>
  <si>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</si>
  <si>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</si>
  <si>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</si>
  <si>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</si>
  <si>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</si>
  <si>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</si>
  <si>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</si>
  <si>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</si>
  <si>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</si>
  <si>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</si>
  <si>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</si>
  <si>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</si>
  <si>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</si>
  <si>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</si>
  <si>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</si>
  <si>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</si>
  <si>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</si>
  <si>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</si>
  <si>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</si>
  <si>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</si>
  <si>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</si>
  <si>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</si>
  <si>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</si>
  <si>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</si>
  <si>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</si>
  <si>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</si>
  <si>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</si>
  <si>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</si>
  <si>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</si>
  <si>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</si>
  <si>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</si>
  <si>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</si>
  <si>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</si>
  <si>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</si>
  <si>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</si>
  <si>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</si>
  <si>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</si>
  <si>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</si>
  <si>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</si>
  <si>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</si>
  <si>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</si>
  <si>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</si>
  <si>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</si>
  <si>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</si>
  <si>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</si>
  <si>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</si>
  <si>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</si>
  <si>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</si>
  <si>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</si>
  <si>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</si>
  <si>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</si>
  <si>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</si>
  <si>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</si>
  <si>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</si>
  <si>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</si>
  <si>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</si>
  <si>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</si>
  <si>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</si>
  <si>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</si>
  <si>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</si>
  <si>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</si>
  <si>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</si>
  <si>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</si>
  <si>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</si>
  <si>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</si>
  <si>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</si>
  <si>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</si>
  <si>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</si>
  <si>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</si>
  <si>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</si>
  <si>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</si>
  <si>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</si>
  <si>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</si>
  <si>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</si>
  <si>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</si>
  <si>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</si>
  <si>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</si>
  <si>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</si>
  <si>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</si>
  <si>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</si>
  <si>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</si>
  <si>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</si>
  <si>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</si>
  <si>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</si>
  <si>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</si>
  <si>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</si>
  <si>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</si>
  <si>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</si>
  <si>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</si>
  <si>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</si>
  <si>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</si>
  <si>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</si>
  <si>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</si>
  <si>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</si>
  <si>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</si>
  <si>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</si>
  <si>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</si>
  <si>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</si>
  <si>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</si>
  <si>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</si>
  <si>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</si>
  <si>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</si>
  <si>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</si>
  <si>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</si>
  <si>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</si>
  <si>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</si>
  <si>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</si>
  <si>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</si>
  <si>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</si>
  <si>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</si>
  <si>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</si>
  <si>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</si>
  <si>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</si>
  <si>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</si>
  <si>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</si>
  <si>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</si>
  <si>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</si>
  <si>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</si>
  <si>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</si>
  <si>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</si>
  <si>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</si>
  <si>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</si>
  <si>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</si>
  <si>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</si>
  <si>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</si>
  <si>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</si>
  <si>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</si>
  <si>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</si>
  <si>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</si>
  <si>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</si>
  <si>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</si>
  <si>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</si>
  <si>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</si>
  <si>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</si>
  <si>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</si>
  <si>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</si>
  <si>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</si>
  <si>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</si>
  <si>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</si>
  <si>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</si>
  <si>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</si>
  <si>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</si>
  <si>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</si>
  <si>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</si>
  <si>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</si>
  <si>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</si>
  <si>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</si>
  <si>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</si>
  <si>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</si>
  <si>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</si>
  <si>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</si>
  <si>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</si>
  <si>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</si>
  <si>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</si>
  <si>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</si>
  <si>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</si>
  <si>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</si>
  <si>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</si>
  <si>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</si>
  <si>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</si>
  <si>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</si>
  <si>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</si>
  <si>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</si>
  <si>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</si>
  <si>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</si>
  <si>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</si>
  <si>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</si>
  <si>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</si>
  <si>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</si>
  <si>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</si>
  <si>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</si>
  <si>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</si>
  <si>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</si>
  <si>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</si>
  <si>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</si>
  <si>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</si>
  <si>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</si>
  <si>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</si>
  <si>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</si>
  <si>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</si>
  <si>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</si>
  <si>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</si>
  <si>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</si>
  <si>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</si>
  <si>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</si>
  <si>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</si>
  <si>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</si>
  <si>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</si>
  <si>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</si>
  <si>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</si>
  <si>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</si>
  <si>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</si>
  <si>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</si>
  <si>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</si>
  <si>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</si>
  <si>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</si>
  <si>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</si>
  <si>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</si>
  <si>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</si>
  <si>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</si>
  <si>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</si>
  <si>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</si>
  <si>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</si>
  <si>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</si>
  <si>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</si>
  <si>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</si>
  <si>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</si>
  <si>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</si>
  <si>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</si>
  <si>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</si>
  <si>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</si>
  <si>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</si>
  <si>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</si>
  <si>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</si>
  <si>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</si>
  <si>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</si>
  <si>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</si>
  <si>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</si>
  <si>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</si>
  <si>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</si>
  <si>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</si>
  <si>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</si>
  <si>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</si>
  <si>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</si>
  <si>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</si>
  <si>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</si>
  <si>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</si>
  <si>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</si>
  <si>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</si>
  <si>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</si>
  <si>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</si>
  <si>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</si>
  <si>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</si>
  <si>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</si>
  <si>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</si>
  <si>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</si>
  <si>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</si>
  <si>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</si>
  <si>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</si>
  <si>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</si>
  <si>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</si>
  <si>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</si>
  <si>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</si>
  <si>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</si>
  <si>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</si>
  <si>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</si>
  <si>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</si>
  <si>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</si>
  <si>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</si>
  <si>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</si>
  <si>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</si>
  <si>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</si>
  <si>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</si>
  <si>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</si>
  <si>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</si>
  <si>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</si>
  <si>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</si>
  <si>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</si>
  <si>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</si>
  <si>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</si>
  <si>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</si>
  <si>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</si>
  <si>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</si>
  <si>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</si>
  <si>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</si>
  <si>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</si>
  <si>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</si>
  <si>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</si>
  <si>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</si>
  <si>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</si>
  <si>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</si>
  <si>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</si>
  <si>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</si>
  <si>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</si>
  <si>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</si>
  <si>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</si>
  <si>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</si>
  <si>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</si>
  <si>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</si>
  <si>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</si>
  <si>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</si>
  <si>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</si>
  <si>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</si>
  <si>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</si>
  <si>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</si>
  <si>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</si>
  <si>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</si>
  <si>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</si>
  <si>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</si>
  <si>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</si>
  <si>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</si>
  <si>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</si>
  <si>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</si>
  <si>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</si>
  <si>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</si>
  <si>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</si>
  <si>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</si>
  <si>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</si>
  <si>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</si>
  <si>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</si>
  <si>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</si>
  <si>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</si>
  <si>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</si>
  <si>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</si>
  <si>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</si>
  <si>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</si>
  <si>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</si>
  <si>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</si>
  <si>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</si>
  <si>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</si>
  <si>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</si>
  <si>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</si>
  <si>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</si>
  <si>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</si>
  <si>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</si>
  <si>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</si>
  <si>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</si>
  <si>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</si>
  <si>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</si>
  <si>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</si>
  <si>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</si>
  <si>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</si>
  <si>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</si>
  <si>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</si>
  <si>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</si>
  <si>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</si>
  <si>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</si>
  <si>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</si>
  <si>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</si>
  <si>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</si>
  <si>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</si>
  <si>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</si>
  <si>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</si>
  <si>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</si>
  <si>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</si>
  <si>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</si>
  <si>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</si>
  <si>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</si>
  <si>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</si>
  <si>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</si>
  <si>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</si>
  <si>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</si>
  <si>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</si>
  <si>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</si>
  <si>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</si>
  <si>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</si>
  <si>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</si>
  <si>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</si>
  <si>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</si>
  <si>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</si>
  <si>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</si>
  <si>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</si>
  <si>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</si>
  <si>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</si>
  <si>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</si>
  <si>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</si>
  <si>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</si>
  <si>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</si>
  <si>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</si>
  <si>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</si>
  <si>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</si>
  <si>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</si>
  <si>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</si>
  <si>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</si>
  <si>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</si>
  <si>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</si>
  <si>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</si>
  <si>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</si>
  <si>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</si>
  <si>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</si>
  <si>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</si>
  <si>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</si>
  <si>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</si>
  <si>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</si>
  <si>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</si>
  <si>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</si>
  <si>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</si>
  <si>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</si>
  <si>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</si>
  <si>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</si>
  <si>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</si>
  <si>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</si>
  <si>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</si>
  <si>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</si>
  <si>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</si>
  <si>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</si>
  <si>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</si>
  <si>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</si>
  <si>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</si>
  <si>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</si>
  <si>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</si>
  <si>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</si>
  <si>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</si>
  <si>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</si>
  <si>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</si>
  <si>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</si>
  <si>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</si>
  <si>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</si>
  <si>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</si>
  <si>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</si>
  <si>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</si>
  <si>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</si>
  <si>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</si>
  <si>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</si>
  <si>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</si>
  <si>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</si>
  <si>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</si>
  <si>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</si>
  <si>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</si>
  <si>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</si>
  <si>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</si>
  <si>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</si>
  <si>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</si>
  <si>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</si>
  <si>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</si>
  <si>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</si>
  <si>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</si>
  <si>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</si>
  <si>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</si>
  <si>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</si>
  <si>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</si>
  <si>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</si>
  <si>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</si>
  <si>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</si>
  <si>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</si>
  <si>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</si>
  <si>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</si>
  <si>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</si>
  <si>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</si>
  <si>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</si>
  <si>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</si>
  <si>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</si>
  <si>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</si>
  <si>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</si>
  <si>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</si>
  <si>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</si>
  <si>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</si>
  <si>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</si>
  <si>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</si>
  <si>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</si>
  <si>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</si>
  <si>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</si>
  <si>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</si>
  <si>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</si>
  <si>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</si>
  <si>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</si>
  <si>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</si>
  <si>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</si>
  <si>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</si>
  <si>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</si>
  <si>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</si>
  <si>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</si>
  <si>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</si>
  <si>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</si>
  <si>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</si>
  <si>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</si>
  <si>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</si>
  <si>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</si>
  <si>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</si>
  <si>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</si>
  <si>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</si>
  <si>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</si>
  <si>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</si>
  <si>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</si>
  <si>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</si>
  <si>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</si>
  <si>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</si>
  <si>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</si>
  <si>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</si>
  <si>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</si>
  <si>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</si>
  <si>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</si>
  <si>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</si>
  <si>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</si>
  <si>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</si>
  <si>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</si>
  <si>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</si>
  <si>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</si>
  <si>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</si>
  <si>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</si>
  <si>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</si>
  <si>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</si>
  <si>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</si>
  <si>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</si>
  <si>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</si>
  <si>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</si>
  <si>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</si>
  <si>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</si>
  <si>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</si>
  <si>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</si>
  <si>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</si>
  <si>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</si>
  <si>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</si>
  <si>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</si>
  <si>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</si>
  <si>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</si>
  <si>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</si>
  <si>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</si>
  <si>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</si>
  <si>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</si>
  <si>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</si>
  <si>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</si>
  <si>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</si>
  <si>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</si>
  <si>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</si>
  <si>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</si>
  <si>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</si>
  <si>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</si>
  <si>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</si>
  <si>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</si>
  <si>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</si>
  <si>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</si>
  <si>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</si>
  <si>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</si>
  <si>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</si>
  <si>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</si>
  <si>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</si>
  <si>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</si>
  <si>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</si>
  <si>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</si>
  <si>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</si>
  <si>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</si>
  <si>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</si>
  <si>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</si>
  <si>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</si>
  <si>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</si>
  <si>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</si>
  <si>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</si>
  <si>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</si>
  <si>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</si>
  <si>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</si>
  <si>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</si>
  <si>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</si>
  <si>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</si>
  <si>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</si>
  <si>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</si>
  <si>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</si>
  <si>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</si>
  <si>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</si>
  <si>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</si>
  <si>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</si>
  <si>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</si>
  <si>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</si>
  <si>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</si>
  <si>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</si>
  <si>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</si>
  <si>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</si>
  <si>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</si>
  <si>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</si>
  <si>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</si>
  <si>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</si>
  <si>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</si>
  <si>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</si>
  <si>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</si>
  <si>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</si>
  <si>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</si>
  <si>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</si>
  <si>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</si>
  <si>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</si>
  <si>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</si>
  <si>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</si>
  <si>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</si>
  <si>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</si>
  <si>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</si>
  <si>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</si>
  <si>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</si>
  <si>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</si>
  <si>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</si>
  <si>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</si>
  <si>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</si>
  <si>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</si>
  <si>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</si>
  <si>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</si>
  <si>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</si>
  <si>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</si>
  <si>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</si>
  <si>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</si>
  <si>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</si>
  <si>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</si>
  <si>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</si>
  <si>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</si>
  <si>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</si>
  <si>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</si>
  <si>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</si>
  <si>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</si>
  <si>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</si>
  <si>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</si>
  <si>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</si>
  <si>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</si>
  <si>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</si>
  <si>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</si>
  <si>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</si>
  <si>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</si>
  <si>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</si>
  <si>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</si>
  <si>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</si>
  <si>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</si>
  <si>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</si>
  <si>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</si>
  <si>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</si>
  <si>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</si>
  <si>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</si>
  <si>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</si>
  <si>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</si>
  <si>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</si>
  <si>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</si>
  <si>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</si>
  <si>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</si>
  <si>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</si>
  <si>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</si>
  <si>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</si>
  <si>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</si>
  <si>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</si>
  <si>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</si>
  <si>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</si>
  <si>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</si>
  <si>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</si>
  <si>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</si>
  <si>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</si>
  <si>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</si>
  <si>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</si>
  <si>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</si>
  <si>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</si>
  <si>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</si>
  <si>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</si>
  <si>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</si>
  <si>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</si>
  <si>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</si>
  <si>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</si>
  <si>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</si>
  <si>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</si>
  <si>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</si>
  <si>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</si>
  <si>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</si>
  <si>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</si>
  <si>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</si>
  <si>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</si>
  <si>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</si>
  <si>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</si>
  <si>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</si>
  <si>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</si>
  <si>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</si>
  <si>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</si>
  <si>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</si>
  <si>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</si>
  <si>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</si>
  <si>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</si>
  <si>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</si>
  <si>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</si>
  <si>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</si>
  <si>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</si>
  <si>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</si>
  <si>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</si>
  <si>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</si>
  <si>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</si>
  <si>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</si>
  <si>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</si>
  <si>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</si>
  <si>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</si>
  <si>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</si>
  <si>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</si>
  <si>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</si>
  <si>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</si>
  <si>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</si>
  <si>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</si>
  <si>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</si>
  <si>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</si>
  <si>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</si>
  <si>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</si>
  <si>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</si>
  <si>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</si>
  <si>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</si>
  <si>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</si>
  <si>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</si>
  <si>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</si>
  <si>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</si>
  <si>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</si>
  <si>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</si>
  <si>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</si>
  <si>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</si>
  <si>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</si>
  <si>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</si>
  <si>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</si>
  <si>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</si>
  <si>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</si>
  <si>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</si>
  <si>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</si>
  <si>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</si>
  <si>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</si>
  <si>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</si>
  <si>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</si>
  <si>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</si>
  <si>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</si>
  <si>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</si>
  <si>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</si>
  <si>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</si>
  <si>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</si>
  <si>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</si>
  <si>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</si>
  <si>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</si>
  <si>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</si>
  <si>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</si>
  <si>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</si>
  <si>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</si>
  <si>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</si>
  <si>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</si>
  <si>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</si>
  <si>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</si>
  <si>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</si>
  <si>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</si>
  <si>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</si>
  <si>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</si>
  <si>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</si>
  <si>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</si>
  <si>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</si>
  <si>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</si>
  <si>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</si>
  <si>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</si>
  <si>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</si>
  <si>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</si>
  <si>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</si>
  <si>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</si>
  <si>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</si>
  <si>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</si>
  <si>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</si>
  <si>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</si>
  <si>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</si>
  <si>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</si>
  <si>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</si>
  <si>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</si>
  <si>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</si>
  <si>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</si>
  <si>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</si>
  <si>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</si>
  <si>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</si>
  <si>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</si>
  <si>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</si>
  <si>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</si>
  <si>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</si>
  <si>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</si>
  <si>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</si>
  <si>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</si>
  <si>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</si>
  <si>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</si>
  <si>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</si>
  <si>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</si>
  <si>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</si>
  <si>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</si>
  <si>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</si>
  <si>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</si>
  <si>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</si>
  <si>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</si>
  <si>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</si>
  <si>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</si>
  <si>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</si>
  <si>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</si>
  <si>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</si>
  <si>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</si>
  <si>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</si>
  <si>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</si>
  <si>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</si>
  <si>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</si>
  <si>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</si>
  <si>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</si>
  <si>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</si>
  <si>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</si>
  <si>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</si>
  <si>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</si>
  <si>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</si>
  <si>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</si>
  <si>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</si>
  <si>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</si>
  <si>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</si>
  <si>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</si>
  <si>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</si>
  <si>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</si>
  <si>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</si>
  <si>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</si>
  <si>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</si>
  <si>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</si>
  <si>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</si>
  <si>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</si>
  <si>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</si>
  <si>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</si>
  <si>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</si>
  <si>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</si>
  <si>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</si>
  <si>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</si>
  <si>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</si>
  <si>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</si>
  <si>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</si>
  <si>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</si>
  <si>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</si>
  <si>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</si>
  <si>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</si>
  <si>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</si>
  <si>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</si>
  <si>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</si>
  <si>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</si>
  <si>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</si>
  <si>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</si>
  <si>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</si>
  <si>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</si>
  <si>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</si>
  <si>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</si>
  <si>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</si>
  <si>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</si>
  <si>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</si>
  <si>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</si>
  <si>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</si>
  <si>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</si>
  <si>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</si>
  <si>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</si>
  <si>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</si>
  <si>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</si>
  <si>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</si>
  <si>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</si>
  <si>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</si>
  <si>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</si>
  <si>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</si>
  <si>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</si>
  <si>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</si>
  <si>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</si>
  <si>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</si>
  <si>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</si>
  <si>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</si>
  <si>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</si>
  <si>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</si>
  <si>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</si>
  <si>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</si>
  <si>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</si>
  <si>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</si>
  <si>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</si>
  <si>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</si>
  <si>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</si>
  <si>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</si>
  <si>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</si>
  <si>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</si>
  <si>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</si>
  <si>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</si>
  <si>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</si>
  <si>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</si>
  <si>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</si>
  <si>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</si>
  <si>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</si>
  <si>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</si>
  <si>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</si>
  <si>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</si>
  <si>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</si>
  <si>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</si>
  <si>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</si>
  <si>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</si>
  <si>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</si>
  <si>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</si>
  <si>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</si>
  <si>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</si>
  <si>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</si>
  <si>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</si>
  <si>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</si>
  <si>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</si>
  <si>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</si>
  <si>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</si>
  <si>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</si>
  <si>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</si>
  <si>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</si>
  <si>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</si>
  <si>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</si>
  <si>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</si>
  <si>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</si>
  <si>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</si>
  <si>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</si>
  <si>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</si>
  <si>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</si>
  <si>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</si>
  <si>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</si>
  <si>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</si>
  <si>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</si>
  <si>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</si>
  <si>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</si>
  <si>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</si>
  <si>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</si>
  <si>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</si>
  <si>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</si>
  <si>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</si>
  <si>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</si>
  <si>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</si>
  <si>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</si>
  <si>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</si>
  <si>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</si>
  <si>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</si>
  <si>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</si>
  <si>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</si>
  <si>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</si>
  <si>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</si>
  <si>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</si>
  <si>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</si>
  <si>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</si>
  <si>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</si>
  <si>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</si>
  <si>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</si>
  <si>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</si>
  <si>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</si>
  <si>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</si>
  <si>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</si>
  <si>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</si>
  <si>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</si>
  <si>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</si>
  <si>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</si>
  <si>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</si>
  <si>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</si>
  <si>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</si>
  <si>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</si>
  <si>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</si>
  <si>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</si>
  <si>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</si>
  <si>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</si>
  <si>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</si>
  <si>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</si>
  <si>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</si>
  <si>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</si>
  <si>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</si>
  <si>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</si>
  <si>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</si>
  <si>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</si>
  <si>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</si>
  <si>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</si>
  <si>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</si>
  <si>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</si>
  <si>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</si>
  <si>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</si>
  <si>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</si>
  <si>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</si>
  <si>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</si>
  <si>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</si>
  <si>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</si>
  <si>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</si>
  <si>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</si>
  <si>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</si>
  <si>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</si>
  <si>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</si>
  <si>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</si>
  <si>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</si>
  <si>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</si>
  <si>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</si>
  <si>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</si>
  <si>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</si>
  <si>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</si>
  <si>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</si>
  <si>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</si>
  <si>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</si>
  <si>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</si>
  <si>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</si>
  <si>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</si>
  <si>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</si>
  <si>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</si>
  <si>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</si>
  <si>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</si>
  <si>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</si>
  <si>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</si>
  <si>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</si>
  <si>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</si>
  <si>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</si>
  <si>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</si>
  <si>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</si>
  <si>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</si>
  <si>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</si>
  <si>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</si>
  <si>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</si>
  <si>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</si>
  <si>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</si>
  <si>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</si>
  <si>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</si>
  <si>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</si>
  <si>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</si>
  <si>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</si>
  <si>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</si>
  <si>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</si>
  <si>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</si>
  <si>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</si>
  <si>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</si>
  <si>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</si>
  <si>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</si>
  <si>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</si>
  <si>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</si>
  <si>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</si>
  <si>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</si>
  <si>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</si>
  <si>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</si>
  <si>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</si>
  <si>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北京市</t>
  </si>
  <si>
    <t>企业</t>
  </si>
  <si>
    <t>现房</t>
  </si>
  <si>
    <t>否</t>
  </si>
  <si>
    <t>是</t>
  </si>
  <si>
    <t>地上</t>
  </si>
  <si>
    <t>办公</t>
    <phoneticPr fontId="7" type="noConversion"/>
  </si>
  <si>
    <t>成新度</t>
  </si>
  <si>
    <t>收益法 (元)</t>
  </si>
  <si>
    <t>商务金融用地</t>
  </si>
  <si>
    <t>自定义容积率</t>
  </si>
  <si>
    <t>中仓街道</t>
    <phoneticPr fontId="3" type="noConversion"/>
  </si>
  <si>
    <r>
      <rPr>
        <sz val="10"/>
        <color indexed="8"/>
        <rFont val="宋体"/>
        <family val="3"/>
        <charset val="134"/>
      </rPr>
      <t>报价</t>
    </r>
    <r>
      <rPr>
        <sz val="10"/>
        <color indexed="8"/>
        <rFont val="Arial"/>
        <family val="2"/>
      </rPr>
      <t>3</t>
    </r>
    <r>
      <rPr>
        <sz val="10"/>
        <color indexed="8"/>
        <rFont val="宋体"/>
        <family val="3"/>
        <charset val="134"/>
      </rPr>
      <t>万</t>
    </r>
    <r>
      <rPr>
        <sz val="10"/>
        <color indexed="8"/>
        <rFont val="Arial"/>
        <family val="2"/>
      </rPr>
      <t>5-3</t>
    </r>
    <r>
      <rPr>
        <sz val="10"/>
        <color indexed="8"/>
        <rFont val="宋体"/>
        <family val="3"/>
        <charset val="134"/>
      </rPr>
      <t>万</t>
    </r>
    <r>
      <rPr>
        <sz val="10"/>
        <color indexed="8"/>
        <rFont val="Arial"/>
        <family val="2"/>
      </rPr>
      <t>6</t>
    </r>
    <phoneticPr fontId="3" type="noConversion"/>
  </si>
  <si>
    <r>
      <rPr>
        <sz val="10"/>
        <color indexed="8"/>
        <rFont val="宋体"/>
        <family val="3"/>
        <charset val="134"/>
      </rPr>
      <t>租金报价</t>
    </r>
    <r>
      <rPr>
        <sz val="10"/>
        <color indexed="8"/>
        <rFont val="Arial"/>
        <family val="2"/>
      </rPr>
      <t>3</t>
    </r>
    <r>
      <rPr>
        <sz val="10"/>
        <color indexed="8"/>
        <rFont val="宋体"/>
        <family val="3"/>
        <charset val="134"/>
      </rPr>
      <t>元左右</t>
    </r>
    <phoneticPr fontId="3" type="noConversion"/>
  </si>
  <si>
    <t>押一</t>
  </si>
  <si>
    <t>钢混</t>
  </si>
  <si>
    <t>非生产用房</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</si>
  <si>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</si>
  <si>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</si>
  <si>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</si>
  <si>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</si>
  <si>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</si>
  <si>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</si>
  <si>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</si>
  <si>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</si>
  <si>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</si>
  <si>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</si>
  <si>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</si>
  <si>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单套模式</t>
  </si>
  <si>
    <t>售价</t>
  </si>
  <si>
    <t>M5运河一号</t>
    <phoneticPr fontId="3" type="noConversion"/>
  </si>
  <si>
    <t>正常</t>
  </si>
  <si>
    <t>挂牌价</t>
  </si>
  <si>
    <t>挂牌价</t>
    <phoneticPr fontId="31" type="noConversion"/>
  </si>
  <si>
    <t>保利大都汇</t>
    <phoneticPr fontId="3" type="noConversion"/>
  </si>
  <si>
    <t>比较法-办公</t>
  </si>
  <si>
    <t>楼面单价</t>
  </si>
  <si>
    <t>自定义</t>
  </si>
  <si>
    <t>报单价3万左右</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</si>
</sst>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128" fillId="12" borderId="0" xfId="0" applyNumberFormat="1" applyFont="1" applyFill="1" applyProtection="1">
      <alignment vertical="center"/>
      <protection locked="0"/>
    </xf>
    <xf numFmtId="0" fontId="272" fillId="12" borderId="0" xfId="0" applyFont="1" applyFill="1" applyProtection="1">
      <alignment vertical="center"/>
      <protection locked="0"/>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3"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208" fillId="0" borderId="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17</xdr:row>
      <xdr:rowOff>0</xdr:rowOff>
    </xdr:from>
    <xdr:to>
      <xdr:col>19</xdr:col>
      <xdr:colOff>755884</xdr:colOff>
      <xdr:row>43</xdr:row>
      <xdr:rowOff>136360</xdr:rowOff>
    </xdr:to>
    <xdr:pic>
      <xdr:nvPicPr>
        <xdr:cNvPr id="2" name="图片 1">
          <a:extLst>
            <a:ext uri="{FF2B5EF4-FFF2-40B4-BE49-F238E27FC236}">
              <a16:creationId xmlns:a16="http://schemas.microsoft.com/office/drawing/2014/main" id="{B88FD86E-E22C-D257-DD66-EAD5D4D77DA3}"/>
            </a:ext>
          </a:extLst>
        </xdr:cNvPr>
        <xdr:cNvPicPr>
          <a:picLocks noChangeAspect="1"/>
        </xdr:cNvPicPr>
      </xdr:nvPicPr>
      <xdr:blipFill>
        <a:blip xmlns:r="http://schemas.openxmlformats.org/officeDocument/2006/relationships" r:embed="rId1"/>
        <a:stretch>
          <a:fillRect/>
        </a:stretch>
      </xdr:blipFill>
      <xdr:spPr>
        <a:xfrm>
          <a:off x="12260580" y="3840480"/>
          <a:ext cx="3209524" cy="6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估价对象为北京市房地产，为所有。根据《国有土地使用证》[]，估价对象（分摊）出让国有建设用地使用权面积为0平方米，建筑面积为80.42平方米。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估价对象为北京市房地产,属开发建设的，该项目尚在开发建设中。根据《国有土地使用证》[]，估价对象（分摊）出让国有建设用地使用权面积为0平方米，规划建筑面积为80.42平方米。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2025年3月21日</v>
      </c>
    </row>
    <row r="13" spans="1:2">
      <c r="A13" s="1119" t="s">
        <v>529</v>
      </c>
      <c r="B13" s="1120"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244</v>
      </c>
    </row>
    <row r="21" spans="1:2">
      <c r="A21" s="1119" t="s">
        <v>537</v>
      </c>
      <c r="B21" s="1120">
        <f ca="1">'预评函-2'!D7</f>
        <v>30303</v>
      </c>
    </row>
    <row r="22" spans="1:2">
      <c r="A22" s="1119" t="s">
        <v>538</v>
      </c>
      <c r="B22" s="1120" t="str">
        <f ca="1">'预评函-2'!D6</f>
        <v>贰佰肆拾肆万元整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244</v>
      </c>
    </row>
    <row r="31" spans="1:2">
      <c r="A31" s="1119" t="s">
        <v>576</v>
      </c>
      <c r="B31" s="1120">
        <f ca="1">'预评函-2'!D15</f>
        <v>30303</v>
      </c>
    </row>
    <row r="32" spans="1:2">
      <c r="A32" s="1119" t="s">
        <v>543</v>
      </c>
      <c r="B32" s="1120" t="str">
        <f ca="1">'预评函-2'!D14</f>
        <v>贰佰肆拾肆万元整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80.42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45737</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1.74</v>
      </c>
      <c r="D5" s="2768">
        <f>IF(ISERROR(ROUND(POWER(1+E5,A5-C5)*(POWER(1+E5,C5)-1)/(POWER(1+E5,A5)-1),3)),0,ROUND(POWER(1+E5,A5-C5)*(POWER(1+E5,C5)-1)/(POWER(1+E5,A5)-1),4))</f>
        <v>8.3299999999999999E-2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11.75</v>
      </c>
      <c r="D6" s="2768">
        <f>IF(ISERROR(ROUND(POWER(1+E6,A6-C6)*(POWER(1+E6,C6)-1)/(POWER(1+E6,A6)-1),3)),0,ROUND(POWER(1+E6,A6-C6)*(POWER(1+E6,C6)-1)/(POWER(1+E6,A6)-1),4))</f>
        <v>0.42970000000000003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31.76</v>
      </c>
      <c r="D7" s="2768">
        <f>IF(ISERROR(ROUND(POWER(1+E7,A7-C7)*(POWER(1+E7,C7)-1)/(POWER(1+E7,A7)-1),3)),0,ROUND(POWER(1+E7,A7-C7)*(POWER(1+E7,C7)-1)/(POWER(1+E7,A7)-1),4))</f>
        <v>0.7611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3390</v>
      </c>
    </row>
    <row r="50" spans="1:4">
      <c r="A50" s="3145" t="s">
        <v>3391</v>
      </c>
      <c r="B50" s="3145" t="s">
        <v>3392</v>
      </c>
      <c r="C50" s="3145" t="s">
        <v>3393</v>
      </c>
      <c r="D50" s="3145" t="s">
        <v>3394</v>
      </c>
    </row>
    <row r="51" spans="1:4">
      <c r="A51" s="3145" t="s">
        <v>3395</v>
      </c>
      <c r="B51" s="2765">
        <f>B52+B53</f>
        <v>15000</v>
      </c>
      <c r="C51" s="3146">
        <f>D51/B51</f>
        <v>2666.6666666666665</v>
      </c>
      <c r="D51" s="2765">
        <f>D52+D53</f>
        <v>40000000</v>
      </c>
    </row>
    <row r="52" spans="1:4">
      <c r="A52" s="3147" t="s">
        <v>3396</v>
      </c>
      <c r="B52" s="3148">
        <v>10000</v>
      </c>
      <c r="C52" s="3148">
        <v>1500</v>
      </c>
      <c r="D52" s="3149">
        <f>C52*B52</f>
        <v>15000000</v>
      </c>
    </row>
    <row r="53" spans="1:4">
      <c r="A53" s="3147" t="s">
        <v>3397</v>
      </c>
      <c r="B53" s="3148">
        <v>5000</v>
      </c>
      <c r="C53" s="3148">
        <v>5000</v>
      </c>
      <c r="D53" s="3149">
        <f>C53*B53</f>
        <v>25000000</v>
      </c>
    </row>
    <row r="54" spans="1:4">
      <c r="A54" s="3145" t="s">
        <v>3398</v>
      </c>
      <c r="B54" s="2765">
        <f>B51</f>
        <v>15000</v>
      </c>
      <c r="C54" s="2771">
        <v>700</v>
      </c>
      <c r="D54" s="2765">
        <f t="shared" ref="D54:D55" si="5">C54*B54</f>
        <v>10500000</v>
      </c>
    </row>
    <row r="55" spans="1:4">
      <c r="A55" s="3145" t="s">
        <v>3399</v>
      </c>
      <c r="B55" s="2765">
        <f>B51</f>
        <v>15000</v>
      </c>
      <c r="C55" s="2771">
        <v>1500</v>
      </c>
      <c r="D55" s="2765">
        <f t="shared" si="5"/>
        <v>22500000</v>
      </c>
    </row>
    <row r="56" spans="1:4">
      <c r="A56" s="3145" t="s">
        <v>3400</v>
      </c>
      <c r="B56" s="2765">
        <f>B51</f>
        <v>15000</v>
      </c>
      <c r="C56" s="3150">
        <f>C51+C54+C55</f>
        <v>4866.6666666666661</v>
      </c>
      <c r="D56" s="2765">
        <f>D51+D54+D55</f>
        <v>73000000</v>
      </c>
    </row>
    <row r="58" spans="1:4">
      <c r="A58" s="3145" t="s">
        <v>3401</v>
      </c>
      <c r="B58" s="3151">
        <v>0.05</v>
      </c>
      <c r="C58" s="2765">
        <f>C56*(1+B58)</f>
        <v>5110</v>
      </c>
      <c r="D58" s="2765">
        <f>D56*B58</f>
        <v>3650000</v>
      </c>
    </row>
    <row r="60" spans="1:4">
      <c r="A60" s="3145" t="s">
        <v>3402</v>
      </c>
      <c r="B60" s="2771">
        <v>3500</v>
      </c>
      <c r="C60" s="2771">
        <f>C53</f>
        <v>5000</v>
      </c>
      <c r="D60" s="2765">
        <f>C60*B60</f>
        <v>17500000</v>
      </c>
    </row>
    <row r="62" spans="1:4">
      <c r="A62" s="3145" t="s">
        <v>3403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19" zoomScaleNormal="100" zoomScaleSheetLayoutView="100" workbookViewId="0">
      <selection activeCell="B31" sqref="B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3406</v>
      </c>
      <c r="C8" s="2201"/>
      <c r="D8" s="3206" t="s">
        <v>2177</v>
      </c>
      <c r="E8" s="2202" t="s">
        <v>3405</v>
      </c>
      <c r="F8" s="2203"/>
      <c r="G8" s="2442"/>
      <c r="H8" s="2442"/>
      <c r="I8" s="2442"/>
      <c r="J8" s="2245"/>
      <c r="K8" s="2400"/>
      <c r="L8" s="2399"/>
      <c r="M8" s="2399"/>
      <c r="N8" s="2245"/>
      <c r="O8" s="1670"/>
      <c r="P8" s="2245"/>
      <c r="Q8" s="2245"/>
      <c r="R8" s="2245"/>
    </row>
    <row r="9" spans="1:30" ht="13.8" thickBot="1">
      <c r="A9" s="2204" t="s">
        <v>2178</v>
      </c>
      <c r="B9" s="2205" t="s">
        <v>3405</v>
      </c>
      <c r="C9" s="2206"/>
      <c r="D9" s="3207"/>
      <c r="E9" s="2205" t="s">
        <v>43</v>
      </c>
      <c r="F9" s="2207"/>
      <c r="G9" s="2443"/>
      <c r="H9" s="2443"/>
      <c r="I9" s="2443"/>
      <c r="J9" s="2245"/>
      <c r="K9" s="2402"/>
      <c r="L9" s="2399"/>
      <c r="M9" s="2399"/>
      <c r="N9" s="2245"/>
      <c r="O9" s="1670"/>
      <c r="P9" s="2245"/>
      <c r="Q9" s="2245"/>
      <c r="R9" s="2245"/>
    </row>
    <row r="10" spans="1:30" ht="13.8" thickTop="1">
      <c r="A10" s="2208" t="s">
        <v>2179</v>
      </c>
      <c r="B10" s="2209" t="s">
        <v>3407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59882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38.75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80.42</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t="s">
        <v>3409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80.42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80.42</v>
      </c>
      <c r="H5" s="13">
        <f t="shared" ref="H5:AT5" si="0">SUM(H13:H656)</f>
        <v>80.42</v>
      </c>
      <c r="I5" s="13">
        <f t="shared" si="0"/>
        <v>80.42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80.42</v>
      </c>
      <c r="BA5" s="15">
        <f t="shared" si="1"/>
        <v>80.42</v>
      </c>
      <c r="BB5" s="15">
        <f t="shared" si="1"/>
        <v>80.42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80.42</v>
      </c>
      <c r="H13" s="17">
        <f>SUMIF(I$12:AB$12,"总值",I13:AB13)</f>
        <v>80.42</v>
      </c>
      <c r="I13" s="1514">
        <v>80.42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80.42</v>
      </c>
      <c r="BA13" s="13">
        <f>SUM(BB13:BK13)</f>
        <v>80.42</v>
      </c>
      <c r="BB13" s="13">
        <f>IF($D13="是",I13-J13,0)</f>
        <v>80.42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4" t="s">
        <v>1131</v>
      </c>
      <c r="B2" s="3234"/>
      <c r="C2" s="3234"/>
      <c r="D2" s="748" t="s">
        <v>1107</v>
      </c>
      <c r="E2" s="1523" t="s">
        <v>1108</v>
      </c>
      <c r="F2" s="2439"/>
      <c r="G2" s="2432"/>
      <c r="H2" s="2433"/>
      <c r="I2" s="2146" t="s">
        <v>1132</v>
      </c>
      <c r="J2" s="2439"/>
      <c r="K2" s="2439"/>
      <c r="L2" s="2439"/>
      <c r="M2" s="2439"/>
      <c r="N2" s="2440"/>
      <c r="O2" s="2439"/>
      <c r="P2" s="2439"/>
    </row>
    <row r="3" spans="1:16" ht="15" thickBot="1">
      <c r="A3" s="3235" t="s">
        <v>1105</v>
      </c>
      <c r="B3" s="3235"/>
      <c r="C3" s="3235"/>
      <c r="D3" s="41">
        <f>'数据-基础表'!AY6</f>
        <v>0</v>
      </c>
      <c r="E3" s="41">
        <f>'数据-基础表'!AZ5</f>
        <v>80.42</v>
      </c>
      <c r="F3" s="2439"/>
      <c r="G3" s="42"/>
      <c r="H3" s="43" t="s">
        <v>1106</v>
      </c>
      <c r="I3" s="802" t="e">
        <f>ROUND('数据-基础表'!B3/'数据-基础表'!A3,2)</f>
        <v>#DIV/0!</v>
      </c>
      <c r="J3" s="2439"/>
      <c r="K3" s="2439"/>
      <c r="L3" s="2439"/>
      <c r="M3" s="2439"/>
      <c r="N3" s="2440"/>
      <c r="O3" s="2439"/>
      <c r="P3" s="2439"/>
    </row>
    <row r="4" spans="1:16" ht="14.4">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80.42</v>
      </c>
      <c r="F6" s="2439"/>
      <c r="G6" s="1529" t="s">
        <v>1112</v>
      </c>
      <c r="H6" s="45" t="s">
        <v>1113</v>
      </c>
      <c r="I6" s="2435" t="e">
        <f>ROUND(F31/D31,2)</f>
        <v>#DIV/0!</v>
      </c>
      <c r="J6" s="2439"/>
      <c r="K6" s="2439"/>
      <c r="L6" s="2439"/>
      <c r="M6" s="2439"/>
      <c r="N6" s="2439"/>
      <c r="O6" s="2439"/>
      <c r="P6" s="2439"/>
    </row>
    <row r="7" spans="1:16" ht="15" thickBot="1">
      <c r="A7" s="3231"/>
      <c r="B7" s="3232"/>
      <c r="C7" s="3233"/>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80.42</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80.42</v>
      </c>
      <c r="F16" s="2439"/>
      <c r="G16" s="2439"/>
      <c r="H16" s="1531" t="s">
        <v>1135</v>
      </c>
      <c r="I16" s="1532"/>
      <c r="J16" s="1071"/>
      <c r="K16" s="3228" t="s">
        <v>1135</v>
      </c>
      <c r="L16" s="3229"/>
      <c r="M16" s="3229"/>
      <c r="N16" s="3229"/>
      <c r="O16" s="3229"/>
      <c r="P16" s="3230"/>
    </row>
    <row r="17" spans="1:19" ht="14.4">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3413</v>
      </c>
      <c r="D19" s="43">
        <f>ROUND($D$3*E19/$E$3,2)</f>
        <v>0</v>
      </c>
      <c r="E19" s="51">
        <f t="shared" ref="E19:E26" si="1">SUM(F19:G19)</f>
        <v>80.42</v>
      </c>
      <c r="F19" s="2558">
        <f>'数据-基础表'!H13</f>
        <v>80.42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80.42</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80.42</v>
      </c>
      <c r="F27" s="1072">
        <f>IF(SUM(F19:F26)=E8,SUM(F19:F26),"地上面积有误")</f>
        <v>80.42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80.42</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80.42</v>
      </c>
      <c r="F31" s="644">
        <f>F27+F30</f>
        <v>80.42</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9"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45737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59882</v>
      </c>
      <c r="F6" s="61">
        <f>SUMIF(项目基本情况!C$12:I$12,C6,项目基本情况!C$15:I$15)</f>
        <v>38.75</v>
      </c>
      <c r="G6" s="62">
        <f>IF(ISERROR(ROUND(POWER(1+H6,D6-F6)*(POWER(1+H6,F6)-1)/(POWER(1+H6,D6)-1),3)),0,ROUND(POWER(1+H6,D6-F6)*(POWER(1+H6,F6)-1)/(POWER(1+H6,D6)-1),3))</f>
        <v>0.93</v>
      </c>
      <c r="H6" s="691">
        <v>0.05</v>
      </c>
      <c r="I6" s="691">
        <v>5.5E-2</v>
      </c>
      <c r="J6" s="63">
        <v>7.0000000000000007E-2</v>
      </c>
      <c r="K6" s="970">
        <f>SUMIF('数据-汇总表'!C$19:C$33,A6,'数据-汇总表'!E$19:E$33)</f>
        <v>80.42</v>
      </c>
      <c r="L6" s="692">
        <v>7000</v>
      </c>
      <c r="M6" s="64">
        <f t="shared" ref="M6:M14" si="0">ROUND(K6*L6/10000,0)</f>
        <v>56</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0.02</v>
      </c>
      <c r="W6" s="67">
        <v>0.1</v>
      </c>
      <c r="X6" s="979"/>
      <c r="Y6" s="68">
        <f>N6</f>
        <v>0.88</v>
      </c>
      <c r="Z6" s="69"/>
      <c r="AA6" s="63"/>
      <c r="AB6" s="63"/>
      <c r="AC6" s="979"/>
      <c r="AD6" s="70"/>
      <c r="AE6" s="980">
        <f ca="1">IF(AN6="",0,SUMIF(INDIRECT("'"&amp;AN6&amp;"'"&amp;"!E:E"),$AE$5,INDIRECT("'"&amp;AN6&amp;"'"&amp;"!F:F")))</f>
        <v>38.75</v>
      </c>
      <c r="AF6" s="74"/>
      <c r="AG6" s="130">
        <f>IF(AF6="",0,AE6-AF6)</f>
        <v>0</v>
      </c>
      <c r="AH6" s="71"/>
      <c r="AI6" s="73">
        <v>365</v>
      </c>
      <c r="AJ6" s="74"/>
      <c r="AK6" s="75">
        <v>0.01</v>
      </c>
      <c r="AL6" s="76">
        <v>1E-3</v>
      </c>
      <c r="AM6" s="77">
        <v>0.01</v>
      </c>
      <c r="AN6" s="1589" t="s">
        <v>3415</v>
      </c>
      <c r="AO6" s="50">
        <f ca="1">SUMIF(INDIRECT("'"&amp;AN6&amp;"'"&amp;"!A:A"),"总价",INDIRECT("'"&amp;AN6&amp;"'"&amp;"!B:B"))</f>
        <v>119.7022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0.93</v>
      </c>
      <c r="H16" s="84">
        <f>ROUND(SUMPRODUCT(H6:H13,K6:K13)/SUMPRODUCT((H6:H13&gt;0)*(K6:K13)),3)</f>
        <v>0.05</v>
      </c>
      <c r="I16" s="85"/>
      <c r="J16" s="85"/>
      <c r="K16" s="86">
        <f>SUM(K6:K15)</f>
        <v>80.42</v>
      </c>
      <c r="L16" s="87">
        <f>ROUND(M16*10000/SUM(K6:K14),0)</f>
        <v>6963</v>
      </c>
      <c r="M16" s="87">
        <f>SUM(M6:M14)</f>
        <v>56</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2449">
        <f>ROUND(1-(1-0)*(2025-N18)/60,2)</f>
        <v>0.88</v>
      </c>
      <c r="O19" s="2449"/>
      <c r="P19" s="2449"/>
      <c r="Q19" s="2449"/>
      <c r="R19" s="2449"/>
      <c r="S19" s="2449"/>
      <c r="T19" s="2449"/>
      <c r="U19" s="2449"/>
      <c r="V19" s="3490" t="s">
        <v>3419</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3490" t="s">
        <v>3420</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f>B20</f>
        <v>2</v>
      </c>
      <c r="C21" s="2439"/>
      <c r="D21" s="2452"/>
      <c r="E21" s="2439"/>
      <c r="F21" s="2439"/>
      <c r="G21" s="2439"/>
      <c r="H21" s="2439"/>
      <c r="I21" s="3491" t="s">
        <v>3424</v>
      </c>
      <c r="J21" s="3492"/>
      <c r="K21" s="3492"/>
      <c r="L21" s="3492"/>
      <c r="M21" s="3492"/>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43.2">
      <c r="A22" s="1597" t="s">
        <v>1214</v>
      </c>
      <c r="B22" s="99">
        <f>B19+B20</f>
        <v>2</v>
      </c>
      <c r="C22" s="2439"/>
      <c r="D22" s="2452"/>
      <c r="E22" s="2439"/>
      <c r="F22" s="2439"/>
      <c r="G22" s="2439"/>
      <c r="H22" s="2439"/>
      <c r="I22" s="3493" t="s">
        <v>3425</v>
      </c>
      <c r="J22" s="3493" t="s">
        <v>3426</v>
      </c>
      <c r="K22" s="3494" t="s">
        <v>3427</v>
      </c>
      <c r="L22" s="3493" t="s">
        <v>3428</v>
      </c>
      <c r="M22" s="3493" t="s">
        <v>3429</v>
      </c>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3493" t="s">
        <v>3430</v>
      </c>
      <c r="J23" s="3493" t="s">
        <v>3431</v>
      </c>
      <c r="K23" s="3493" t="s">
        <v>3431</v>
      </c>
      <c r="L23" s="3493" t="s">
        <v>3432</v>
      </c>
      <c r="M23" s="3493" t="s">
        <v>3432</v>
      </c>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3494">
        <v>45</v>
      </c>
      <c r="J24" s="3494">
        <v>24</v>
      </c>
      <c r="K24" s="3494">
        <v>20</v>
      </c>
      <c r="L24" s="3494">
        <v>5</v>
      </c>
      <c r="M24" s="3494" t="s">
        <v>3433</v>
      </c>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3494">
        <v>3</v>
      </c>
      <c r="J25" s="3494">
        <v>3</v>
      </c>
      <c r="K25" s="3494">
        <v>2</v>
      </c>
      <c r="L25" s="3494">
        <v>0</v>
      </c>
      <c r="M25" s="3494">
        <v>0</v>
      </c>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3494">
        <v>124000</v>
      </c>
      <c r="J26" s="3494">
        <v>57000</v>
      </c>
      <c r="K26" s="3494">
        <v>32000</v>
      </c>
      <c r="L26" s="3494">
        <v>22000</v>
      </c>
      <c r="M26" s="3494">
        <v>6400</v>
      </c>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2304</v>
      </c>
      <c r="D27" s="2455"/>
      <c r="E27" s="2440"/>
      <c r="F27" s="2440"/>
      <c r="G27" s="2439"/>
      <c r="H27" s="2439"/>
      <c r="I27" s="3495">
        <v>100000</v>
      </c>
      <c r="J27" s="3495">
        <v>45000</v>
      </c>
      <c r="K27" s="3495">
        <v>26000</v>
      </c>
      <c r="L27" s="3495">
        <v>22000</v>
      </c>
      <c r="M27" s="3495">
        <v>6400</v>
      </c>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3495">
        <v>24000</v>
      </c>
      <c r="J28" s="3495">
        <v>12000</v>
      </c>
      <c r="K28" s="3495">
        <v>6000</v>
      </c>
      <c r="L28" s="3495" t="s">
        <v>3434</v>
      </c>
      <c r="M28" s="3495" t="s">
        <v>3434</v>
      </c>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3496">
        <f t="shared" ref="I29:M29" si="12">I30+I34+I33</f>
        <v>8084</v>
      </c>
      <c r="J29" s="3496">
        <f t="shared" si="12"/>
        <v>5893</v>
      </c>
      <c r="K29" s="3496">
        <f t="shared" si="12"/>
        <v>4402</v>
      </c>
      <c r="L29" s="3496">
        <f t="shared" si="12"/>
        <v>5920</v>
      </c>
      <c r="M29" s="3496">
        <f t="shared" si="12"/>
        <v>3380</v>
      </c>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3497">
        <v>3802</v>
      </c>
      <c r="J30" s="3497">
        <v>3061</v>
      </c>
      <c r="K30" s="3497">
        <v>2273</v>
      </c>
      <c r="L30" s="3497">
        <v>1795</v>
      </c>
      <c r="M30" s="3497">
        <v>1595</v>
      </c>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3495">
        <v>3375</v>
      </c>
      <c r="J31" s="3495">
        <v>2440</v>
      </c>
      <c r="K31" s="3495">
        <v>1670</v>
      </c>
      <c r="L31" s="3495">
        <v>1795</v>
      </c>
      <c r="M31" s="3495">
        <v>1595</v>
      </c>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3495">
        <v>5582</v>
      </c>
      <c r="J32" s="3495">
        <v>5390</v>
      </c>
      <c r="K32" s="3495">
        <v>4887</v>
      </c>
      <c r="L32" s="3495" t="s">
        <v>3434</v>
      </c>
      <c r="M32" s="3495" t="s">
        <v>3434</v>
      </c>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3386</v>
      </c>
      <c r="D33" s="2452"/>
      <c r="E33" s="2439"/>
      <c r="F33" s="2439"/>
      <c r="G33" s="2439"/>
      <c r="H33" s="2439"/>
      <c r="I33" s="3498">
        <v>1613</v>
      </c>
      <c r="J33" s="3498">
        <v>474</v>
      </c>
      <c r="K33" s="3498">
        <v>569</v>
      </c>
      <c r="L33" s="3498">
        <v>700</v>
      </c>
      <c r="M33" s="3498">
        <v>700</v>
      </c>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2301</v>
      </c>
      <c r="E34" s="2458"/>
      <c r="F34" s="2439"/>
      <c r="G34" s="2439"/>
      <c r="H34" s="2439"/>
      <c r="I34" s="3499">
        <v>2669</v>
      </c>
      <c r="J34" s="3499">
        <v>2358</v>
      </c>
      <c r="K34" s="3499">
        <v>1560</v>
      </c>
      <c r="L34" s="3499">
        <v>3425</v>
      </c>
      <c r="M34" s="3499">
        <v>1085</v>
      </c>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3500"/>
      <c r="J35" s="3500"/>
      <c r="K35" s="3500"/>
      <c r="L35" s="3500"/>
      <c r="M35" s="3500"/>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3404</v>
      </c>
      <c r="D36" s="2452"/>
      <c r="E36" s="2439"/>
      <c r="F36" s="2439"/>
      <c r="G36" s="2439"/>
      <c r="H36" s="2439"/>
      <c r="I36" s="3500"/>
      <c r="J36" s="3500"/>
      <c r="K36" s="3500"/>
      <c r="L36" s="3500"/>
      <c r="M36" s="3500"/>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3387</v>
      </c>
      <c r="D37" s="2452"/>
      <c r="E37" s="2439"/>
      <c r="F37" s="2439"/>
      <c r="G37" s="2439"/>
      <c r="H37" s="2439"/>
      <c r="I37" s="3500"/>
      <c r="J37" s="3500"/>
      <c r="K37" s="3500"/>
      <c r="L37" s="3500"/>
      <c r="M37" s="3500"/>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3388</v>
      </c>
      <c r="D38" s="2452"/>
      <c r="E38" s="2439"/>
      <c r="F38" s="2439"/>
      <c r="G38" s="2439"/>
      <c r="H38" s="2439"/>
      <c r="I38" s="3500"/>
      <c r="J38" s="3500"/>
      <c r="K38" s="3500"/>
      <c r="L38" s="3500"/>
      <c r="M38" s="3500"/>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3501">
        <f t="shared" ref="I39:M39" si="13">I30/I29</f>
        <v>0.47031172686788719</v>
      </c>
      <c r="J39" s="3501">
        <f t="shared" si="13"/>
        <v>0.51942983200407267</v>
      </c>
      <c r="K39" s="3501">
        <f t="shared" si="13"/>
        <v>0.516356201726488</v>
      </c>
      <c r="L39" s="3501">
        <f t="shared" si="13"/>
        <v>0.30320945945945948</v>
      </c>
      <c r="M39" s="3501">
        <f t="shared" si="13"/>
        <v>0.47189349112426038</v>
      </c>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3.1E-2</v>
      </c>
      <c r="C40" s="2573">
        <v>5.0000000000000001E-3</v>
      </c>
      <c r="D40" s="2449"/>
      <c r="E40" s="2452"/>
      <c r="F40" s="2439"/>
      <c r="G40" s="2439"/>
      <c r="H40" s="2439"/>
      <c r="I40" s="3501">
        <f t="shared" ref="I40:M40" si="14">I33/I29</f>
        <v>0.19952993567540822</v>
      </c>
      <c r="J40" s="3501">
        <f t="shared" si="14"/>
        <v>8.0434413711182762E-2</v>
      </c>
      <c r="K40" s="3501">
        <f t="shared" si="14"/>
        <v>0.12925942753293956</v>
      </c>
      <c r="L40" s="3501">
        <f t="shared" si="14"/>
        <v>0.11824324324324324</v>
      </c>
      <c r="M40" s="3501">
        <f t="shared" si="14"/>
        <v>0.20710059171597633</v>
      </c>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3501">
        <f t="shared" ref="I41:M41" si="15">I34/I29</f>
        <v>0.33015833745670459</v>
      </c>
      <c r="J41" s="3501">
        <f t="shared" si="15"/>
        <v>0.40013575428474463</v>
      </c>
      <c r="K41" s="3501">
        <f t="shared" si="15"/>
        <v>0.35438437074057244</v>
      </c>
      <c r="L41" s="3501">
        <f t="shared" si="15"/>
        <v>0.57854729729729726</v>
      </c>
      <c r="M41" s="3501">
        <f t="shared" si="15"/>
        <v>0.32100591715976329</v>
      </c>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3489" t="s">
        <v>3418</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f>C59</f>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I21:M2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80.42</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45737</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244</v>
      </c>
      <c r="C5" s="2300">
        <f ca="1">IF(B5=D14,结果表!H102,ROUND(B5*10000/$B$1,0))</f>
        <v>30303</v>
      </c>
      <c r="D5" s="2300" t="e">
        <f ca="1">ROUND(B5*10000/$B$2,0)</f>
        <v>#DIV/0!</v>
      </c>
      <c r="E5" s="2462"/>
      <c r="F5" s="2463"/>
      <c r="G5" s="2463"/>
      <c r="H5" s="2463"/>
      <c r="I5" s="2463"/>
      <c r="J5" s="2463"/>
      <c r="K5" s="2463"/>
    </row>
    <row r="6" spans="1:11" ht="15.6">
      <c r="A6" s="2300" t="s">
        <v>656</v>
      </c>
      <c r="B6" s="2300">
        <f ca="1">SUM(G14:G23)</f>
        <v>244</v>
      </c>
      <c r="C6" s="2300">
        <f ca="1">IF(B6=G14,结果表!H108,ROUND(B6*10000/$B$1,0))</f>
        <v>30303</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80.42</v>
      </c>
      <c r="C14" s="2306"/>
      <c r="D14" s="2306">
        <f ca="1">结果表!H118</f>
        <v>244</v>
      </c>
      <c r="E14" s="2306">
        <f ca="1">结果表!I118</f>
        <v>30303</v>
      </c>
      <c r="F14" s="2306" t="e">
        <f ca="1">ROUND(D14*10000/C14,0)</f>
        <v>#DIV/0!</v>
      </c>
      <c r="G14" s="2306">
        <f ca="1">D14</f>
        <v>244</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70" zoomScaleNormal="100" zoomScaleSheetLayoutView="70" zoomScalePageLayoutView="80" workbookViewId="0">
      <selection activeCell="L35" sqref="L3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3.2">
      <c r="A3" s="3280" t="s">
        <v>1264</v>
      </c>
      <c r="B3" s="3281"/>
      <c r="C3" s="3281"/>
      <c r="D3" s="3281"/>
      <c r="E3" s="3281"/>
      <c r="F3" s="3281"/>
      <c r="G3" s="3281"/>
      <c r="H3" s="3281"/>
      <c r="I3" s="3281"/>
    </row>
    <row r="4" spans="1:12" ht="14.4">
      <c r="A4" s="1624" t="s">
        <v>1265</v>
      </c>
      <c r="B4" s="1625" t="s">
        <v>1266</v>
      </c>
      <c r="C4" s="1626" t="s">
        <v>3442</v>
      </c>
      <c r="D4" s="1626" t="s">
        <v>3415</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6" t="s">
        <v>1268</v>
      </c>
      <c r="B5" s="3243">
        <v>25</v>
      </c>
      <c r="C5" s="3259"/>
      <c r="D5" s="3279"/>
      <c r="E5" s="123" t="s">
        <v>1269</v>
      </c>
      <c r="F5" s="1627"/>
      <c r="G5" s="1627"/>
      <c r="H5" s="1627"/>
      <c r="I5" s="1281"/>
    </row>
    <row r="6" spans="1:12" ht="13.2">
      <c r="A6" s="3256"/>
      <c r="B6" s="3243"/>
      <c r="C6" s="3260"/>
      <c r="D6" s="3279"/>
      <c r="E6" s="123" t="s">
        <v>1270</v>
      </c>
      <c r="F6" s="1627"/>
      <c r="G6" s="1627"/>
      <c r="H6" s="1627"/>
      <c r="I6" s="1281"/>
    </row>
    <row r="7" spans="1:12" ht="13.2">
      <c r="A7" s="3256"/>
      <c r="B7" s="3243"/>
      <c r="C7" s="3261"/>
      <c r="D7" s="3279"/>
      <c r="E7" s="123" t="s">
        <v>1271</v>
      </c>
      <c r="F7" s="1627"/>
      <c r="G7" s="1627"/>
      <c r="H7" s="1627"/>
      <c r="I7" s="1281"/>
    </row>
    <row r="8" spans="1:12" ht="13.2">
      <c r="A8" s="3256" t="s">
        <v>1272</v>
      </c>
      <c r="B8" s="3243">
        <v>15</v>
      </c>
      <c r="C8" s="3259"/>
      <c r="D8" s="3279"/>
      <c r="E8" s="123" t="s">
        <v>1273</v>
      </c>
      <c r="F8" s="1627"/>
      <c r="G8" s="1627"/>
      <c r="H8" s="1627"/>
      <c r="I8" s="1281"/>
    </row>
    <row r="9" spans="1:12" ht="13.2">
      <c r="A9" s="3256"/>
      <c r="B9" s="3243"/>
      <c r="C9" s="3261"/>
      <c r="D9" s="3279"/>
      <c r="E9" s="123" t="s">
        <v>1274</v>
      </c>
      <c r="F9" s="1627"/>
      <c r="G9" s="1627"/>
      <c r="H9" s="1627"/>
      <c r="I9" s="1281"/>
    </row>
    <row r="10" spans="1:12" ht="13.2">
      <c r="A10" s="3256" t="s">
        <v>1275</v>
      </c>
      <c r="B10" s="3243">
        <v>15</v>
      </c>
      <c r="C10" s="3259"/>
      <c r="D10" s="3279"/>
      <c r="E10" s="123" t="s">
        <v>1276</v>
      </c>
      <c r="F10" s="1627"/>
      <c r="G10" s="1627"/>
      <c r="H10" s="1627"/>
      <c r="I10" s="1281"/>
    </row>
    <row r="11" spans="1:12" ht="13.2">
      <c r="A11" s="3256"/>
      <c r="B11" s="3243"/>
      <c r="C11" s="3261"/>
      <c r="D11" s="3279"/>
      <c r="E11" s="123" t="s">
        <v>1277</v>
      </c>
      <c r="F11" s="1627"/>
      <c r="G11" s="1627"/>
      <c r="H11" s="1627"/>
      <c r="I11" s="1281"/>
    </row>
    <row r="12" spans="1:12" ht="13.2">
      <c r="A12" s="3256" t="s">
        <v>1278</v>
      </c>
      <c r="B12" s="3243">
        <v>15</v>
      </c>
      <c r="C12" s="3259"/>
      <c r="D12" s="3279"/>
      <c r="E12" s="123" t="s">
        <v>1279</v>
      </c>
      <c r="F12" s="1627"/>
      <c r="G12" s="1627"/>
      <c r="H12" s="1627"/>
      <c r="I12" s="1281"/>
    </row>
    <row r="13" spans="1:12" ht="13.2">
      <c r="A13" s="3256"/>
      <c r="B13" s="3243"/>
      <c r="C13" s="3261"/>
      <c r="D13" s="3279"/>
      <c r="E13" s="123" t="s">
        <v>1280</v>
      </c>
      <c r="F13" s="1627"/>
      <c r="G13" s="1627"/>
      <c r="H13" s="1627"/>
      <c r="I13" s="1281"/>
    </row>
    <row r="14" spans="1:12" ht="13.2">
      <c r="A14" s="3256" t="s">
        <v>1281</v>
      </c>
      <c r="B14" s="3243">
        <v>30</v>
      </c>
      <c r="C14" s="3259">
        <v>7</v>
      </c>
      <c r="D14" s="3279">
        <v>3</v>
      </c>
      <c r="E14" s="123" t="s">
        <v>1282</v>
      </c>
      <c r="F14" s="1627"/>
      <c r="G14" s="1627"/>
      <c r="H14" s="1627"/>
      <c r="I14" s="1281"/>
    </row>
    <row r="15" spans="1:12" ht="13.2">
      <c r="A15" s="3256"/>
      <c r="B15" s="3243"/>
      <c r="C15" s="3260"/>
      <c r="D15" s="3279"/>
      <c r="E15" s="123" t="s">
        <v>1283</v>
      </c>
      <c r="F15" s="1627"/>
      <c r="G15" s="1627"/>
      <c r="H15" s="1627"/>
      <c r="I15" s="1281"/>
    </row>
    <row r="16" spans="1:12" ht="13.2">
      <c r="A16" s="3256"/>
      <c r="B16" s="3243"/>
      <c r="C16" s="3261"/>
      <c r="D16" s="327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66" t="s">
        <v>2131</v>
      </c>
      <c r="F18" s="3267"/>
      <c r="G18" s="3267"/>
      <c r="H18" s="3267"/>
      <c r="I18" s="3267"/>
      <c r="K18" s="294" t="s">
        <v>1289</v>
      </c>
      <c r="L18" s="294">
        <f>IF(C1="",'数据-汇总表'!E3,SUMIF(项目类型,C1,'数据-汇总表'!E17:E26)+SUMIF(项目类型,C1,'数据-汇总表'!I17:I26))</f>
        <v>80.42</v>
      </c>
      <c r="M18" s="294">
        <f>IF(C1="",'数据-汇总表'!E3,SUMIF(项目类型,C1,'数据-汇总表'!E17:E26))</f>
        <v>80.42</v>
      </c>
    </row>
    <row r="19" spans="1:36" ht="14.4">
      <c r="A19" s="1630" t="s">
        <v>1290</v>
      </c>
      <c r="B19" s="1631" t="s">
        <v>1291</v>
      </c>
      <c r="C19" s="126">
        <f ca="1">SUMIF(INDIRECT("'"&amp;C4&amp;"'"&amp;"!A:A"),结果表!B19,INDIRECT("'"&amp;C4&amp;"'"&amp;"!B:B"))</f>
        <v>296.83019999999999</v>
      </c>
      <c r="D19" s="127">
        <f ca="1">SUMIF(INDIRECT("'"&amp;D4&amp;"'"&amp;"!A:A"),结果表!B19,INDIRECT("'"&amp;D4&amp;"'"&amp;"!B:B"))</f>
        <v>119.7022</v>
      </c>
      <c r="E19" s="1630" t="s">
        <v>1292</v>
      </c>
      <c r="F19" s="1631" t="s">
        <v>1291</v>
      </c>
      <c r="G19" s="128">
        <f ca="1">ROUND(C19*$C$18+D19*$D$18,0)</f>
        <v>244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36910</v>
      </c>
      <c r="D20" s="130">
        <f ca="1">SUMIF(INDIRECT("'"&amp;D4&amp;"'"&amp;"!A:A"),结果表!B20,INDIRECT("'"&amp;D4&amp;"'"&amp;"!B:B"))</f>
        <v>14885</v>
      </c>
      <c r="E20" s="1633"/>
      <c r="F20" s="43" t="s">
        <v>1295</v>
      </c>
      <c r="G20" s="131">
        <f ca="1">ROUND(C20*$C$18+D20*$D$18,0)</f>
        <v>30303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1.4797388853337696</v>
      </c>
      <c r="E22" s="121"/>
      <c r="F22" s="121"/>
      <c r="G22" s="121"/>
      <c r="H22" s="121"/>
      <c r="I22" s="121"/>
    </row>
    <row r="23" spans="1:36" ht="13.8" thickBot="1">
      <c r="A23" s="646"/>
      <c r="B23" s="646"/>
      <c r="C23" s="646"/>
      <c r="D23" s="646"/>
      <c r="E23" s="121"/>
      <c r="F23" s="121"/>
      <c r="G23" s="121"/>
      <c r="H23" s="121"/>
      <c r="I23" s="121"/>
    </row>
    <row r="24" spans="1:36" ht="14.4">
      <c r="A24" s="3250" t="s">
        <v>1299</v>
      </c>
      <c r="B24" s="1631" t="s">
        <v>1291</v>
      </c>
      <c r="C24" s="128">
        <f>IF(B30=0,0,D30)</f>
        <v>0</v>
      </c>
      <c r="D24" s="1637"/>
      <c r="E24" s="121"/>
      <c r="F24" s="121"/>
      <c r="G24" s="121"/>
      <c r="H24" s="121"/>
      <c r="I24" s="121"/>
    </row>
    <row r="25" spans="1:36" ht="14.4">
      <c r="A25" s="3251"/>
      <c r="B25" s="43" t="s">
        <v>1295</v>
      </c>
      <c r="C25" s="133">
        <f>IF(B30=0,0,C30)</f>
        <v>0</v>
      </c>
      <c r="D25" s="1638"/>
      <c r="E25" s="121"/>
      <c r="F25" s="3504" t="s">
        <v>3445</v>
      </c>
      <c r="G25" s="121"/>
      <c r="H25" s="121"/>
      <c r="I25" s="121"/>
    </row>
    <row r="26" spans="1:36" ht="13.5" customHeight="1">
      <c r="A26" s="1639" t="s">
        <v>1300</v>
      </c>
      <c r="B26" s="134" t="s">
        <v>1301</v>
      </c>
      <c r="C26" s="134" t="s">
        <v>1302</v>
      </c>
      <c r="D26" s="135" t="s">
        <v>1303</v>
      </c>
      <c r="E26" s="121"/>
      <c r="F26" s="121"/>
      <c r="G26" s="3504"/>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30303</v>
      </c>
      <c r="D32" s="1641" t="s">
        <v>3443</v>
      </c>
      <c r="E32" s="121"/>
      <c r="F32" s="121"/>
      <c r="G32" s="121"/>
      <c r="H32" s="121"/>
      <c r="I32" s="121"/>
    </row>
    <row r="33" spans="1:15" ht="14.4">
      <c r="A33" s="740" t="s">
        <v>1306</v>
      </c>
      <c r="B33" s="123"/>
      <c r="C33" s="1642" t="s">
        <v>3444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0" t="s">
        <v>1312</v>
      </c>
      <c r="B36" s="1652" t="s">
        <v>1313</v>
      </c>
      <c r="C36" s="137"/>
      <c r="D36" s="1653"/>
      <c r="E36" s="1567"/>
      <c r="F36" s="1654"/>
      <c r="G36" s="121"/>
      <c r="H36" s="121"/>
      <c r="I36" s="121"/>
    </row>
    <row r="37" spans="1:15" ht="15" thickBot="1">
      <c r="A37" s="3271"/>
      <c r="B37" s="1555" t="s">
        <v>1314</v>
      </c>
      <c r="C37" s="139"/>
      <c r="D37" s="1071"/>
      <c r="E37" s="1071"/>
      <c r="F37" s="1654"/>
      <c r="G37" s="121"/>
      <c r="H37" s="121"/>
      <c r="I37" s="121"/>
    </row>
    <row r="38" spans="1:15" ht="15" thickBot="1">
      <c r="A38" s="327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244</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45737</v>
      </c>
      <c r="N47" s="3327"/>
      <c r="O47" s="3327"/>
    </row>
    <row r="48" spans="1:15" ht="26.4">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244</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244</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399999999999999"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13</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2291</v>
      </c>
      <c r="C53" s="3269"/>
      <c r="D53" s="1024">
        <f ca="1">ROUND(D45*'数据-取费表'!B41/(1+'数据-取费表'!C42),0)</f>
        <v>13</v>
      </c>
      <c r="E53" s="1256" t="s">
        <v>1354</v>
      </c>
      <c r="F53" s="2340">
        <f>'数据-取费表'!B41</f>
        <v>5.6000000000000001E-2</v>
      </c>
      <c r="G53" s="2341"/>
      <c r="H53" s="2331"/>
      <c r="I53" s="1669"/>
      <c r="J53" s="2310">
        <v>2</v>
      </c>
      <c r="K53" s="3307" t="s">
        <v>1357</v>
      </c>
      <c r="L53" s="3307"/>
      <c r="M53" s="2312">
        <f t="shared" ref="M53:O54" ca="1" si="0">D55</f>
        <v>0</v>
      </c>
      <c r="N53" s="2310" t="str">
        <f t="shared" si="0"/>
        <v>销售额×税（费）率</v>
      </c>
      <c r="O53" s="2313" t="str">
        <f t="shared" si="0"/>
        <v>免征</v>
      </c>
    </row>
    <row r="54" spans="1:35" ht="12" customHeight="1">
      <c r="A54" s="2153" t="s">
        <v>1358</v>
      </c>
      <c r="B54" s="3268" t="s">
        <v>2292</v>
      </c>
      <c r="C54" s="3269"/>
      <c r="D54" s="1024">
        <f ca="1">C68</f>
        <v>13</v>
      </c>
      <c r="E54" s="319" t="s">
        <v>1359</v>
      </c>
      <c r="F54" s="2340">
        <f>'数据-取费表'!B41</f>
        <v>5.6000000000000001E-2</v>
      </c>
      <c r="G54" s="2341"/>
      <c r="H54" s="2342"/>
      <c r="I54" s="1669"/>
      <c r="J54" s="2310">
        <v>3</v>
      </c>
      <c r="K54" s="3307" t="s">
        <v>1360</v>
      </c>
      <c r="L54" s="3307"/>
      <c r="M54" s="2312">
        <f t="shared" ca="1" si="0"/>
        <v>138</v>
      </c>
      <c r="N54" s="2310" t="str">
        <f t="shared" si="0"/>
        <v>增值额×税（费）率</v>
      </c>
      <c r="O54" s="2314" t="str">
        <f t="shared" si="0"/>
        <v>免征</v>
      </c>
    </row>
    <row r="55" spans="1:35" ht="24" customHeight="1">
      <c r="A55" s="3257" t="s">
        <v>1361</v>
      </c>
      <c r="B55" s="3258"/>
      <c r="C55" s="3258"/>
      <c r="D55" s="12">
        <f ca="1">IF(H55="个人住宅",0,ROUND(D45*I55,0))</f>
        <v>0</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2</v>
      </c>
      <c r="N55" s="1883" t="str">
        <f>E59</f>
        <v>差额计税</v>
      </c>
      <c r="O55" s="2316">
        <f>F59</f>
        <v>0.01</v>
      </c>
    </row>
    <row r="56" spans="1:35" ht="25.2">
      <c r="A56" s="3257" t="s">
        <v>1363</v>
      </c>
      <c r="B56" s="3258"/>
      <c r="C56" s="3258"/>
      <c r="D56" s="12">
        <f ca="1">IF(H56="个人住宅",D57,D58)</f>
        <v>138</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3.2">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140</v>
      </c>
      <c r="O57" s="2320"/>
      <c r="P57" s="2465">
        <f ca="1">N57/M49</f>
        <v>0.57377049180327866</v>
      </c>
    </row>
    <row r="58" spans="1:35" ht="25.2">
      <c r="A58" s="2153" t="s">
        <v>1352</v>
      </c>
      <c r="B58" s="3268" t="s">
        <v>1369</v>
      </c>
      <c r="C58" s="3242"/>
      <c r="D58" s="12">
        <f ca="1">IF(H58="转让取得",C81,C97)</f>
        <v>138</v>
      </c>
      <c r="E58" s="1256" t="s">
        <v>1364</v>
      </c>
      <c r="F58" s="294" t="s">
        <v>28</v>
      </c>
      <c r="G58" s="2341"/>
      <c r="H58" s="2344"/>
      <c r="I58" s="1670"/>
      <c r="J58" s="3307"/>
      <c r="K58" s="3307"/>
      <c r="L58" s="2317" t="s">
        <v>1370</v>
      </c>
      <c r="M58" s="2321"/>
      <c r="N58" s="2322" t="str">
        <f ca="1">NUMBERSTRING(INT(N57*10000),2)&amp;"元整"</f>
        <v>壹佰肆拾万元整</v>
      </c>
      <c r="O58" s="2323"/>
    </row>
    <row r="59" spans="1:35" ht="24.6" thickBot="1">
      <c r="A59" s="3310" t="s">
        <v>1371</v>
      </c>
      <c r="B59" s="3311"/>
      <c r="C59" s="3311"/>
      <c r="D59" s="2346">
        <f ca="1">IF(H59="非个人房产","——",IF(H59="个人住宅（满五唯一有凭证）",0,IF(H59="个人其他（无凭证）",ROUND(D45*F59,0),ROUND(C67*F59,0))))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104</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壹佰零肆万元整</v>
      </c>
      <c r="O60" s="2323"/>
    </row>
    <row r="61" spans="1:35" ht="13.8" thickBot="1">
      <c r="A61" s="3255" t="s">
        <v>1373</v>
      </c>
      <c r="B61" s="3255"/>
      <c r="C61" s="3255"/>
      <c r="D61" s="3255"/>
      <c r="E61" s="3255"/>
      <c r="F61" s="1670"/>
      <c r="G61" s="1670"/>
      <c r="H61" s="151"/>
      <c r="I61" s="121"/>
      <c r="J61" s="2310">
        <f>J59+1</f>
        <v>7</v>
      </c>
      <c r="K61" s="3307" t="s">
        <v>1374</v>
      </c>
      <c r="L61" s="3307"/>
      <c r="M61" s="2327"/>
      <c r="N61" s="2328">
        <f ca="1">ROUND(N59*10000/'数据-汇总表'!E3,0)</f>
        <v>12932</v>
      </c>
      <c r="O61" s="2329"/>
    </row>
    <row r="62" spans="1:35" ht="13.2">
      <c r="A62" s="3273" t="s">
        <v>1375</v>
      </c>
      <c r="B62" s="3274"/>
      <c r="C62" s="1865"/>
      <c r="D62" s="1865" t="s">
        <v>1376</v>
      </c>
      <c r="E62" s="158" t="s">
        <v>1377</v>
      </c>
      <c r="F62" s="1670"/>
      <c r="G62" s="1670"/>
      <c r="H62" s="151"/>
      <c r="I62" s="121"/>
    </row>
    <row r="63" spans="1:35" ht="13.2">
      <c r="A63" s="165" t="s">
        <v>330</v>
      </c>
      <c r="B63" s="159" t="s">
        <v>1378</v>
      </c>
      <c r="C63" s="2350">
        <f ca="1">ROUND((C64+C65)/(1+'数据-取费表'!C42),0)</f>
        <v>232</v>
      </c>
      <c r="D63" s="159"/>
      <c r="E63" s="160"/>
      <c r="F63" s="1670"/>
      <c r="G63" s="1670"/>
      <c r="H63" s="151"/>
      <c r="I63" s="121"/>
      <c r="J63" s="3332" t="s">
        <v>1379</v>
      </c>
      <c r="K63" s="1245" t="s">
        <v>1380</v>
      </c>
      <c r="L63" s="1245">
        <f ca="1">IF(M49&gt;10000,M49*0.5%,IF(AND(M49&gt;1000,M49&lt;=10000),M49*1%,IF(AND(M49&gt;100,M49&lt;=1000),M49*3%,IF(AND(M49&gt;10,M49&lt;=100),M49*5%,M49*8%))))</f>
        <v>7.3199999999999994</v>
      </c>
      <c r="M63" s="294">
        <f ca="1">ROUND(L63,1)</f>
        <v>7.3</v>
      </c>
      <c r="N63" s="2330"/>
      <c r="Z63" s="1623"/>
      <c r="AI63" s="1561"/>
    </row>
    <row r="64" spans="1:35" ht="14.25" customHeight="1">
      <c r="A64" s="161" t="s">
        <v>325</v>
      </c>
      <c r="B64" s="162" t="s">
        <v>1381</v>
      </c>
      <c r="C64" s="2351">
        <f ca="1">D45</f>
        <v>244</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1.952</v>
      </c>
      <c r="M64" s="294">
        <f t="shared" ref="M64:M65" ca="1" si="1">ROUND(L64,1)</f>
        <v>2</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2.44</v>
      </c>
      <c r="M65" s="294">
        <f t="shared" ca="1" si="1"/>
        <v>2.4</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1.22</v>
      </c>
      <c r="M66" s="294">
        <f ca="1">IF(L66&gt;0.5,0.5,ROUND(L66,0))</f>
        <v>0.5</v>
      </c>
      <c r="N66" s="2331" t="s">
        <v>1388</v>
      </c>
      <c r="Z66" s="1623"/>
      <c r="AI66" s="1561"/>
    </row>
    <row r="67" spans="1:35" ht="14.25" customHeight="1">
      <c r="A67" s="165" t="s">
        <v>328</v>
      </c>
      <c r="B67" s="166" t="s">
        <v>1389</v>
      </c>
      <c r="C67" s="2354">
        <f ca="1">C63-C66</f>
        <v>232</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0.86</v>
      </c>
      <c r="M67" s="294">
        <f ca="1">ROUND(L67*0.9,1)</f>
        <v>0.8</v>
      </c>
      <c r="N67" s="2330"/>
      <c r="Z67" s="1623"/>
      <c r="AI67" s="1561"/>
    </row>
    <row r="68" spans="1:35" ht="14.25" customHeight="1" thickBot="1">
      <c r="A68" s="168" t="s">
        <v>329</v>
      </c>
      <c r="B68" s="169" t="s">
        <v>1391</v>
      </c>
      <c r="C68" s="2355">
        <f ca="1">IF(C67&lt;=0,0,ROUND(C67*D68,0))</f>
        <v>13</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7.3199999999999994</v>
      </c>
      <c r="M68" s="294">
        <f ca="1">ROUND(L68,1)</f>
        <v>7.3</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20</v>
      </c>
      <c r="N69" s="2332">
        <f ca="1">M69/M49</f>
        <v>8.1967213114754092E-2</v>
      </c>
      <c r="Z69" s="1623"/>
      <c r="AI69" s="1561"/>
    </row>
    <row r="70" spans="1:35" s="642" customFormat="1" ht="14.4"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232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231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138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232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138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比较法-办公</v>
      </c>
      <c r="D101" s="2372" t="str">
        <f>D4</f>
        <v>收益法 (元)</v>
      </c>
      <c r="E101" s="3329" t="s">
        <v>1431</v>
      </c>
      <c r="F101" s="3286"/>
      <c r="G101" s="1687" t="s">
        <v>1432</v>
      </c>
      <c r="H101" s="2381">
        <f ca="1">H118</f>
        <v>244</v>
      </c>
      <c r="I101" s="121"/>
    </row>
    <row r="102" spans="1:35" ht="18.75" customHeight="1">
      <c r="A102" s="3288" t="s">
        <v>1433</v>
      </c>
      <c r="B102" s="2370" t="s">
        <v>1432</v>
      </c>
      <c r="C102" s="2371">
        <f ca="1">IF(D32="楼面单价",ROUND(C19,0),C19)</f>
        <v>297</v>
      </c>
      <c r="D102" s="2372">
        <f ca="1">IF(D32="楼面单价",ROUND(D19,0),D19)</f>
        <v>120</v>
      </c>
      <c r="E102" s="3329"/>
      <c r="F102" s="3286"/>
      <c r="G102" s="1687" t="s">
        <v>1434</v>
      </c>
      <c r="H102" s="2341">
        <f ca="1">I118</f>
        <v>30303</v>
      </c>
      <c r="I102" s="121"/>
    </row>
    <row r="103" spans="1:35" ht="42.75" customHeight="1">
      <c r="A103" s="3288"/>
      <c r="B103" s="2370" t="s">
        <v>1434</v>
      </c>
      <c r="C103" s="2373">
        <f ca="1">C20</f>
        <v>36910</v>
      </c>
      <c r="D103" s="2374">
        <f ca="1">D20</f>
        <v>14885</v>
      </c>
      <c r="E103" s="3323" t="s">
        <v>1435</v>
      </c>
      <c r="F103" s="3324"/>
      <c r="G103" s="1688" t="s">
        <v>1436</v>
      </c>
      <c r="H103" s="2381">
        <f>IF(D36="正常操作",H104+H105+H106,H105+H106)</f>
        <v>0</v>
      </c>
      <c r="I103" s="121"/>
    </row>
    <row r="104" spans="1:35" ht="18.75" customHeight="1">
      <c r="A104" s="3288" t="s">
        <v>1437</v>
      </c>
      <c r="B104" s="2375" t="s">
        <v>1432</v>
      </c>
      <c r="C104" s="2376">
        <f ca="1">H118</f>
        <v>244</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30303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244</v>
      </c>
      <c r="I107" s="121"/>
    </row>
    <row r="108" spans="1:35" ht="18.75" customHeight="1">
      <c r="A108" s="121"/>
      <c r="B108" s="121"/>
      <c r="C108" s="121"/>
      <c r="D108" s="121"/>
      <c r="E108" s="3285"/>
      <c r="F108" s="3286"/>
      <c r="G108" s="1687" t="s">
        <v>1434</v>
      </c>
      <c r="H108" s="2341">
        <f ca="1">IF(H107=H101,H102,ROUND(H107*10000/'数据-汇总表'!E3,0))</f>
        <v>30303</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80.42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244</v>
      </c>
      <c r="I118" s="2150">
        <f ca="1">ROUND(IF(D32="楼面单价",C32,H118*10000/B118),0)</f>
        <v>30303</v>
      </c>
    </row>
    <row r="119" spans="1:27" ht="18.75" customHeight="1">
      <c r="A119" s="3256" t="s">
        <v>1452</v>
      </c>
      <c r="B119" s="3256"/>
      <c r="C119" s="3256"/>
      <c r="D119" s="3296" t="str">
        <f>NUMBERSTRING(INT(D118*10000),2)&amp;"元整"</f>
        <v>零元整</v>
      </c>
      <c r="E119" s="3298"/>
      <c r="F119" s="3296" t="str">
        <f>NUMBERSTRING(INT(F118*10000),2)&amp;"元整"</f>
        <v>零元整</v>
      </c>
      <c r="G119" s="3298"/>
      <c r="H119" s="3296" t="str">
        <f ca="1">NUMBERSTRING(INT(H118*10000),2)&amp;"元整"</f>
        <v>贰佰肆拾肆万元整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244</v>
      </c>
      <c r="E122" s="3321"/>
      <c r="F122" s="3321"/>
      <c r="G122" s="3321"/>
      <c r="H122" s="3321"/>
      <c r="I122" s="3322"/>
      <c r="AA122" s="684"/>
    </row>
    <row r="123" spans="1:27" ht="18.75" customHeight="1">
      <c r="A123" s="3256" t="s">
        <v>1452</v>
      </c>
      <c r="B123" s="3256"/>
      <c r="C123" s="3256"/>
      <c r="D123" s="3296" t="str">
        <f ca="1">NUMBERSTRING(INT(D122*10000),2)&amp;"元整"</f>
        <v>贰佰肆拾肆万元整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8953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80.42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80.42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80.42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70</v>
      </c>
      <c r="D51" s="224"/>
      <c r="E51" s="224"/>
      <c r="F51" s="256"/>
      <c r="G51" s="226" t="s">
        <v>1560</v>
      </c>
    </row>
    <row r="52" spans="1:7" s="200" customFormat="1" ht="16.8" thickBot="1">
      <c r="A52" s="257" t="s">
        <v>1561</v>
      </c>
      <c r="B52" s="258"/>
      <c r="C52" s="259">
        <f ca="1">C31+C51</f>
        <v>72</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75.328299999999999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9367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16084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16084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16084</v>
      </c>
      <c r="D10" s="795">
        <f ca="1">IF(B1="",'数据-汇总表'!E6,IF(INDIRECT("'数据-取费表'!c"&amp;$G$1)="住宅",INDIRECT("'数据-取费表'!s"&amp;$G$1),INDIRECT("'数据-取费表'!k"&amp;$G$1)+INDIRECT("'数据-取费表'!s"&amp;$G$1)))</f>
        <v>80.42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16084</v>
      </c>
      <c r="D19" s="204">
        <f ca="1">D9+D10</f>
        <v>80.42</v>
      </c>
      <c r="E19" s="203">
        <f>'数据-取费表'!B31</f>
        <v>200</v>
      </c>
      <c r="F19" s="223"/>
      <c r="G19" s="1714"/>
    </row>
    <row r="20" spans="1:7" s="206" customFormat="1" ht="13.5" customHeight="1">
      <c r="A20" s="247" t="s">
        <v>1574</v>
      </c>
      <c r="B20" s="202" t="s">
        <v>1575</v>
      </c>
      <c r="C20" s="224">
        <f ca="1">ROUND((C5+C19)*F20,0)</f>
        <v>643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2046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1013</v>
      </c>
      <c r="D24" s="230"/>
      <c r="E24" s="230"/>
      <c r="F24" s="231"/>
      <c r="G24" s="232" t="s">
        <v>1586</v>
      </c>
    </row>
    <row r="25" spans="1:7" s="206" customFormat="1" ht="24">
      <c r="A25" s="734" t="s">
        <v>1476</v>
      </c>
      <c r="B25" s="207" t="s">
        <v>1587</v>
      </c>
      <c r="C25" s="230">
        <f ca="1">ROUND(IF('数据-取费表'!B22&lt;=1,C20*F22*'数据-取费表'!B22/2,C20*(POWER((1+F22),'数据-取费表'!B22/2)-1)),0)</f>
        <v>20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4922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4922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43093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618430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562940</v>
      </c>
      <c r="D34" s="209"/>
      <c r="E34" s="212"/>
      <c r="F34" s="249"/>
      <c r="G34" s="211"/>
    </row>
    <row r="35" spans="1:7" ht="13.5" customHeight="1">
      <c r="A35" s="734" t="s">
        <v>351</v>
      </c>
      <c r="B35" s="207" t="s">
        <v>1527</v>
      </c>
      <c r="C35" s="212">
        <f ca="1">ROUND(C34*F35,0)</f>
        <v>28147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16084</v>
      </c>
      <c r="D37" s="209">
        <f ca="1">D19</f>
        <v>80.42</v>
      </c>
      <c r="E37" s="241">
        <f>'数据-取费表'!B35</f>
        <v>200</v>
      </c>
      <c r="F37" s="251"/>
      <c r="G37" s="253"/>
    </row>
    <row r="38" spans="1:7" ht="13.5" customHeight="1">
      <c r="A38" s="734" t="s">
        <v>354</v>
      </c>
      <c r="B38" s="207" t="s">
        <v>1533</v>
      </c>
      <c r="C38" s="212">
        <f ca="1">ROUND(C34*F38,0)</f>
        <v>11259</v>
      </c>
      <c r="D38" s="212"/>
      <c r="E38" s="212"/>
      <c r="F38" s="251">
        <f>'数据-取费表'!B36</f>
        <v>0.02</v>
      </c>
      <c r="G38" s="211" t="s">
        <v>1528</v>
      </c>
    </row>
    <row r="39" spans="1:7" s="206" customFormat="1" ht="13.5" customHeight="1">
      <c r="A39" s="247" t="s">
        <v>1534</v>
      </c>
      <c r="B39" s="202" t="s">
        <v>1535</v>
      </c>
      <c r="C39" s="224">
        <f ca="1">ROUND(C33*F20,0)</f>
        <v>12369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19554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19171</v>
      </c>
      <c r="D42" s="230"/>
      <c r="E42" s="230"/>
      <c r="F42" s="231"/>
      <c r="G42" s="3336" t="s">
        <v>1591</v>
      </c>
    </row>
    <row r="43" spans="1:7" ht="13.5" customHeight="1">
      <c r="A43" s="734" t="s">
        <v>347</v>
      </c>
      <c r="B43" s="207" t="s">
        <v>1545</v>
      </c>
      <c r="C43" s="230">
        <f ca="1">ROUND(IF('数据-取费表'!B22&lt;=1,C39*F22*'数据-取费表'!B20/2,C39*(POWER((1+F22),'数据-取费表'!B20/2)-1)),0)</f>
        <v>383</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94620</v>
      </c>
      <c r="D45" s="227">
        <f ca="1">C47</f>
        <v>3.0000000000000001E-3</v>
      </c>
      <c r="E45" s="228" t="s">
        <v>1539</v>
      </c>
      <c r="F45" s="238">
        <f ca="1">F27</f>
        <v>0.15</v>
      </c>
      <c r="G45" s="239" t="s">
        <v>1548</v>
      </c>
    </row>
    <row r="46" spans="1:7" s="206" customFormat="1" ht="13.5" customHeight="1">
      <c r="A46" s="734" t="s">
        <v>346</v>
      </c>
      <c r="B46" s="240" t="s">
        <v>1549</v>
      </c>
      <c r="C46" s="241">
        <f ca="1">ROUND((C33+C39)*F27,0)</f>
        <v>94620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807034</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710190</v>
      </c>
      <c r="D51" s="224"/>
      <c r="E51" s="224"/>
      <c r="F51" s="256"/>
      <c r="G51" s="226" t="s">
        <v>1560</v>
      </c>
    </row>
    <row r="52" spans="1:7" s="200" customFormat="1" ht="16.8" thickBot="1">
      <c r="A52" s="257" t="s">
        <v>1561</v>
      </c>
      <c r="B52" s="258"/>
      <c r="C52" s="259">
        <f ca="1">C31+C51</f>
        <v>753283</v>
      </c>
      <c r="D52" s="258"/>
      <c r="E52" s="258"/>
      <c r="F52" s="258"/>
      <c r="G52" s="260"/>
    </row>
    <row r="55" spans="1:7" ht="15">
      <c r="B55" s="262" t="s">
        <v>1562</v>
      </c>
      <c r="C55" s="263"/>
    </row>
    <row r="56" spans="1:7">
      <c r="B56" s="265" t="s">
        <v>802</v>
      </c>
      <c r="C56" s="267">
        <f ca="1">1-C57</f>
        <v>5.7000000000000051E-2</v>
      </c>
    </row>
    <row r="57" spans="1:7">
      <c r="B57" s="265" t="s">
        <v>803</v>
      </c>
      <c r="C57" s="266">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80.42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80.42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80.42</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38.75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119.7022</v>
      </c>
      <c r="C2" s="1289" t="s">
        <v>879</v>
      </c>
      <c r="D2" s="1375">
        <f ca="1">C40+J29+L46</f>
        <v>1197022</v>
      </c>
      <c r="E2" s="1295" t="s">
        <v>880</v>
      </c>
      <c r="F2" s="1296"/>
      <c r="G2" s="2479"/>
      <c r="H2" s="2469"/>
      <c r="I2" s="2469"/>
      <c r="J2" s="2469"/>
      <c r="K2" s="2470"/>
      <c r="L2" s="2469"/>
      <c r="M2" s="2469"/>
    </row>
    <row r="3" spans="1:37" ht="18" customHeight="1" thickBot="1">
      <c r="A3" s="1297" t="s">
        <v>881</v>
      </c>
      <c r="B3" s="1298">
        <f ca="1">IF(ISERROR(D2/F43),0,ROUND(D2/F43,0))</f>
        <v>14885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79353</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79254</v>
      </c>
      <c r="D6" s="147" t="s">
        <v>2106</v>
      </c>
      <c r="E6" s="294" t="s">
        <v>696</v>
      </c>
      <c r="F6" s="295">
        <f ca="1">INDIRECT("'数据-取费表'!u"&amp;$G$1)</f>
        <v>3</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80.42</v>
      </c>
      <c r="G7" s="1292"/>
      <c r="H7" s="296"/>
      <c r="I7" s="3342"/>
      <c r="J7" s="298"/>
      <c r="K7" s="299"/>
      <c r="L7" s="294" t="s">
        <v>697</v>
      </c>
      <c r="M7" s="295">
        <f ca="1">F7</f>
        <v>80.42</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99</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710190</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562940</v>
      </c>
      <c r="D14" s="1257" t="s">
        <v>708</v>
      </c>
      <c r="E14" s="1255"/>
      <c r="F14" s="311"/>
      <c r="G14" s="1292"/>
      <c r="H14" s="928" t="s">
        <v>398</v>
      </c>
      <c r="I14" s="294" t="s">
        <v>709</v>
      </c>
      <c r="J14" s="21">
        <f ca="1">C29</f>
        <v>807034</v>
      </c>
      <c r="K14" s="12"/>
      <c r="L14" s="759"/>
      <c r="M14" s="760"/>
    </row>
    <row r="15" spans="1:37" s="1304" customFormat="1" ht="18" customHeight="1" thickBot="1">
      <c r="A15" s="928" t="s">
        <v>399</v>
      </c>
      <c r="B15" s="294" t="s">
        <v>710</v>
      </c>
      <c r="C15" s="21">
        <f ca="1">ROUND(C14*F15,0)</f>
        <v>28147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8070</v>
      </c>
      <c r="K16" s="1024" t="s">
        <v>715</v>
      </c>
      <c r="L16" s="1025"/>
      <c r="M16" s="1009"/>
    </row>
    <row r="17" spans="1:37" s="1304" customFormat="1" ht="18" customHeight="1">
      <c r="A17" s="928" t="s">
        <v>681</v>
      </c>
      <c r="B17" s="294" t="s">
        <v>716</v>
      </c>
      <c r="C17" s="21">
        <f ca="1">ROUND(F17*(F43+INDIRECT("'数据-取费表'!S"&amp;$G$1)),0)</f>
        <v>16084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11259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618430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12369</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8070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19554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-8070</v>
      </c>
      <c r="K25" s="1032" t="s">
        <v>753</v>
      </c>
      <c r="L25" s="1033"/>
      <c r="M25" s="1034"/>
    </row>
    <row r="26" spans="1:37" ht="18" customHeight="1">
      <c r="A26" s="928" t="s">
        <v>397</v>
      </c>
      <c r="B26" s="294" t="s">
        <v>754</v>
      </c>
      <c r="C26" s="21">
        <f ca="1">ROUND((C19+C20)*F26,0)</f>
        <v>94620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807034</v>
      </c>
      <c r="D29" s="1029"/>
      <c r="E29" s="1027"/>
      <c r="F29" s="1030"/>
      <c r="G29" s="1303"/>
      <c r="H29" s="325" t="s">
        <v>396</v>
      </c>
      <c r="I29" s="326" t="s">
        <v>768</v>
      </c>
      <c r="J29" s="327">
        <f ca="1">ROUND(J26/(1+F40)^F41,0)</f>
        <v>0</v>
      </c>
      <c r="K29" s="328" t="s">
        <v>769</v>
      </c>
      <c r="L29" s="329"/>
      <c r="M29" s="330">
        <f ca="1">INDIRECT("'数据-取费表'!k"&amp;$G$1)</f>
        <v>80.42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22859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13285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4227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9058</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8070</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710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794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56494</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1177439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38.75</v>
      </c>
      <c r="G41" s="1292"/>
      <c r="H41" s="121">
        <f ca="1">C39/C5</f>
        <v>0.71193275616548835</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14641</v>
      </c>
      <c r="D43" s="328" t="s">
        <v>777</v>
      </c>
      <c r="E43" s="329" t="s">
        <v>778</v>
      </c>
      <c r="F43" s="330">
        <f ca="1">INDIRECT("'数据-取费表'!k"&amp;$G$1)</f>
        <v>80.42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f ca="1">ROUND((C68-C40)/10000,4)</f>
        <v>-131.70259999999999</v>
      </c>
      <c r="D45" s="3131" t="s">
        <v>3353</v>
      </c>
      <c r="E45" s="1307"/>
      <c r="F45" s="1307"/>
      <c r="O45" s="1310" t="s">
        <v>808</v>
      </c>
      <c r="P45" s="1366"/>
      <c r="Q45" s="1366"/>
      <c r="R45" s="1366"/>
    </row>
    <row r="46" spans="1:18" s="1292" customFormat="1" ht="13.8" thickBot="1">
      <c r="A46" s="1311" t="s">
        <v>809</v>
      </c>
      <c r="C46" s="1312">
        <f ca="1">ROUND(C45,0)</f>
        <v>-132</v>
      </c>
      <c r="D46" s="1313" t="str">
        <f>C2</f>
        <v>万元</v>
      </c>
      <c r="I46" s="1314" t="s">
        <v>810</v>
      </c>
      <c r="J46" s="1315"/>
      <c r="K46" s="1316"/>
      <c r="L46" s="1317">
        <f ca="1">IF(M47="住宅",0,IF(L48&gt;J51,L60,J60))</f>
        <v>19583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1177439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38.75</v>
      </c>
      <c r="O48" s="1325" t="s">
        <v>404</v>
      </c>
      <c r="P48" s="1326" t="s">
        <v>821</v>
      </c>
      <c r="Q48" s="1327">
        <f ca="1">J60</f>
        <v>19583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807034</v>
      </c>
      <c r="R49" s="1327" t="s">
        <v>818</v>
      </c>
    </row>
    <row r="50" spans="1:18" s="1292" customFormat="1" ht="13.8" thickBot="1">
      <c r="A50" s="922"/>
      <c r="B50" s="925"/>
      <c r="C50" s="926"/>
      <c r="D50" s="899"/>
      <c r="E50" s="993" t="s">
        <v>697</v>
      </c>
      <c r="F50" s="994">
        <f ca="1">F7</f>
        <v>80.42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125398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38.75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38.75</v>
      </c>
      <c r="K53" s="3339" t="s">
        <v>837</v>
      </c>
      <c r="L53" s="3340"/>
      <c r="O53" s="1325" t="s">
        <v>409</v>
      </c>
      <c r="P53" s="1326" t="s">
        <v>838</v>
      </c>
      <c r="Q53" s="1327">
        <f ca="1">Q47+Q48</f>
        <v>1197022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0.23799999999999999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710190</v>
      </c>
      <c r="D56" s="1352"/>
      <c r="E56" s="1353"/>
      <c r="F56" s="1345"/>
      <c r="I56" s="1354" t="s">
        <v>842</v>
      </c>
      <c r="J56" s="1355" t="s">
        <v>3410</v>
      </c>
      <c r="K56" s="1328" t="s">
        <v>843</v>
      </c>
      <c r="L56" s="1331" t="str">
        <f ca="1">IF(L48&lt;J51,"——",L48-J51)</f>
        <v>——</v>
      </c>
      <c r="O56" s="1325" t="s">
        <v>403</v>
      </c>
      <c r="P56" s="1326" t="s">
        <v>817</v>
      </c>
      <c r="Q56" s="1327">
        <f ca="1">C40+J29</f>
        <v>1177439</v>
      </c>
      <c r="R56" s="1327" t="s">
        <v>818</v>
      </c>
    </row>
    <row r="57" spans="1:18" s="1292" customFormat="1" ht="24.6" thickBot="1">
      <c r="A57" s="1356"/>
      <c r="B57" s="896" t="s">
        <v>767</v>
      </c>
      <c r="C57" s="230">
        <f ca="1">C29</f>
        <v>807034</v>
      </c>
      <c r="D57" s="1357"/>
      <c r="E57" s="1358"/>
      <c r="F57" s="1359"/>
      <c r="I57" s="1360" t="s">
        <v>844</v>
      </c>
      <c r="J57" s="1361">
        <f ca="1">IF(OR(M47="住宅",J51&lt;L48,J56="是"),"——",J51-L48)</f>
        <v>14.25</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8780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322814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19583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1177439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8070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710</v>
      </c>
      <c r="D65" s="910" t="s">
        <v>743</v>
      </c>
      <c r="E65" s="896" t="s">
        <v>744</v>
      </c>
      <c r="F65" s="321">
        <f t="shared" ca="1" si="0"/>
        <v>1E-3</v>
      </c>
      <c r="I65" s="1367" t="s">
        <v>867</v>
      </c>
      <c r="J65" s="610">
        <v>40</v>
      </c>
      <c r="K65" s="610">
        <v>30</v>
      </c>
      <c r="L65" s="610">
        <v>50</v>
      </c>
      <c r="M65" s="1369">
        <v>0.02</v>
      </c>
      <c r="O65" s="1325" t="s">
        <v>403</v>
      </c>
      <c r="P65" s="1326" t="s">
        <v>868</v>
      </c>
      <c r="Q65" s="1327">
        <f ca="1">C40+J29</f>
        <v>1177439</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-8780</v>
      </c>
      <c r="D67" s="909" t="s">
        <v>753</v>
      </c>
      <c r="E67" s="914"/>
      <c r="F67" s="915"/>
      <c r="O67" s="1334" t="s">
        <v>405</v>
      </c>
      <c r="P67" s="1326" t="s">
        <v>850</v>
      </c>
      <c r="Q67" s="1370">
        <f ca="1">L51</f>
        <v>125398</v>
      </c>
      <c r="R67" s="1327" t="s">
        <v>870</v>
      </c>
    </row>
    <row r="68" spans="1:18" s="1292" customFormat="1" ht="16.2" thickBot="1">
      <c r="A68" s="893" t="s">
        <v>395</v>
      </c>
      <c r="B68" s="894" t="s">
        <v>774</v>
      </c>
      <c r="C68" s="293">
        <f ca="1">ROUND(C67*(1-((1+F70)/(1+F68))^F69)/(F68-F70),0)</f>
        <v>-139587</v>
      </c>
      <c r="D68" s="911" t="s">
        <v>758</v>
      </c>
      <c r="E68" s="896" t="s">
        <v>759</v>
      </c>
      <c r="F68" s="304">
        <f ca="1">F40</f>
        <v>5.5E-2</v>
      </c>
      <c r="O68" s="1334" t="s">
        <v>406</v>
      </c>
      <c r="P68" s="1371" t="s">
        <v>871</v>
      </c>
      <c r="Q68" s="1327">
        <f ca="1">ROUND(Q69-Q70*Q71,0)</f>
        <v>6781</v>
      </c>
      <c r="R68" s="1327" t="s">
        <v>414</v>
      </c>
    </row>
    <row r="69" spans="1:18" s="1292" customFormat="1" ht="13.8" thickBot="1">
      <c r="A69" s="897"/>
      <c r="B69" s="898"/>
      <c r="C69" s="298"/>
      <c r="D69" s="916" t="s">
        <v>762</v>
      </c>
      <c r="E69" s="896" t="s">
        <v>763</v>
      </c>
      <c r="F69" s="324">
        <f ca="1">F41</f>
        <v>38.75</v>
      </c>
      <c r="O69" s="1334" t="s">
        <v>411</v>
      </c>
      <c r="P69" s="1371" t="s">
        <v>872</v>
      </c>
      <c r="Q69" s="1327">
        <f ca="1">C39</f>
        <v>56494</v>
      </c>
      <c r="R69" s="1327" t="s">
        <v>818</v>
      </c>
    </row>
    <row r="70" spans="1:18" s="1292" customFormat="1" ht="13.8" thickBot="1">
      <c r="A70" s="900"/>
      <c r="B70" s="901"/>
      <c r="C70" s="302"/>
      <c r="D70" s="912"/>
      <c r="E70" s="896" t="s">
        <v>766</v>
      </c>
      <c r="F70" s="991"/>
      <c r="O70" s="1334" t="s">
        <v>412</v>
      </c>
      <c r="P70" s="1371" t="s">
        <v>873</v>
      </c>
      <c r="Q70" s="1327">
        <f ca="1">C13</f>
        <v>710190</v>
      </c>
      <c r="R70" s="1327" t="s">
        <v>818</v>
      </c>
    </row>
    <row r="71" spans="1:18" s="1292" customFormat="1" ht="13.8" thickBot="1">
      <c r="A71" s="917" t="s">
        <v>396</v>
      </c>
      <c r="B71" s="918" t="s">
        <v>776</v>
      </c>
      <c r="C71" s="327">
        <f ca="1">ROUND(C68/F71,0)</f>
        <v>-1736</v>
      </c>
      <c r="D71" s="919" t="s">
        <v>777</v>
      </c>
      <c r="E71" s="920" t="s">
        <v>778</v>
      </c>
      <c r="F71" s="330">
        <f ca="1">F43</f>
        <v>80.42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49713</v>
      </c>
      <c r="D75" s="1292"/>
      <c r="E75" s="1292"/>
      <c r="F75" s="1292"/>
      <c r="K75" s="1309"/>
      <c r="L75" s="1292"/>
      <c r="O75" s="1325" t="s">
        <v>409</v>
      </c>
      <c r="P75" s="1326" t="s">
        <v>838</v>
      </c>
      <c r="Q75" s="1327">
        <f ca="1">Q65+Q66</f>
        <v>1177439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0.12</v>
      </c>
    </row>
    <row r="80" spans="1:18">
      <c r="B80" s="331" t="s">
        <v>800</v>
      </c>
      <c r="C80" s="266">
        <f ca="1">ROUND(C75/C39,3)</f>
        <v>0.88</v>
      </c>
    </row>
    <row r="81" spans="2:3">
      <c r="B81" s="262" t="s">
        <v>801</v>
      </c>
      <c r="C81" s="230"/>
    </row>
    <row r="82" spans="2:3">
      <c r="B82" s="265" t="s">
        <v>802</v>
      </c>
      <c r="C82" s="267">
        <f ca="1">1-C83</f>
        <v>0.39700000000000002</v>
      </c>
    </row>
    <row r="83" spans="2:3">
      <c r="B83" s="265" t="s">
        <v>803</v>
      </c>
      <c r="C83" s="266">
        <f ca="1">ROUND(C13/C40,3)</f>
        <v>0.60299999999999998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2"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2"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119.7022</v>
      </c>
      <c r="C2" s="1729" t="s">
        <v>1651</v>
      </c>
      <c r="D2" s="1730" t="s">
        <v>1652</v>
      </c>
      <c r="E2" s="2393">
        <f>SUM(E6:E13)</f>
        <v>80.42</v>
      </c>
      <c r="F2" s="2480"/>
      <c r="G2" s="459"/>
      <c r="H2" s="459"/>
      <c r="I2" s="459"/>
      <c r="J2" s="459"/>
      <c r="K2" s="459"/>
      <c r="L2" s="459"/>
      <c r="M2" s="459"/>
      <c r="N2" s="459"/>
      <c r="O2" s="459"/>
      <c r="P2" s="459"/>
      <c r="Q2" s="459"/>
      <c r="R2" s="459"/>
      <c r="S2" s="459"/>
    </row>
    <row r="3" spans="1:22" ht="15.6">
      <c r="A3" s="1728" t="s">
        <v>686</v>
      </c>
      <c r="B3" s="2387">
        <f ca="1">ROUND(B2*10000/E2,0)</f>
        <v>14885</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119.7022</v>
      </c>
      <c r="C6" s="1729" t="s">
        <v>1651</v>
      </c>
      <c r="D6" s="2480"/>
      <c r="E6" s="2392">
        <f>IF(OR(A6=0,F6="否"),0,'数据-取费表'!K6+'数据-取费表'!S6)</f>
        <v>80.42</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80.42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80.42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48" sqref="E4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2"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296.83019999999999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36910</v>
      </c>
      <c r="C3" s="344" t="s">
        <v>1768</v>
      </c>
      <c r="D3" s="343">
        <f>IF(D1="",'数据-汇总表'!E3,SUMIF('数据-汇总表'!$C19:$C33,D1,'数据-汇总表'!$E19:$E33))</f>
        <v>80.42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3.8" customHeight="1">
      <c r="A5" s="348"/>
      <c r="B5" s="349"/>
      <c r="C5" s="3401" t="s">
        <v>1673</v>
      </c>
      <c r="D5" s="3402"/>
      <c r="E5" s="3502" t="s">
        <v>3437</v>
      </c>
      <c r="F5" s="3409"/>
      <c r="G5" s="3502" t="s">
        <v>3441</v>
      </c>
      <c r="H5" s="3409"/>
      <c r="I5" s="3502" t="s">
        <v>3441</v>
      </c>
      <c r="J5" s="3409"/>
      <c r="K5" s="537"/>
      <c r="L5" s="2487"/>
      <c r="M5" s="2488"/>
      <c r="N5" s="2488"/>
      <c r="O5" s="2488"/>
      <c r="P5" s="3418"/>
      <c r="Q5" s="3390"/>
      <c r="R5" s="3395"/>
      <c r="S5" s="3396"/>
      <c r="T5" s="3395"/>
      <c r="U5" s="3396"/>
      <c r="V5" s="3369"/>
      <c r="W5" s="3369"/>
      <c r="X5" s="1265"/>
      <c r="Y5" s="3395"/>
      <c r="Z5" s="3396"/>
      <c r="AA5" s="3381"/>
      <c r="AB5" s="3381"/>
      <c r="AC5" s="3414"/>
    </row>
    <row r="6" spans="1:29" ht="1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 thickBot="1">
      <c r="A7" s="352" t="s">
        <v>1679</v>
      </c>
      <c r="B7" s="353"/>
      <c r="C7" s="354">
        <f>'数据-取费表'!B2</f>
        <v>45737</v>
      </c>
      <c r="D7" s="355">
        <v>100</v>
      </c>
      <c r="E7" s="356">
        <f>C7</f>
        <v>45737</v>
      </c>
      <c r="F7" s="357">
        <f>SUMIF(59:59,YEAR(E7)&amp;"-"&amp;MONTH(E7),60:60)</f>
        <v>100</v>
      </c>
      <c r="G7" s="356">
        <f>C7</f>
        <v>45737</v>
      </c>
      <c r="H7" s="355">
        <f>SUMIF(59:59,YEAR(G7)&amp;"-"&amp;MONTH(G7),60:60)</f>
        <v>100</v>
      </c>
      <c r="I7" s="356">
        <f>C7</f>
        <v>45737</v>
      </c>
      <c r="J7" s="355">
        <f>SUMIF(59:59,YEAR(I7)&amp;"-"&amp;MONTH(I7),60:60)</f>
        <v>100</v>
      </c>
      <c r="K7" s="38"/>
      <c r="L7" s="2489"/>
      <c r="M7" s="2440"/>
      <c r="N7" s="2440"/>
      <c r="O7" s="2440"/>
      <c r="P7" s="342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802">
        <f>D7/J7</f>
        <v>1</v>
      </c>
    </row>
    <row r="8" spans="1:29" s="102" customFormat="1" ht="15" thickBot="1">
      <c r="A8" s="352" t="s">
        <v>1681</v>
      </c>
      <c r="B8" s="353"/>
      <c r="C8" s="358" t="s">
        <v>3438</v>
      </c>
      <c r="D8" s="355">
        <v>100</v>
      </c>
      <c r="E8" s="358" t="s">
        <v>3439</v>
      </c>
      <c r="F8" s="357">
        <f>SUMIF(62:62,E8,63:63)-SUMIF(62:62,C8,63:63)+100</f>
        <v>102</v>
      </c>
      <c r="G8" s="358" t="s">
        <v>3439</v>
      </c>
      <c r="H8" s="355">
        <f>SUMIF(62:62,G8,63:63)-SUMIF(62:62,C8,63:63)+100</f>
        <v>102</v>
      </c>
      <c r="I8" s="358" t="s">
        <v>3439</v>
      </c>
      <c r="J8" s="355">
        <f>SUMIF(62:62,I8,63:63)-SUMIF(62:62,C8,63:63)+100</f>
        <v>102</v>
      </c>
      <c r="K8" s="38"/>
      <c r="L8" s="2489"/>
      <c r="M8" s="2440"/>
      <c r="N8" s="2440"/>
      <c r="O8" s="2440"/>
      <c r="P8" s="3423" t="s">
        <v>1683</v>
      </c>
      <c r="Q8" s="3404"/>
      <c r="R8" s="664" t="s">
        <v>14</v>
      </c>
      <c r="S8" s="665">
        <f t="shared" si="0"/>
        <v>102</v>
      </c>
      <c r="T8" s="664" t="s">
        <v>14</v>
      </c>
      <c r="U8" s="665">
        <f t="shared" si="1"/>
        <v>102</v>
      </c>
      <c r="V8" s="664" t="s">
        <v>14</v>
      </c>
      <c r="W8" s="665">
        <f t="shared" si="2"/>
        <v>102</v>
      </c>
      <c r="X8" s="666"/>
      <c r="Y8" s="3403" t="s">
        <v>1683</v>
      </c>
      <c r="Z8" s="3404"/>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80.42</v>
      </c>
      <c r="D34" s="119">
        <v>100</v>
      </c>
      <c r="E34" s="369">
        <v>73.91</v>
      </c>
      <c r="F34" s="364">
        <f>LOOKUP(E34,104:104,105:105)-LOOKUP(C34,104:104,105:105)+100</f>
        <v>100</v>
      </c>
      <c r="G34" s="368">
        <v>79.819999999999993</v>
      </c>
      <c r="H34" s="119">
        <f>LOOKUP(G34,104:104,105:105)-LOOKUP(C34,104:104,105:105)+100</f>
        <v>100</v>
      </c>
      <c r="I34" s="368">
        <v>81.040000000000006</v>
      </c>
      <c r="J34" s="119">
        <f>LOOKUP(I34,104:104,105:105)-LOOKUP(C34,104:104,105:105)+100</f>
        <v>100</v>
      </c>
      <c r="K34" s="539"/>
      <c r="L34" s="2492"/>
      <c r="M34" s="2494"/>
      <c r="N34" s="2494"/>
      <c r="O34" s="2494"/>
      <c r="P34" s="3373"/>
      <c r="Q34" s="531" t="str">
        <f t="shared" si="11"/>
        <v>项目建筑规模</v>
      </c>
      <c r="R34" s="669" t="s">
        <v>14</v>
      </c>
      <c r="S34" s="670">
        <f t="shared" si="12"/>
        <v>100</v>
      </c>
      <c r="T34" s="669" t="s">
        <v>14</v>
      </c>
      <c r="U34" s="670">
        <f t="shared" si="13"/>
        <v>100</v>
      </c>
      <c r="V34" s="669" t="s">
        <v>14</v>
      </c>
      <c r="W34" s="670">
        <f t="shared" si="14"/>
        <v>100</v>
      </c>
      <c r="X34" s="671"/>
      <c r="Y34" s="3375"/>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v>0.8</v>
      </c>
      <c r="D37" s="374">
        <v>100</v>
      </c>
      <c r="E37" s="411">
        <v>0.8</v>
      </c>
      <c r="F37" s="400">
        <f>LOOKUP(E37,111:111,112:112)-LOOKUP(C37,111:111,112:112)+100</f>
        <v>100</v>
      </c>
      <c r="G37" s="411">
        <v>0.8</v>
      </c>
      <c r="H37" s="400">
        <f>LOOKUP(G37,111:111,112:112)-LOOKUP(C37,111:111,112:112)+100</f>
        <v>100</v>
      </c>
      <c r="I37" s="411">
        <v>0.8</v>
      </c>
      <c r="J37" s="374">
        <f>LOOKUP(I37,111:111,112:112)-LOOKUP(C37,111:111,112:112)+100</f>
        <v>100</v>
      </c>
      <c r="K37" s="538"/>
      <c r="L37" s="2493"/>
      <c r="M37" s="2488"/>
      <c r="N37" s="2488"/>
      <c r="O37" s="2488"/>
      <c r="P37" s="3373"/>
      <c r="Q37" s="1263" t="str">
        <f t="shared" si="11"/>
        <v>成新度</v>
      </c>
      <c r="R37" s="667" t="s">
        <v>14</v>
      </c>
      <c r="S37" s="668">
        <f t="shared" si="12"/>
        <v>100</v>
      </c>
      <c r="T37" s="667" t="s">
        <v>14</v>
      </c>
      <c r="U37" s="668">
        <f t="shared" si="13"/>
        <v>100</v>
      </c>
      <c r="V37" s="667" t="s">
        <v>14</v>
      </c>
      <c r="W37" s="668">
        <f t="shared" si="14"/>
        <v>100</v>
      </c>
      <c r="X37" s="1265"/>
      <c r="Y37" s="337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4.4">
      <c r="A48" s="416" t="s">
        <v>1708</v>
      </c>
      <c r="B48" s="417"/>
      <c r="C48" s="1081" t="s">
        <v>0</v>
      </c>
      <c r="D48" s="418"/>
      <c r="E48" s="419">
        <v>40319</v>
      </c>
      <c r="F48" s="420"/>
      <c r="G48" s="421">
        <v>37459</v>
      </c>
      <c r="H48" s="422"/>
      <c r="I48" s="419">
        <v>35167</v>
      </c>
      <c r="J48" s="422"/>
      <c r="K48" s="674"/>
      <c r="L48" s="2495"/>
      <c r="M48" s="2488"/>
      <c r="N48" s="2488"/>
      <c r="O48" s="2488"/>
      <c r="P48" s="3379" t="str">
        <f>A48</f>
        <v>成交单价（元/平方米）</v>
      </c>
      <c r="Q48" s="3368"/>
      <c r="R48" s="3369">
        <f>E48</f>
        <v>40319</v>
      </c>
      <c r="S48" s="3369"/>
      <c r="T48" s="3369">
        <f>G48</f>
        <v>37459</v>
      </c>
      <c r="U48" s="3369"/>
      <c r="V48" s="3369">
        <f>I48</f>
        <v>35167</v>
      </c>
      <c r="W48" s="3369"/>
      <c r="X48" s="385"/>
      <c r="Y48" s="673"/>
      <c r="Z48" s="385"/>
      <c r="AA48" s="385"/>
      <c r="AB48" s="385"/>
      <c r="AC48" s="555"/>
    </row>
    <row r="49" spans="1:29" ht="15" thickBot="1">
      <c r="A49" s="423" t="s">
        <v>1793</v>
      </c>
      <c r="B49" s="424"/>
      <c r="C49" s="1082">
        <f>R50</f>
        <v>36910</v>
      </c>
      <c r="D49" s="2141" t="s">
        <v>2138</v>
      </c>
      <c r="E49" s="1083">
        <f>R49</f>
        <v>39528</v>
      </c>
      <c r="F49" s="2142"/>
      <c r="G49" s="1082">
        <f>T49</f>
        <v>36725</v>
      </c>
      <c r="H49" s="2142"/>
      <c r="I49" s="1083">
        <f>V49</f>
        <v>34477</v>
      </c>
      <c r="J49" s="2142"/>
      <c r="K49" s="2144">
        <f>F49+H49+J49</f>
        <v>0</v>
      </c>
      <c r="L49" s="2495"/>
      <c r="M49" s="2488"/>
      <c r="N49" s="2488"/>
      <c r="O49" s="2488"/>
      <c r="P49" s="3379" t="str">
        <f>A49</f>
        <v>比较价值（元/平方米）</v>
      </c>
      <c r="Q49" s="3368"/>
      <c r="R49" s="3369">
        <f>IF(F1="售价",ROUND(PRODUCT(R48,AA7:AA47),0),ROUND(PRODUCT(R48,AA7:AA47),1))</f>
        <v>39528</v>
      </c>
      <c r="S49" s="3369"/>
      <c r="T49" s="3369">
        <f>IF(F1="售价",ROUND(PRODUCT(T48,AB7:AB47),0),ROUND(PRODUCT(T48,AB7:AB47),1))</f>
        <v>36725</v>
      </c>
      <c r="U49" s="3369"/>
      <c r="V49" s="3369">
        <f>IF(F1="售价",ROUND(PRODUCT(V48,AC7:AC47),0),ROUND(PRODUCT(V48,AC7:AC47),1))</f>
        <v>34477</v>
      </c>
      <c r="W49" s="3369"/>
      <c r="X49" s="385"/>
      <c r="Y49" s="385"/>
      <c r="Z49" s="385"/>
      <c r="AA49" s="385"/>
      <c r="AB49" s="385"/>
      <c r="AC49" s="555"/>
    </row>
    <row r="50" spans="1:29" ht="15" thickBot="1">
      <c r="A50" s="427" t="s">
        <v>1794</v>
      </c>
      <c r="B50" s="428"/>
      <c r="C50" s="351">
        <f>R50</f>
        <v>36910</v>
      </c>
      <c r="D50" s="351"/>
      <c r="E50" s="351"/>
      <c r="F50" s="351"/>
      <c r="G50" s="351"/>
      <c r="H50" s="351"/>
      <c r="I50" s="351"/>
      <c r="J50" s="429"/>
      <c r="K50" s="675"/>
      <c r="L50" s="2495"/>
      <c r="M50" s="2488"/>
      <c r="N50" s="2488"/>
      <c r="O50" s="2488"/>
      <c r="P50" s="3410" t="str">
        <f>A50</f>
        <v>估价对象XX用房的比较价值（楼面单价，元/平方米）</v>
      </c>
      <c r="Q50" s="3411"/>
      <c r="R50" s="3412">
        <f>IF(F1="售价",ROUND(IF(D49="简单平均",AVERAGE(R49:V49),R49*F49+T49*H49+V49*J49),0),ROUND(IF(D49="简单平均",AVERAGE(R49:V49),R49*F49+T49*H49+V49*J49),1))</f>
        <v>36910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2.0011131349929157E-2</v>
      </c>
      <c r="F53" s="435" t="str">
        <f>IF(OR(E53&gt;=0.3,E53&lt;=-0.3),"超过30%","")</f>
        <v/>
      </c>
      <c r="G53" s="434">
        <f>IF(G48&lt;G49,G49/G48-1,G48/G49-1)</f>
        <v>1.9986385296119735E-2</v>
      </c>
      <c r="H53" s="435" t="str">
        <f>IF(OR(G53&gt;=0.3,G53&lt;=-0.3),"超过30%","")</f>
        <v/>
      </c>
      <c r="I53" s="434">
        <f>IF(I48&lt;I49,I49/I48-1,I48/I49-1)</f>
        <v>2.0013342228152098E-2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7.6324029952348438E-2</v>
      </c>
      <c r="F54" s="435" t="str">
        <f>IF(OR(E54&gt;=0.2,E54&lt;=-0.2),"超过20%","")</f>
        <v/>
      </c>
      <c r="G54" s="434">
        <f>IF(G49&lt;I49,I49/G49-1,G49/I49-1)</f>
        <v>6.5202888882443411E-2</v>
      </c>
      <c r="H54" s="435" t="str">
        <f>IF(OR(G54&gt;=0.2,G54&lt;=-0.2),"超过20%","")</f>
        <v/>
      </c>
      <c r="I54" s="434">
        <f>IF(I49&lt;E49,E49/I49-1,I49/E49-1)</f>
        <v>0.14650346607883513</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7.6350142822819711E-2</v>
      </c>
      <c r="F55" s="435" t="str">
        <f>IF(OR(E55&gt;=0.3,E55&lt;=-0.3),"超过30%","")</f>
        <v/>
      </c>
      <c r="G55" s="434">
        <f>IF(G48&lt;I48,I48/G48-1,G48/I48-1)</f>
        <v>6.5174737680211647E-2</v>
      </c>
      <c r="H55" s="435" t="str">
        <f>IF(OR(G55&gt;=0.3,G55&lt;=-0.3),"超过30%","")</f>
        <v/>
      </c>
      <c r="I55" s="434">
        <f>IF(I48&lt;E48,E48/I48-1,I48/E48-1)</f>
        <v>0.14650098103335507</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503"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0(含)-100</v>
      </c>
      <c r="D103" s="509" t="str">
        <f t="shared" ref="D103:L103" si="23">D104&amp;"(含)"&amp;"-"&amp;E104</f>
        <v>100(含)-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100</v>
      </c>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80.42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估价对象为北京市房地产，为所有。根据《国有土地使用证》[]，估价对象（分摊）出让国有建设用地使用权面积为0平方米，建筑面积为80.42平方米。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估价对象为北京市房地产,属开发建设的，该项目尚在开发建设中。根据《国有土地使用证》[]，估价对象（分摊）出让国有建设用地使用权面积为0平方米，规划建筑面积为80.42平方米。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2025年3月21日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368"/>
      <c r="Q10" s="530" t="str">
        <f t="shared" si="6"/>
        <v>土地使用年限（年）</v>
      </c>
      <c r="R10" s="664" t="s">
        <v>14</v>
      </c>
      <c r="S10" s="665">
        <f t="shared" si="0"/>
        <v>108</v>
      </c>
      <c r="T10" s="664" t="s">
        <v>14</v>
      </c>
      <c r="U10" s="665">
        <f t="shared" si="1"/>
        <v>108</v>
      </c>
      <c r="V10" s="664" t="s">
        <v>14</v>
      </c>
      <c r="W10" s="665">
        <f t="shared" si="2"/>
        <v>108</v>
      </c>
      <c r="X10" s="666"/>
      <c r="Y10" s="324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80.42</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80.42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 thickBot="1">
      <c r="A7" s="352" t="s">
        <v>1679</v>
      </c>
      <c r="B7" s="353"/>
      <c r="C7" s="354">
        <f>'数据-取费表'!B2</f>
        <v>45737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368"/>
      <c r="Q10" s="530" t="str">
        <f t="shared" si="6"/>
        <v>土地使用年限（年）</v>
      </c>
      <c r="R10" s="664" t="s">
        <v>14</v>
      </c>
      <c r="S10" s="665">
        <f t="shared" si="0"/>
        <v>108</v>
      </c>
      <c r="T10" s="664" t="s">
        <v>14</v>
      </c>
      <c r="U10" s="665">
        <f t="shared" si="1"/>
        <v>108</v>
      </c>
      <c r="V10" s="664" t="s">
        <v>14</v>
      </c>
      <c r="W10" s="665">
        <f t="shared" si="2"/>
        <v>108</v>
      </c>
      <c r="X10" s="666"/>
      <c r="Y10" s="324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80.42</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 sqref="F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t="s">
        <v>3416</v>
      </c>
      <c r="F3" s="1848" t="s">
        <v>3417</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51" t="s">
        <v>3254</v>
      </c>
      <c r="B20" s="159" t="s">
        <v>1994</v>
      </c>
      <c r="C20" s="3032" t="e">
        <f>ROUND(IF(F21="与级别开发程度一致",0,(G21-E21)/C21),0)</f>
        <v>#DIV/0!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45737</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0.93899999999999995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38.75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f>IF(E2="办公",SUMIF(L1:L12,G2,N1:N12),"——")</f>
        <v>0</v>
      </c>
      <c r="G61" s="1000"/>
      <c r="H61" s="1003">
        <f t="shared" ref="H61:H69" si="13">IFERROR(ROUNDDOWN($F$61*I61/2,4),"——")</f>
        <v>0</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f t="shared" si="13"/>
        <v>0</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f t="shared" si="13"/>
        <v>0</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f t="shared" si="13"/>
        <v>0</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f t="shared" si="13"/>
        <v>0</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f t="shared" si="13"/>
        <v>0</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f t="shared" si="13"/>
        <v>0</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f t="shared" si="13"/>
        <v>0</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f t="shared" si="13"/>
        <v>0</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0</v>
      </c>
      <c r="C116" s="3100" t="s">
        <v>3313</v>
      </c>
      <c r="D116" s="3101">
        <f>SUMPRODUCT((A118:A122=F116)*(B117:M117=H116)*B118:M122)</f>
        <v>0</v>
      </c>
      <c r="E116" s="162" t="s">
        <v>3314</v>
      </c>
      <c r="F116" s="3102" t="str">
        <f>E2</f>
        <v>办公</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4.4">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24">
      <c r="A85" s="2858">
        <v>13</v>
      </c>
      <c r="B85" s="3462"/>
      <c r="C85" s="2832" t="s">
        <v>2676</v>
      </c>
      <c r="D85" s="2832" t="s">
        <v>2677</v>
      </c>
      <c r="E85" s="2858">
        <v>0.1</v>
      </c>
      <c r="F85" s="2858">
        <v>15</v>
      </c>
    </row>
    <row r="86" spans="1:6" ht="24">
      <c r="A86" s="2858">
        <v>14</v>
      </c>
      <c r="B86" s="3462"/>
      <c r="C86" s="2832" t="s">
        <v>2678</v>
      </c>
      <c r="D86" s="2832" t="s">
        <v>2679</v>
      </c>
      <c r="E86" s="2858">
        <v>0.1</v>
      </c>
      <c r="F86" s="2858">
        <v>15</v>
      </c>
    </row>
    <row r="87" spans="1:6" ht="24">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4.4">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4.4">
      <c r="A92" s="2858">
        <v>20</v>
      </c>
      <c r="B92" s="3462"/>
      <c r="C92" s="2832" t="s">
        <v>2691</v>
      </c>
      <c r="D92" s="2832" t="s">
        <v>2692</v>
      </c>
      <c r="E92" s="2858">
        <v>0.15</v>
      </c>
      <c r="F92" s="2858">
        <v>20</v>
      </c>
    </row>
    <row r="93" spans="1:6" ht="24">
      <c r="A93" s="2858">
        <v>21</v>
      </c>
      <c r="B93" s="3462"/>
      <c r="C93" s="2832" t="s">
        <v>2693</v>
      </c>
      <c r="D93" s="2832" t="s">
        <v>2694</v>
      </c>
      <c r="E93" s="2858">
        <v>0.15</v>
      </c>
      <c r="F93" s="2858">
        <v>20</v>
      </c>
    </row>
    <row r="94" spans="1:6" ht="24">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24">
      <c r="A96" s="2858">
        <v>24</v>
      </c>
      <c r="B96" s="3462"/>
      <c r="C96" s="2832" t="s">
        <v>2699</v>
      </c>
      <c r="D96" s="2832" t="s">
        <v>2700</v>
      </c>
      <c r="E96" s="2858">
        <v>0.1</v>
      </c>
      <c r="F96" s="2858">
        <v>15</v>
      </c>
    </row>
    <row r="97" spans="1:6" ht="24">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24">
      <c r="A100" s="2858">
        <v>28</v>
      </c>
      <c r="B100" s="3462"/>
      <c r="C100" s="2832" t="s">
        <v>2707</v>
      </c>
      <c r="D100" s="2832" t="s">
        <v>2708</v>
      </c>
      <c r="E100" s="2858">
        <v>0.1</v>
      </c>
      <c r="F100" s="2858">
        <v>15</v>
      </c>
    </row>
    <row r="101" spans="1:6" ht="24">
      <c r="A101" s="2858">
        <v>29</v>
      </c>
      <c r="B101" s="3462"/>
      <c r="C101" s="2832" t="s">
        <v>2709</v>
      </c>
      <c r="D101" s="2832" t="s">
        <v>2710</v>
      </c>
      <c r="E101" s="2858">
        <v>0.1</v>
      </c>
      <c r="F101" s="2858">
        <v>15</v>
      </c>
    </row>
    <row r="102" spans="1:6" ht="24">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36">
      <c r="A107" s="2858">
        <v>35</v>
      </c>
      <c r="B107" s="3460" t="s">
        <v>2721</v>
      </c>
      <c r="C107" s="2858" t="s">
        <v>2722</v>
      </c>
      <c r="D107" s="2832" t="s">
        <v>2723</v>
      </c>
      <c r="E107" s="2858">
        <v>0.15</v>
      </c>
      <c r="F107" s="2858">
        <v>20</v>
      </c>
    </row>
    <row r="108" spans="1:6" ht="24">
      <c r="A108" s="2858">
        <v>36</v>
      </c>
      <c r="B108" s="3462"/>
      <c r="C108" s="2858" t="s">
        <v>2724</v>
      </c>
      <c r="D108" s="2832" t="s">
        <v>2725</v>
      </c>
      <c r="E108" s="2858">
        <v>0.15</v>
      </c>
      <c r="F108" s="2858">
        <v>20</v>
      </c>
    </row>
    <row r="109" spans="1:6" ht="24">
      <c r="A109" s="2858">
        <v>37</v>
      </c>
      <c r="B109" s="3462"/>
      <c r="C109" s="2858" t="s">
        <v>2726</v>
      </c>
      <c r="D109" s="2832" t="s">
        <v>2727</v>
      </c>
      <c r="E109" s="2858">
        <v>0.15</v>
      </c>
      <c r="F109" s="2858">
        <v>20</v>
      </c>
    </row>
    <row r="110" spans="1:6" ht="24">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24">
      <c r="A113" s="2858">
        <v>41</v>
      </c>
      <c r="B113" s="3459" t="s">
        <v>2734</v>
      </c>
      <c r="C113" s="2858" t="s">
        <v>2735</v>
      </c>
      <c r="D113" s="2832" t="s">
        <v>2736</v>
      </c>
      <c r="E113" s="2858">
        <v>0.1</v>
      </c>
      <c r="F113" s="2858">
        <v>15</v>
      </c>
    </row>
    <row r="114" spans="1:6" ht="24">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24">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24">
      <c r="A120" s="2858">
        <v>48</v>
      </c>
      <c r="B120" s="3460" t="s">
        <v>2751</v>
      </c>
      <c r="C120" s="2858" t="s">
        <v>2752</v>
      </c>
      <c r="D120" s="2832" t="s">
        <v>2753</v>
      </c>
      <c r="E120" s="2858">
        <v>0.1</v>
      </c>
      <c r="F120" s="2858">
        <v>15</v>
      </c>
    </row>
    <row r="121" spans="1:6" ht="24">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59" t="s">
        <v>2769</v>
      </c>
      <c r="C127" s="2858" t="s">
        <v>2770</v>
      </c>
      <c r="D127" s="2832" t="s">
        <v>2771</v>
      </c>
      <c r="E127" s="2858">
        <v>0.1</v>
      </c>
      <c r="F127" s="2858">
        <v>15</v>
      </c>
    </row>
    <row r="128" spans="1:6" ht="24">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24">
      <c r="A131" s="2858">
        <v>59</v>
      </c>
      <c r="B131" s="3459"/>
      <c r="C131" s="2858" t="s">
        <v>2779</v>
      </c>
      <c r="D131" s="2832" t="s">
        <v>2780</v>
      </c>
      <c r="E131" s="2858">
        <v>0.1</v>
      </c>
      <c r="F131" s="2858">
        <v>15</v>
      </c>
    </row>
    <row r="132" spans="1:6" ht="24">
      <c r="A132" s="2858">
        <v>60</v>
      </c>
      <c r="B132" s="3460" t="s">
        <v>2781</v>
      </c>
      <c r="C132" s="2858" t="s">
        <v>2782</v>
      </c>
      <c r="D132" s="2832" t="s">
        <v>2783</v>
      </c>
      <c r="E132" s="2858">
        <v>0.1</v>
      </c>
      <c r="F132" s="2858">
        <v>15</v>
      </c>
    </row>
    <row r="133" spans="1:6" ht="24">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59" t="s">
        <v>2789</v>
      </c>
      <c r="C135" s="2858" t="s">
        <v>2790</v>
      </c>
      <c r="D135" s="2832" t="s">
        <v>2791</v>
      </c>
      <c r="E135" s="2858">
        <v>0.1</v>
      </c>
      <c r="F135" s="2858">
        <v>15</v>
      </c>
    </row>
    <row r="136" spans="1:6" ht="24">
      <c r="A136" s="2858">
        <v>64</v>
      </c>
      <c r="B136" s="3459"/>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27683</v>
      </c>
      <c r="C2" s="2" t="s">
        <v>106</v>
      </c>
      <c r="D2" s="191"/>
      <c r="E2" s="191"/>
      <c r="F2" s="191"/>
      <c r="G2" s="191"/>
    </row>
    <row r="3" spans="1:7" s="192" customFormat="1" ht="18" customHeight="1" thickBot="1">
      <c r="A3" s="195" t="s">
        <v>58</v>
      </c>
      <c r="B3" s="196">
        <f ca="1">ROUND(B2*10000/'数据-汇总表'!E3,0)</f>
        <v>3442303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80.42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80.42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80.42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80</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70</v>
      </c>
      <c r="D51" s="224"/>
      <c r="E51" s="224"/>
      <c r="F51" s="256"/>
      <c r="G51" s="226" t="s">
        <v>37</v>
      </c>
    </row>
    <row r="52" spans="1:7" s="200" customFormat="1" ht="16.8" thickBot="1">
      <c r="A52" s="257" t="s">
        <v>38</v>
      </c>
      <c r="B52" s="258"/>
      <c r="C52" s="259">
        <f ca="1">C31+C51</f>
        <v>27683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7.399999999999999">
      <c r="A3" s="3160" t="str">
        <f>IF(项目基本情况!B9="房地产市场价值","估价结果一览表（市场价值不需“结果表-1”）","估价结果一览表")</f>
        <v>估价结果一览表</v>
      </c>
      <c r="B3" s="3160"/>
      <c r="C3" s="3160"/>
      <c r="D3" s="3160"/>
      <c r="E3" s="3160"/>
    </row>
    <row r="4" spans="1:5" ht="18" thickBot="1">
      <c r="A4" s="1391"/>
      <c r="B4" s="3158" t="s">
        <v>917</v>
      </c>
      <c r="C4" s="3158"/>
      <c r="D4" s="3158"/>
      <c r="E4" s="1391"/>
    </row>
    <row r="5" spans="1:5" ht="16.2" thickTop="1">
      <c r="B5" s="3156" t="s">
        <v>909</v>
      </c>
      <c r="C5" s="1392" t="s">
        <v>910</v>
      </c>
      <c r="D5" s="797">
        <f ca="1">结果表!H101</f>
        <v>244</v>
      </c>
    </row>
    <row r="6" spans="1:5" ht="15.6">
      <c r="B6" s="3156"/>
      <c r="C6" s="1392" t="s">
        <v>911</v>
      </c>
      <c r="D6" s="797" t="str">
        <f ca="1">NUMBERSTRING(INT(D5*10000),2)&amp;"元整"</f>
        <v>贰佰肆拾肆万元整</v>
      </c>
    </row>
    <row r="7" spans="1:5" ht="15.6">
      <c r="B7" s="3161"/>
      <c r="C7" s="1393" t="s">
        <v>912</v>
      </c>
      <c r="D7" s="798">
        <f ca="1">结果表!H102</f>
        <v>30303</v>
      </c>
    </row>
    <row r="8" spans="1:5" ht="15.6">
      <c r="B8" s="3162" t="str">
        <f>结果表!E103</f>
        <v>2.估价师知悉的法定优先受偿款</v>
      </c>
      <c r="C8" s="1394" t="s">
        <v>913</v>
      </c>
      <c r="D8" s="798">
        <f>结果表!H103</f>
        <v>0</v>
      </c>
    </row>
    <row r="9" spans="1:5" ht="15.6">
      <c r="B9" s="316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5" t="str">
        <f>结果表!E107</f>
        <v>3.房地产抵押价值</v>
      </c>
      <c r="C13" s="1397" t="s">
        <v>910</v>
      </c>
      <c r="D13" s="800">
        <f ca="1">结果表!H107</f>
        <v>244</v>
      </c>
    </row>
    <row r="14" spans="1:5" ht="15.6">
      <c r="B14" s="3156"/>
      <c r="C14" s="1392" t="s">
        <v>911</v>
      </c>
      <c r="D14" s="797" t="str">
        <f ca="1">NUMBERSTRING(INT(D13*10000),2)&amp;"元整"</f>
        <v>贰佰肆拾肆万元整</v>
      </c>
    </row>
    <row r="15" spans="1:5" ht="15.6">
      <c r="B15" s="3161"/>
      <c r="C15" s="1393" t="s">
        <v>921</v>
      </c>
      <c r="D15" s="806">
        <f ca="1">结果表!H108</f>
        <v>30303</v>
      </c>
    </row>
    <row r="16" spans="1:5" ht="15.6">
      <c r="B16" s="3162" t="str">
        <f>结果表!E109</f>
        <v>——</v>
      </c>
      <c r="C16" s="1397" t="s">
        <v>922</v>
      </c>
      <c r="D16" s="1398" t="str">
        <f>结果表!H109</f>
        <v>——</v>
      </c>
    </row>
    <row r="17" spans="1:5" ht="15.6">
      <c r="B17" s="3163"/>
      <c r="C17" s="1392" t="s">
        <v>923</v>
      </c>
      <c r="D17" s="797" t="e">
        <f>NUMBERSTRING(INT(D16*10000),2)&amp;"元整"</f>
        <v>#VALUE!</v>
      </c>
    </row>
    <row r="18" spans="1:5" ht="15.6">
      <c r="B18" s="3164"/>
      <c r="C18" s="1393" t="s">
        <v>912</v>
      </c>
      <c r="D18" s="806" t="str">
        <f>结果表!H110</f>
        <v>——</v>
      </c>
    </row>
    <row r="19" spans="1:5" ht="15.6">
      <c r="B19" s="3155" t="str">
        <f>结果表!E111</f>
        <v>——</v>
      </c>
      <c r="C19" s="1397" t="s">
        <v>910</v>
      </c>
      <c r="D19" s="798" t="str">
        <f>结果表!H111</f>
        <v>——</v>
      </c>
    </row>
    <row r="20" spans="1:5" ht="15.6">
      <c r="B20" s="3156"/>
      <c r="C20" s="1392" t="s">
        <v>923</v>
      </c>
      <c r="D20" s="797" t="e">
        <f>NUMBERSTRING(INT(D19*10000),2)&amp;"元整"</f>
        <v>#VALUE!</v>
      </c>
    </row>
    <row r="21" spans="1:5" ht="16.2" thickBot="1">
      <c r="B21" s="315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5" t="s">
        <v>3181</v>
      </c>
      <c r="B1" s="3475"/>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76" t="s">
        <v>3232</v>
      </c>
      <c r="B1" s="3476"/>
      <c r="C1" s="3476"/>
      <c r="D1" s="3476"/>
      <c r="E1" s="3476"/>
      <c r="F1" s="3477"/>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8">
        <f>基准地价修正!G23</f>
        <v>45737</v>
      </c>
      <c r="B1" s="2930" t="s">
        <v>3380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3.2">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3377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3371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3370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3383</v>
      </c>
    </row>
    <row r="24" spans="1:30">
      <c r="I24" s="1405" t="s">
        <v>2825</v>
      </c>
    </row>
    <row r="26" spans="1:30" s="2009" customFormat="1" ht="13.2">
      <c r="B26" s="2930" t="s">
        <v>3381</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3.2">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3378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3379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3370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3369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80.42</v>
      </c>
      <c r="C4" s="801">
        <f>项目基本情况!C18</f>
        <v>0</v>
      </c>
      <c r="D4" s="801">
        <f>结果表!D118</f>
        <v>0</v>
      </c>
      <c r="E4" s="801">
        <f>结果表!E118</f>
        <v>0</v>
      </c>
      <c r="F4" s="801">
        <f>结果表!F118</f>
        <v>0</v>
      </c>
      <c r="G4" s="801">
        <f>结果表!G118</f>
        <v>0</v>
      </c>
      <c r="H4" s="801">
        <f ca="1">结果表!H118</f>
        <v>244</v>
      </c>
      <c r="I4" s="801">
        <f ca="1">结果表!I118</f>
        <v>30303</v>
      </c>
    </row>
    <row r="5" spans="1:9" ht="30" customHeight="1">
      <c r="A5" s="3168" t="s">
        <v>927</v>
      </c>
      <c r="B5" s="3168"/>
      <c r="C5" s="3168"/>
      <c r="D5" s="3168" t="str">
        <f>结果表!D119</f>
        <v>零元整</v>
      </c>
      <c r="E5" s="3168"/>
      <c r="F5" s="3168" t="str">
        <f>结果表!F119</f>
        <v>零元整</v>
      </c>
      <c r="G5" s="3168"/>
      <c r="H5" s="3168" t="str">
        <f ca="1">结果表!H119</f>
        <v>贰佰肆拾肆万元整</v>
      </c>
      <c r="I5" s="3168"/>
    </row>
    <row r="6" spans="1:9" ht="15.6">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6">
      <c r="A8" s="3167" t="str">
        <f>结果表!A122</f>
        <v>房地产抵押价值</v>
      </c>
      <c r="B8" s="3167"/>
      <c r="C8" s="3167"/>
      <c r="D8" s="3167">
        <f ca="1">结果表!D122</f>
        <v>244</v>
      </c>
      <c r="E8" s="3167"/>
      <c r="F8" s="3167"/>
      <c r="G8" s="3167"/>
      <c r="H8" s="3167"/>
      <c r="I8" s="3167"/>
    </row>
    <row r="9" spans="1:9" ht="15">
      <c r="A9" s="3168" t="s">
        <v>927</v>
      </c>
      <c r="B9" s="3168"/>
      <c r="C9" s="3168"/>
      <c r="D9" s="3168" t="str">
        <f ca="1">结果表!D123</f>
        <v>贰佰肆拾肆万元整</v>
      </c>
      <c r="E9" s="3168"/>
      <c r="F9" s="3168"/>
      <c r="G9" s="3168"/>
      <c r="H9" s="3168"/>
      <c r="I9" s="3168"/>
    </row>
    <row r="10" spans="1:9" ht="15.6">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6">
      <c r="A12" s="3167" t="str">
        <f>结果表!A126</f>
        <v/>
      </c>
      <c r="B12" s="3167"/>
      <c r="C12" s="3167"/>
      <c r="D12" s="3167" t="str">
        <f>结果表!D126</f>
        <v>——</v>
      </c>
      <c r="E12" s="3167"/>
      <c r="F12" s="3167"/>
      <c r="G12" s="3167"/>
      <c r="H12" s="3167"/>
      <c r="I12" s="3167"/>
    </row>
    <row r="13" spans="1:9" ht="15.6" thickBot="1">
      <c r="A13" s="3165" t="s">
        <v>927</v>
      </c>
      <c r="B13" s="3165"/>
      <c r="C13" s="3165"/>
      <c r="D13" s="3165" t="e">
        <f>结果表!D127</f>
        <v>#VALUE!</v>
      </c>
      <c r="E13" s="3165"/>
      <c r="F13" s="3165"/>
      <c r="G13" s="3165"/>
      <c r="H13" s="3165"/>
      <c r="I13" s="3165"/>
    </row>
    <row r="14" spans="1:9" ht="14.4" thickTop="1">
      <c r="A14" s="3166" t="s">
        <v>932</v>
      </c>
      <c r="B14" s="3166"/>
      <c r="C14" s="3166"/>
      <c r="D14" s="3166"/>
      <c r="E14" s="3166"/>
      <c r="F14" s="3166"/>
      <c r="G14" s="3166"/>
      <c r="H14" s="3166"/>
      <c r="I14" s="316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74"/>
      <c r="C11" s="3174"/>
      <c r="D11" s="3174"/>
    </row>
    <row r="12" spans="1:4" ht="15.6">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8" t="s">
        <v>956</v>
      </c>
      <c r="B15" s="3183" t="s">
        <v>109</v>
      </c>
      <c r="C15" s="3184"/>
    </row>
    <row r="16" spans="1:7" ht="14.4">
      <c r="A16" s="3189"/>
      <c r="B16" s="3183" t="s">
        <v>42</v>
      </c>
      <c r="C16" s="3184"/>
    </row>
    <row r="17" spans="1:3" ht="14.4">
      <c r="A17" s="3189"/>
      <c r="B17" s="3186" t="s">
        <v>957</v>
      </c>
      <c r="C17" s="1429" t="s">
        <v>956</v>
      </c>
    </row>
    <row r="18" spans="1:3" ht="14.4">
      <c r="A18" s="3189"/>
      <c r="B18" s="3186"/>
      <c r="C18" s="1429" t="s">
        <v>958</v>
      </c>
    </row>
    <row r="19" spans="1:3" ht="14.4">
      <c r="A19" s="3189"/>
      <c r="B19" s="3186"/>
      <c r="C19" s="1429" t="s">
        <v>959</v>
      </c>
    </row>
    <row r="20" spans="1:3" ht="14.4">
      <c r="A20" s="3190"/>
      <c r="B20" s="3185" t="s">
        <v>960</v>
      </c>
      <c r="C20" s="3184"/>
    </row>
    <row r="21" spans="1:3" ht="14.4">
      <c r="A21" s="1430" t="s">
        <v>961</v>
      </c>
      <c r="B21" s="1431"/>
      <c r="C21" s="1432"/>
    </row>
    <row r="22" spans="1:3" ht="14.4">
      <c r="A22" s="3187" t="s">
        <v>962</v>
      </c>
      <c r="B22" s="3185" t="s">
        <v>963</v>
      </c>
      <c r="C22" s="3184"/>
    </row>
    <row r="23" spans="1:3" ht="14.4">
      <c r="A23" s="3187"/>
      <c r="B23" s="3185" t="s">
        <v>964</v>
      </c>
      <c r="C23" s="3184"/>
    </row>
    <row r="24" spans="1:3" ht="14.4">
      <c r="A24" s="3187"/>
      <c r="B24" s="3185" t="s">
        <v>965</v>
      </c>
      <c r="C24" s="3184"/>
    </row>
    <row r="25" spans="1:3" ht="14.4">
      <c r="A25" s="3187"/>
      <c r="B25" s="3186" t="s">
        <v>966</v>
      </c>
      <c r="C25" s="1429" t="s">
        <v>967</v>
      </c>
    </row>
    <row r="26" spans="1:3" ht="14.4">
      <c r="A26" s="3187"/>
      <c r="B26" s="3186"/>
      <c r="C26" s="1429" t="s">
        <v>968</v>
      </c>
    </row>
    <row r="27" spans="1:3" ht="14.4">
      <c r="A27" s="3187"/>
      <c r="B27" s="3186"/>
      <c r="C27" s="1429" t="s">
        <v>969</v>
      </c>
    </row>
    <row r="28" spans="1:3" ht="14.4">
      <c r="A28" s="3187"/>
      <c r="B28" s="3186"/>
      <c r="C28" s="1429" t="s">
        <v>970</v>
      </c>
    </row>
    <row r="29" spans="1:3" ht="14.4">
      <c r="A29" s="3187"/>
      <c r="B29" s="3186"/>
      <c r="C29" s="1429" t="s">
        <v>971</v>
      </c>
    </row>
    <row r="30" spans="1:3" ht="14.4">
      <c r="A30" s="3187"/>
      <c r="B30" s="3186"/>
      <c r="C30" s="1429" t="s">
        <v>972</v>
      </c>
    </row>
    <row r="31" spans="1:3" ht="14.4">
      <c r="A31" s="3187"/>
      <c r="B31" s="3186"/>
      <c r="C31" s="1429" t="s">
        <v>973</v>
      </c>
    </row>
    <row r="32" spans="1:3" ht="14.4">
      <c r="A32" s="3187"/>
      <c r="B32" s="3186"/>
      <c r="C32" s="1429" t="s">
        <v>974</v>
      </c>
    </row>
    <row r="33" spans="1:3" ht="14.4">
      <c r="A33" s="3187"/>
      <c r="B33" s="318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2025-03-21T09:32:14Z</dcterms:modified>
</cp:coreProperties>
</file>