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60" windowWidth="14565" windowHeight="1317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基准地价" sheetId="46" r:id="rId18"/>
    <sheet name="比较法-住宅、综合" sheetId="39"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externalReferences>
    <externalReference r:id="rId42"/>
  </externalReference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8">'比较法-住宅、综合'!$A$1:$K$67,'比较法-住宅、综合'!$A$71:$N$134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17">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5" i="66" l="1"/>
  <c r="B15" i="66"/>
  <c r="I41" i="68" l="1"/>
  <c r="H5" i="68"/>
  <c r="H6" i="68"/>
  <c r="H7" i="68"/>
  <c r="H4" i="68"/>
  <c r="C12" i="39" l="1"/>
  <c r="I13" i="3"/>
  <c r="F19" i="6" l="1"/>
  <c r="C19" i="6"/>
  <c r="A3" i="3"/>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AB6" i="59" s="1"/>
  <c r="P7" i="59"/>
  <c r="AA6" i="59" s="1"/>
  <c r="O7" i="59"/>
  <c r="Y6" i="59" s="1"/>
  <c r="Z6" i="59" s="1"/>
  <c r="N7" i="59"/>
  <c r="X5" i="59" s="1"/>
  <c r="X6" i="59" l="1"/>
  <c r="AA5" i="59"/>
  <c r="AB5" i="59"/>
  <c r="Y5" i="59"/>
  <c r="Z5" i="59" s="1"/>
  <c r="C16" i="11"/>
  <c r="C15" i="11"/>
  <c r="C14" i="11"/>
  <c r="C9" i="11"/>
  <c r="C8" i="11"/>
  <c r="K36" i="36" l="1"/>
  <c r="K38" i="35"/>
  <c r="K42" i="37"/>
  <c r="K49" i="34"/>
  <c r="K48" i="33" l="1"/>
  <c r="K48" i="21"/>
  <c r="K44" i="40" l="1"/>
  <c r="K49" i="39"/>
  <c r="E77" i="9"/>
  <c r="F77" i="9"/>
  <c r="AH8" i="59" l="1"/>
  <c r="AG8" i="59"/>
  <c r="AE8" i="59"/>
  <c r="AF8" i="59" s="1"/>
  <c r="AD8" i="59"/>
  <c r="Q8" i="59"/>
  <c r="AB7" i="59" s="1"/>
  <c r="P8" i="59"/>
  <c r="AA7" i="59" s="1"/>
  <c r="O8" i="59"/>
  <c r="Y7" i="59" s="1"/>
  <c r="Z7" i="59" s="1"/>
  <c r="N8" i="59"/>
  <c r="X7" i="59" s="1"/>
  <c r="A21" i="31" l="1"/>
  <c r="C109" i="9" l="1"/>
  <c r="V10" i="59" l="1"/>
  <c r="U10" i="59"/>
  <c r="T10" i="59"/>
  <c r="S10" i="59"/>
  <c r="AH9" i="59" l="1"/>
  <c r="AG9" i="59"/>
  <c r="AE9" i="59"/>
  <c r="AF9" i="59" s="1"/>
  <c r="AD9" i="59"/>
  <c r="Q9" i="59"/>
  <c r="AB8" i="59" s="1"/>
  <c r="P9" i="59"/>
  <c r="AA8" i="59" s="1"/>
  <c r="O9" i="59"/>
  <c r="Y8" i="59" s="1"/>
  <c r="Z8" i="59" s="1"/>
  <c r="N9" i="59"/>
  <c r="X8" i="59" s="1"/>
  <c r="Q11" i="59" l="1"/>
  <c r="AB11" i="59"/>
  <c r="P11" i="59"/>
  <c r="AA11" i="59"/>
  <c r="O11" i="59"/>
  <c r="Y11" i="59"/>
  <c r="Z11" i="59" s="1"/>
  <c r="N11" i="59"/>
  <c r="X11" i="59"/>
  <c r="X10" i="59"/>
  <c r="AH10" i="59"/>
  <c r="AG10" i="59"/>
  <c r="AE10" i="59"/>
  <c r="AF10" i="59" s="1"/>
  <c r="AD10" i="59"/>
  <c r="Q10" i="59"/>
  <c r="AB9" i="59" s="1"/>
  <c r="P10" i="59"/>
  <c r="AA9" i="59" s="1"/>
  <c r="O10" i="59"/>
  <c r="N10" i="59"/>
  <c r="F11" i="59"/>
  <c r="F10" i="59"/>
  <c r="F9" i="59" s="1"/>
  <c r="F8" i="59" s="1"/>
  <c r="F7" i="59" s="1"/>
  <c r="F6" i="59" s="1"/>
  <c r="E11" i="59"/>
  <c r="C11" i="59"/>
  <c r="C10" i="59"/>
  <c r="C9" i="59" s="1"/>
  <c r="B11" i="59"/>
  <c r="AH11" i="59"/>
  <c r="AG11" i="59"/>
  <c r="AE11" i="59"/>
  <c r="AF11" i="59"/>
  <c r="AD11" i="59"/>
  <c r="Q12" i="59"/>
  <c r="Q13" i="59"/>
  <c r="P12" i="59"/>
  <c r="P13" i="59"/>
  <c r="O12" i="59"/>
  <c r="O13" i="59"/>
  <c r="N12" i="59"/>
  <c r="N13" i="59"/>
  <c r="F13" i="59"/>
  <c r="F12" i="59"/>
  <c r="E13" i="59"/>
  <c r="E12" i="59"/>
  <c r="C13" i="59"/>
  <c r="C12" i="59"/>
  <c r="D11" i="59"/>
  <c r="B13" i="59"/>
  <c r="B12" i="59"/>
  <c r="AH12" i="59"/>
  <c r="AG12" i="59"/>
  <c r="AE12" i="59"/>
  <c r="AF12" i="59"/>
  <c r="AD12" i="59"/>
  <c r="F25" i="12"/>
  <c r="AH13" i="59"/>
  <c r="AG13" i="59"/>
  <c r="AE13" i="59"/>
  <c r="AF13" i="59"/>
  <c r="AD13" i="59"/>
  <c r="AB12" i="59"/>
  <c r="AA12" i="59"/>
  <c r="Y12" i="59"/>
  <c r="X12" i="59"/>
  <c r="M15" i="49"/>
  <c r="L15" i="49"/>
  <c r="K15" i="49"/>
  <c r="J15" i="49"/>
  <c r="I15" i="49"/>
  <c r="H15" i="49"/>
  <c r="G15" i="49"/>
  <c r="F15" i="49"/>
  <c r="E15" i="49"/>
  <c r="D15" i="49"/>
  <c r="C15" i="49"/>
  <c r="B15" i="49"/>
  <c r="AH14" i="59"/>
  <c r="AG14" i="59"/>
  <c r="AF14" i="59"/>
  <c r="AE14" i="59"/>
  <c r="AD14" i="59"/>
  <c r="Q14" i="59"/>
  <c r="P14" i="59"/>
  <c r="O14" i="59"/>
  <c r="N14" i="59"/>
  <c r="L3" i="59"/>
  <c r="AH3" i="59" s="1"/>
  <c r="K3" i="59"/>
  <c r="AG3" i="59" s="1"/>
  <c r="J3" i="59"/>
  <c r="AE3" i="59" s="1"/>
  <c r="AF3" i="59" s="1"/>
  <c r="I3" i="59"/>
  <c r="AD3" i="59" s="1"/>
  <c r="AH15" i="59"/>
  <c r="AG15" i="59"/>
  <c r="AE15" i="59"/>
  <c r="AF15" i="59"/>
  <c r="AD15" i="59"/>
  <c r="Q15" i="59"/>
  <c r="Q16" i="59"/>
  <c r="P15" i="59"/>
  <c r="P16" i="59"/>
  <c r="AA15" i="59"/>
  <c r="O15" i="59"/>
  <c r="O16" i="59"/>
  <c r="N15" i="59"/>
  <c r="N16" i="59"/>
  <c r="X15" i="59"/>
  <c r="AH16" i="59"/>
  <c r="AG16" i="59"/>
  <c r="AE16" i="59"/>
  <c r="AF16" i="59"/>
  <c r="AD16" i="59"/>
  <c r="Q17" i="59"/>
  <c r="P17" i="59"/>
  <c r="O17" i="59"/>
  <c r="N17" i="59"/>
  <c r="M19" i="46"/>
  <c r="J50" i="15"/>
  <c r="J51" i="15"/>
  <c r="D19" i="59"/>
  <c r="AH17" i="59"/>
  <c r="AG17" i="59"/>
  <c r="AE17" i="59"/>
  <c r="AF17" i="59"/>
  <c r="AD17" i="59"/>
  <c r="AE18" i="59"/>
  <c r="AF18" i="59"/>
  <c r="AG18" i="59"/>
  <c r="AH18" i="59"/>
  <c r="AD18" i="59"/>
  <c r="Q18" i="59"/>
  <c r="AB17" i="59"/>
  <c r="P18" i="59"/>
  <c r="AA17" i="59"/>
  <c r="O18" i="59"/>
  <c r="Y17" i="59"/>
  <c r="Z17" i="59"/>
  <c r="N18" i="59"/>
  <c r="X17" i="59"/>
  <c r="N19" i="59"/>
  <c r="Q19" i="59"/>
  <c r="P19" i="59"/>
  <c r="O19" i="59"/>
  <c r="K59" i="15"/>
  <c r="P62" i="15"/>
  <c r="P75" i="15"/>
  <c r="Q74" i="44"/>
  <c r="Q61" i="44"/>
  <c r="Q60" i="44"/>
  <c r="Q53" i="44"/>
  <c r="J51" i="44"/>
  <c r="J52" i="44"/>
  <c r="M48" i="44"/>
  <c r="A16" i="55"/>
  <c r="A15" i="55"/>
  <c r="B66" i="63"/>
  <c r="A14" i="55"/>
  <c r="A10" i="55"/>
  <c r="B61" i="63"/>
  <c r="A9" i="55"/>
  <c r="B60" i="63"/>
  <c r="A8" i="55"/>
  <c r="A6" i="54"/>
  <c r="B49" i="63" s="1"/>
  <c r="A8" i="54"/>
  <c r="B53" i="63" s="1"/>
  <c r="A7" i="54"/>
  <c r="A28" i="51"/>
  <c r="N4" i="63" s="1"/>
  <c r="A27" i="51"/>
  <c r="B20" i="63" s="1"/>
  <c r="Q20" i="59"/>
  <c r="AB18" i="59"/>
  <c r="O20" i="59"/>
  <c r="Y18" i="59"/>
  <c r="Z18" i="59"/>
  <c r="N21" i="59"/>
  <c r="O21" i="59"/>
  <c r="P21" i="59"/>
  <c r="Q21" i="59"/>
  <c r="N20" i="59"/>
  <c r="X18" i="59"/>
  <c r="P20" i="59"/>
  <c r="B22" i="59"/>
  <c r="C22" i="59"/>
  <c r="D22" i="59"/>
  <c r="E22" i="59"/>
  <c r="F22" i="59"/>
  <c r="K75" i="9"/>
  <c r="K6" i="4"/>
  <c r="O76" i="9"/>
  <c r="L76" i="9"/>
  <c r="K76" i="9"/>
  <c r="B22" i="31"/>
  <c r="E16" i="66"/>
  <c r="F16" i="66"/>
  <c r="E17" i="66"/>
  <c r="F17" i="66"/>
  <c r="E18" i="66"/>
  <c r="F18" i="66"/>
  <c r="E19" i="66"/>
  <c r="F19" i="66"/>
  <c r="E20" i="66"/>
  <c r="F20" i="66"/>
  <c r="E21" i="66"/>
  <c r="F21" i="66"/>
  <c r="E22" i="66"/>
  <c r="F22" i="66"/>
  <c r="E23" i="66"/>
  <c r="F23" i="66"/>
  <c r="B3" i="66"/>
  <c r="V22" i="59"/>
  <c r="U22" i="59"/>
  <c r="T22" i="59"/>
  <c r="S22" i="59"/>
  <c r="B21" i="59"/>
  <c r="B20" i="59"/>
  <c r="B18" i="59"/>
  <c r="B17" i="59"/>
  <c r="B16" i="59"/>
  <c r="E21" i="59"/>
  <c r="E20" i="59"/>
  <c r="E18" i="59"/>
  <c r="E17" i="59"/>
  <c r="E16" i="59"/>
  <c r="E15" i="59"/>
  <c r="E14" i="59"/>
  <c r="C21" i="59"/>
  <c r="F21" i="59"/>
  <c r="F20" i="59"/>
  <c r="F18" i="59"/>
  <c r="V18" i="59"/>
  <c r="U18" i="59"/>
  <c r="S18" i="59"/>
  <c r="D21" i="59"/>
  <c r="C20"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F33" i="59"/>
  <c r="AD33" i="59"/>
  <c r="AD34" i="59"/>
  <c r="AE34" i="59"/>
  <c r="AF34" i="59"/>
  <c r="AG34" i="59"/>
  <c r="AH34"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AB32" i="59"/>
  <c r="AA32" i="59"/>
  <c r="Y32" i="59"/>
  <c r="X32" i="59"/>
  <c r="D20" i="59"/>
  <c r="S2" i="31"/>
  <c r="M2" i="31"/>
  <c r="N2" i="31"/>
  <c r="O2" i="31"/>
  <c r="P2" i="31"/>
  <c r="Q2" i="31"/>
  <c r="R2" i="31"/>
  <c r="C18" i="59"/>
  <c r="C17" i="59"/>
  <c r="C3" i="65"/>
  <c r="C1" i="65"/>
  <c r="N1" i="65" s="1"/>
  <c r="T18" i="59"/>
  <c r="D18"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c r="B49" i="50"/>
  <c r="B5" i="63"/>
  <c r="B40" i="50"/>
  <c r="B3" i="63"/>
  <c r="B21" i="63"/>
  <c r="B67" i="63"/>
  <c r="I19" i="46"/>
  <c r="Q22" i="59"/>
  <c r="P22" i="59"/>
  <c r="O22" i="59"/>
  <c r="N22" i="59"/>
  <c r="D83" i="59"/>
  <c r="F82" i="59"/>
  <c r="E82" i="59"/>
  <c r="E81" i="59"/>
  <c r="E80" i="59"/>
  <c r="C82" i="59"/>
  <c r="D82" i="59"/>
  <c r="B82" i="59"/>
  <c r="F81" i="59"/>
  <c r="F80" i="59"/>
  <c r="B81" i="59"/>
  <c r="B80" i="59"/>
  <c r="D79" i="59"/>
  <c r="F78" i="59"/>
  <c r="E78" i="59"/>
  <c r="E77" i="59"/>
  <c r="E76" i="59"/>
  <c r="C78" i="59"/>
  <c r="D78" i="59"/>
  <c r="B78" i="59"/>
  <c r="F77" i="59"/>
  <c r="F76" i="59"/>
  <c r="B77" i="59"/>
  <c r="B76" i="59"/>
  <c r="D75" i="59"/>
  <c r="Q74" i="59"/>
  <c r="P74" i="59"/>
  <c r="O74" i="59"/>
  <c r="N74" i="59"/>
  <c r="F74" i="59"/>
  <c r="V74" i="59"/>
  <c r="E74" i="59"/>
  <c r="U74" i="59"/>
  <c r="C74" i="59"/>
  <c r="T74" i="59"/>
  <c r="B74" i="59"/>
  <c r="S74" i="59"/>
  <c r="Q73" i="59"/>
  <c r="P73" i="59"/>
  <c r="O73" i="59"/>
  <c r="N73" i="59"/>
  <c r="F73" i="59"/>
  <c r="F72" i="59"/>
  <c r="B73" i="59"/>
  <c r="B72" i="59"/>
  <c r="Q72" i="59"/>
  <c r="P72" i="59"/>
  <c r="O72" i="59"/>
  <c r="N72" i="59"/>
  <c r="Q71" i="59"/>
  <c r="P71" i="59"/>
  <c r="O71" i="59"/>
  <c r="N71" i="59"/>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F62" i="59"/>
  <c r="V62" i="59"/>
  <c r="E62" i="59"/>
  <c r="E61" i="59"/>
  <c r="P61" i="59"/>
  <c r="C62" i="59"/>
  <c r="B62" i="59"/>
  <c r="N62" i="59"/>
  <c r="F61" i="59"/>
  <c r="F60" i="59"/>
  <c r="Q60" i="59"/>
  <c r="B61" i="59"/>
  <c r="Q59" i="59"/>
  <c r="D59" i="59"/>
  <c r="Q58" i="59"/>
  <c r="P58" i="59"/>
  <c r="O58" i="59"/>
  <c r="N58" i="59"/>
  <c r="Q57" i="59"/>
  <c r="P57" i="59"/>
  <c r="O57" i="59"/>
  <c r="N57" i="59"/>
  <c r="Q56" i="59"/>
  <c r="P56" i="59"/>
  <c r="O56" i="59"/>
  <c r="N56" i="59"/>
  <c r="Q55" i="59"/>
  <c r="F56" i="59"/>
  <c r="P55" i="59"/>
  <c r="E56" i="59"/>
  <c r="E57" i="59"/>
  <c r="E58" i="59"/>
  <c r="U58" i="59"/>
  <c r="O55" i="59"/>
  <c r="C56" i="59"/>
  <c r="N55" i="59"/>
  <c r="B56" i="59"/>
  <c r="B57" i="59"/>
  <c r="B58" i="59"/>
  <c r="S58" i="59"/>
  <c r="D55" i="59"/>
  <c r="Q54" i="59"/>
  <c r="P54" i="59"/>
  <c r="O54" i="59"/>
  <c r="N54" i="59"/>
  <c r="Q53" i="59"/>
  <c r="P53" i="59"/>
  <c r="O53" i="59"/>
  <c r="N53" i="59"/>
  <c r="Q52" i="59"/>
  <c r="P52" i="59"/>
  <c r="O52" i="59"/>
  <c r="N52" i="59"/>
  <c r="Q51" i="59"/>
  <c r="F52"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O43" i="59"/>
  <c r="C44" i="59"/>
  <c r="N43" i="59"/>
  <c r="B44" i="59"/>
  <c r="D43" i="59"/>
  <c r="T42" i="59"/>
  <c r="Q42" i="59"/>
  <c r="P42" i="59"/>
  <c r="O42" i="59"/>
  <c r="N42" i="59"/>
  <c r="D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AB33" i="59"/>
  <c r="P33" i="59"/>
  <c r="O33" i="59"/>
  <c r="Y33" i="59"/>
  <c r="Z33" i="59"/>
  <c r="N33" i="59"/>
  <c r="X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O23" i="59"/>
  <c r="C24" i="59"/>
  <c r="N23" i="59"/>
  <c r="B24" i="59"/>
  <c r="D23" i="59"/>
  <c r="X3" i="59"/>
  <c r="X19" i="59"/>
  <c r="X20" i="59"/>
  <c r="X21" i="59"/>
  <c r="X22" i="59"/>
  <c r="AA3" i="59"/>
  <c r="AA19" i="59"/>
  <c r="AA20" i="59"/>
  <c r="AA21" i="59"/>
  <c r="AA22" i="59"/>
  <c r="Y19" i="59"/>
  <c r="Z19" i="59"/>
  <c r="Y20" i="59"/>
  <c r="Z20" i="59"/>
  <c r="Y21" i="59"/>
  <c r="Z21" i="59"/>
  <c r="Y22" i="59"/>
  <c r="Z22" i="59"/>
  <c r="AB22" i="59"/>
  <c r="AB3" i="59"/>
  <c r="AB19" i="59"/>
  <c r="AB20" i="59"/>
  <c r="AB21" i="59"/>
  <c r="B25" i="59"/>
  <c r="B26" i="59"/>
  <c r="S26" i="59"/>
  <c r="E24" i="59"/>
  <c r="E25" i="59"/>
  <c r="E26" i="59"/>
  <c r="U26" i="59"/>
  <c r="B45" i="59"/>
  <c r="B46" i="59"/>
  <c r="S46" i="59"/>
  <c r="E45" i="59"/>
  <c r="E46" i="59"/>
  <c r="U46" i="59"/>
  <c r="S62" i="59"/>
  <c r="Z32" i="59"/>
  <c r="AA33" i="59"/>
  <c r="F25" i="59"/>
  <c r="F26" i="59"/>
  <c r="V26" i="59"/>
  <c r="F29" i="59"/>
  <c r="F30" i="59"/>
  <c r="V30" i="59"/>
  <c r="F33" i="59"/>
  <c r="F34" i="59"/>
  <c r="V34" i="59"/>
  <c r="F37" i="59"/>
  <c r="F38" i="59"/>
  <c r="V38" i="59"/>
  <c r="F41" i="59"/>
  <c r="F42" i="59"/>
  <c r="V42" i="59"/>
  <c r="F49" i="59"/>
  <c r="F50" i="59"/>
  <c r="V50" i="59"/>
  <c r="F53" i="59"/>
  <c r="F54" i="59"/>
  <c r="V54" i="59"/>
  <c r="F57" i="59"/>
  <c r="F58" i="59"/>
  <c r="V58" i="59"/>
  <c r="C25" i="59"/>
  <c r="D24" i="59"/>
  <c r="C33" i="59"/>
  <c r="D32" i="59"/>
  <c r="C37" i="59"/>
  <c r="D36" i="59"/>
  <c r="C41" i="59"/>
  <c r="D41" i="59"/>
  <c r="D40" i="59"/>
  <c r="C45" i="59"/>
  <c r="D44" i="59"/>
  <c r="C49" i="59"/>
  <c r="D48" i="59"/>
  <c r="C53" i="59"/>
  <c r="D52" i="59"/>
  <c r="C57" i="59"/>
  <c r="D56" i="59"/>
  <c r="C29" i="59"/>
  <c r="D28" i="59"/>
  <c r="E60" i="59"/>
  <c r="N61" i="59"/>
  <c r="B60" i="59"/>
  <c r="Q61" i="59"/>
  <c r="T62" i="59"/>
  <c r="O62" i="59"/>
  <c r="D62" i="59"/>
  <c r="C61" i="59"/>
  <c r="P62" i="59"/>
  <c r="U62" i="59"/>
  <c r="Q62" i="59"/>
  <c r="C65" i="59"/>
  <c r="E65" i="59"/>
  <c r="E64" i="59"/>
  <c r="D66" i="59"/>
  <c r="C69" i="59"/>
  <c r="E69" i="59"/>
  <c r="E68" i="59"/>
  <c r="D70" i="59"/>
  <c r="C73" i="59"/>
  <c r="E73" i="59"/>
  <c r="E72" i="59"/>
  <c r="D74" i="59"/>
  <c r="C77" i="59"/>
  <c r="C81" i="59"/>
  <c r="U16" i="4"/>
  <c r="S16" i="4"/>
  <c r="Q16" i="4"/>
  <c r="O16" i="4"/>
  <c r="M16" i="4"/>
  <c r="L16" i="4" s="1"/>
  <c r="K16" i="4"/>
  <c r="P59" i="59"/>
  <c r="P60" i="59"/>
  <c r="D81" i="59"/>
  <c r="C80" i="59"/>
  <c r="D80" i="59"/>
  <c r="D73" i="59"/>
  <c r="C72" i="59"/>
  <c r="D72" i="59"/>
  <c r="D65" i="59"/>
  <c r="C64" i="59"/>
  <c r="D64" i="59"/>
  <c r="C60" i="59"/>
  <c r="O61" i="59"/>
  <c r="D61" i="59"/>
  <c r="D77" i="59"/>
  <c r="C76" i="59"/>
  <c r="D76" i="59"/>
  <c r="D69" i="59"/>
  <c r="C68" i="59"/>
  <c r="D68" i="59"/>
  <c r="N59" i="59"/>
  <c r="N60" i="59"/>
  <c r="C30" i="59"/>
  <c r="D29" i="59"/>
  <c r="C58" i="59"/>
  <c r="D57" i="59"/>
  <c r="D53" i="59"/>
  <c r="C54" i="59"/>
  <c r="C50" i="59"/>
  <c r="D49" i="59"/>
  <c r="C46" i="59"/>
  <c r="D45" i="59"/>
  <c r="C38" i="59"/>
  <c r="D37" i="59"/>
  <c r="C34" i="59"/>
  <c r="D33" i="59"/>
  <c r="C26" i="59"/>
  <c r="D25" i="59"/>
  <c r="T54" i="59"/>
  <c r="D54" i="59"/>
  <c r="T26" i="59"/>
  <c r="D26" i="59"/>
  <c r="T34" i="59"/>
  <c r="D34" i="59"/>
  <c r="T38" i="59"/>
  <c r="D38" i="59"/>
  <c r="T46" i="59"/>
  <c r="D46" i="59"/>
  <c r="T50" i="59"/>
  <c r="D50" i="59"/>
  <c r="T58" i="59"/>
  <c r="D58" i="59"/>
  <c r="T30" i="59"/>
  <c r="D30" i="59"/>
  <c r="O60" i="59"/>
  <c r="D60" i="59"/>
  <c r="O5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1" i="21"/>
  <c r="S27" i="40"/>
  <c r="C27" i="40"/>
  <c r="C31" i="39"/>
  <c r="B74" i="46"/>
  <c r="E66" i="36"/>
  <c r="H18" i="35"/>
  <c r="J18" i="35"/>
  <c r="H21" i="37"/>
  <c r="J21" i="37"/>
  <c r="E84" i="34"/>
  <c r="F84" i="34"/>
  <c r="G84" i="34"/>
  <c r="J21" i="34"/>
  <c r="H21" i="34"/>
  <c r="F21" i="33"/>
  <c r="H21" i="33"/>
  <c r="J21" i="33"/>
  <c r="F83" i="21"/>
  <c r="H21" i="21"/>
  <c r="G83" i="21"/>
  <c r="J21" i="21"/>
  <c r="F96" i="40"/>
  <c r="H27" i="40"/>
  <c r="H31" i="39"/>
  <c r="F23" i="15"/>
  <c r="D22" i="15" s="1"/>
  <c r="G17" i="11"/>
  <c r="F15" i="15"/>
  <c r="F17" i="15"/>
  <c r="F18" i="15"/>
  <c r="F20" i="15"/>
  <c r="F21" i="15"/>
  <c r="F33" i="15"/>
  <c r="F60" i="15"/>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c r="C99" i="46"/>
  <c r="C108" i="46"/>
  <c r="L10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D65" i="46"/>
  <c r="D62" i="46"/>
  <c r="D61" i="46"/>
  <c r="D60" i="46"/>
  <c r="D59"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c r="C67" i="39" s="1"/>
  <c r="H66" i="39"/>
  <c r="I66" i="39" s="1"/>
  <c r="C66" i="39" s="1"/>
  <c r="H65" i="39"/>
  <c r="I65" i="39" s="1"/>
  <c r="C65" i="39" s="1"/>
  <c r="H64" i="39"/>
  <c r="I64" i="39"/>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H17" i="46" s="1"/>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C6" i="12"/>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D5" i="3" s="1"/>
  <c r="BE14" i="3"/>
  <c r="BF14" i="3"/>
  <c r="BG14" i="3"/>
  <c r="BH14" i="3"/>
  <c r="BH5" i="3" s="1"/>
  <c r="BI14" i="3"/>
  <c r="BJ14" i="3"/>
  <c r="BJ5" i="3" s="1"/>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D97" i="39"/>
  <c r="D95" i="39"/>
  <c r="E95" i="39" s="1"/>
  <c r="F95" i="39" s="1"/>
  <c r="D93" i="39"/>
  <c r="E93" i="39" s="1"/>
  <c r="F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s="1"/>
  <c r="Q33" i="39"/>
  <c r="Z33" i="39" s="1"/>
  <c r="Q29" i="39"/>
  <c r="Z29" i="39"/>
  <c r="Q27" i="39"/>
  <c r="Z27" i="39"/>
  <c r="Q25" i="39"/>
  <c r="Z25" i="39"/>
  <c r="Q23" i="39"/>
  <c r="Z23" i="39"/>
  <c r="Q21" i="39"/>
  <c r="Z21" i="39"/>
  <c r="Q19" i="39"/>
  <c r="Z19" i="39"/>
  <c r="Q17" i="39"/>
  <c r="Z17" i="39" s="1"/>
  <c r="Q16" i="39"/>
  <c r="Z16" i="39"/>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s="1"/>
  <c r="C18" i="20"/>
  <c r="B70" i="46" s="1"/>
  <c r="C17" i="20"/>
  <c r="B58" i="46" s="1"/>
  <c r="C16" i="20"/>
  <c r="B47" i="46" s="1"/>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D58" i="21" s="1"/>
  <c r="E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F34" i="39"/>
  <c r="AA34" i="39"/>
  <c r="H34" i="39"/>
  <c r="AB34" i="39"/>
  <c r="J34" i="39"/>
  <c r="AC34" i="39" s="1"/>
  <c r="F39" i="39"/>
  <c r="H39" i="39"/>
  <c r="AB39" i="39" s="1"/>
  <c r="J39" i="39"/>
  <c r="J29" i="35"/>
  <c r="AC29" i="35"/>
  <c r="F29" i="35"/>
  <c r="S29" i="35"/>
  <c r="W30" i="36"/>
  <c r="AC30" i="36"/>
  <c r="F37" i="39"/>
  <c r="S37" i="39"/>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5" i="39"/>
  <c r="AA45" i="39"/>
  <c r="H45" i="39"/>
  <c r="U45" i="39"/>
  <c r="J45" i="39"/>
  <c r="AC45" i="39"/>
  <c r="F47" i="39"/>
  <c r="AA47" i="39" s="1"/>
  <c r="H47" i="39"/>
  <c r="AB47" i="39" s="1"/>
  <c r="J47" i="39"/>
  <c r="W47" i="39" s="1"/>
  <c r="F41" i="39"/>
  <c r="AA41" i="39" s="1"/>
  <c r="H41" i="39"/>
  <c r="U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10" i="46"/>
  <c r="N5"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11" i="46"/>
  <c r="N6" i="46"/>
  <c r="F69" i="46"/>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S23"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AB33" i="36"/>
  <c r="AA11" i="36"/>
  <c r="AA14" i="35"/>
  <c r="S14" i="35"/>
  <c r="G99" i="37"/>
  <c r="F33" i="37"/>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A33" i="39"/>
  <c r="S33" i="39"/>
  <c r="S17"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s="1"/>
  <c r="K11" i="1"/>
  <c r="M11" i="1" s="1"/>
  <c r="O11" i="1" s="1"/>
  <c r="B9" i="1"/>
  <c r="E9" i="1"/>
  <c r="K9" i="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U11" i="39"/>
  <c r="AB38" i="39"/>
  <c r="U31" i="39"/>
  <c r="AB31" i="39"/>
  <c r="S38" i="39"/>
  <c r="S22" i="31"/>
  <c r="M20" i="15"/>
  <c r="D96" i="9"/>
  <c r="F28" i="15"/>
  <c r="M18" i="15"/>
  <c r="BA16" i="3"/>
  <c r="BA17" i="3"/>
  <c r="AZ17" i="3"/>
  <c r="C24" i="12"/>
  <c r="F3" i="35"/>
  <c r="K1" i="43"/>
  <c r="K1" i="12"/>
  <c r="G1" i="44"/>
  <c r="I4" i="6"/>
  <c r="AZ15" i="3"/>
  <c r="G5" i="3"/>
  <c r="B3" i="3" s="1"/>
  <c r="E274" i="3" s="1"/>
  <c r="BK5" i="3"/>
  <c r="BO5" i="3"/>
  <c r="BP5" i="3"/>
  <c r="BN5" i="3"/>
  <c r="BL18" i="3"/>
  <c r="AZ18" i="3"/>
  <c r="BC5" i="3"/>
  <c r="BR5" i="3"/>
  <c r="G28" i="6"/>
  <c r="BS5" i="3"/>
  <c r="BQ5" i="3"/>
  <c r="BL16" i="3"/>
  <c r="BL5" i="3"/>
  <c r="BM5" i="3"/>
  <c r="BA13" i="3"/>
  <c r="G28" i="12"/>
  <c r="G22" i="43"/>
  <c r="G26" i="12"/>
  <c r="D24" i="44"/>
  <c r="D26" i="44"/>
  <c r="G27" i="12"/>
  <c r="G23" i="43"/>
  <c r="G21" i="43"/>
  <c r="N8" i="46"/>
  <c r="F58" i="46" s="1"/>
  <c r="N1" i="46"/>
  <c r="F47" i="46"/>
  <c r="M9" i="46"/>
  <c r="N11" i="46"/>
  <c r="M4" i="46"/>
  <c r="M8" i="46"/>
  <c r="C6" i="46" s="1"/>
  <c r="M5" i="46"/>
  <c r="H6" i="48"/>
  <c r="H5" i="48"/>
  <c r="F36" i="46"/>
  <c r="K17" i="46"/>
  <c r="F39" i="46"/>
  <c r="H11" i="48"/>
  <c r="D17" i="46"/>
  <c r="D71" i="46"/>
  <c r="D84" i="46"/>
  <c r="E80" i="46"/>
  <c r="B78" i="46"/>
  <c r="D69" i="46"/>
  <c r="E69" i="46"/>
  <c r="B67" i="46"/>
  <c r="E47" i="46"/>
  <c r="A4" i="64"/>
  <c r="A4" i="51"/>
  <c r="C51" i="10"/>
  <c r="I100" i="46"/>
  <c r="N100" i="46"/>
  <c r="H100" i="46"/>
  <c r="F108" i="46"/>
  <c r="H80" i="46"/>
  <c r="B45" i="46"/>
  <c r="E100" i="46"/>
  <c r="G100" i="46"/>
  <c r="H84" i="46"/>
  <c r="C100" i="46"/>
  <c r="J100" i="46"/>
  <c r="M100" i="46"/>
  <c r="AA12" i="36"/>
  <c r="U12" i="35"/>
  <c r="AB12" i="35"/>
  <c r="W11" i="35"/>
  <c r="AA11" i="35"/>
  <c r="S14" i="37"/>
  <c r="U13" i="37"/>
  <c r="S13" i="21"/>
  <c r="C24" i="9"/>
  <c r="C25" i="9"/>
  <c r="G8" i="1"/>
  <c r="I20" i="46"/>
  <c r="B6" i="63"/>
  <c r="B46" i="50"/>
  <c r="B4" i="63" s="1"/>
  <c r="C46" i="36"/>
  <c r="D46" i="36" s="1"/>
  <c r="E46" i="36" s="1"/>
  <c r="F46" i="36" s="1"/>
  <c r="G46" i="36" s="1"/>
  <c r="H46" i="36" s="1"/>
  <c r="H86" i="46"/>
  <c r="H82" i="46"/>
  <c r="H87" i="46"/>
  <c r="H85" i="46"/>
  <c r="H83" i="46"/>
  <c r="K10" i="1"/>
  <c r="M10" i="1" s="1"/>
  <c r="O10" i="1" s="1"/>
  <c r="P10" i="1" s="1"/>
  <c r="S11" i="1"/>
  <c r="R11" i="1"/>
  <c r="S13" i="1"/>
  <c r="R13" i="1"/>
  <c r="B6" i="1"/>
  <c r="E6" i="1" s="1"/>
  <c r="B10" i="1"/>
  <c r="E10" i="1"/>
  <c r="S10" i="1"/>
  <c r="B8" i="1"/>
  <c r="E8" i="1" s="1"/>
  <c r="B12" i="1"/>
  <c r="E12" i="1" s="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AC31" i="39" s="1"/>
  <c r="S45" i="39"/>
  <c r="W41" i="39"/>
  <c r="AB43" i="39"/>
  <c r="AB33" i="39"/>
  <c r="AC46" i="39"/>
  <c r="S34" i="39"/>
  <c r="W42" i="39"/>
  <c r="W36" i="39"/>
  <c r="AC37" i="39"/>
  <c r="W16" i="39"/>
  <c r="S15" i="39"/>
  <c r="W45" i="39"/>
  <c r="AA46" i="39"/>
  <c r="W34" i="39"/>
  <c r="W10" i="39"/>
  <c r="W11" i="39"/>
  <c r="U42"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s="1"/>
  <c r="C12" i="11" s="1"/>
  <c r="E223" i="3"/>
  <c r="E205" i="3"/>
  <c r="E399" i="3"/>
  <c r="E478" i="3"/>
  <c r="E80" i="3"/>
  <c r="E317" i="3"/>
  <c r="E28" i="3"/>
  <c r="E357" i="3"/>
  <c r="E141" i="3"/>
  <c r="E179" i="3"/>
  <c r="E168" i="3"/>
  <c r="AS6" i="3"/>
  <c r="E34" i="3"/>
  <c r="E444" i="3"/>
  <c r="E407" i="3"/>
  <c r="E383" i="3"/>
  <c r="E398" i="3"/>
  <c r="W6" i="3"/>
  <c r="E232" i="3"/>
  <c r="E293" i="3"/>
  <c r="E533"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AZ13" i="3"/>
  <c r="G29" i="6"/>
  <c r="E29" i="6" s="1"/>
  <c r="K15" i="1" s="1"/>
  <c r="AZ16" i="3"/>
  <c r="A9" i="64"/>
  <c r="A9" i="51"/>
  <c r="B9" i="63" s="1"/>
  <c r="G66" i="36"/>
  <c r="J18" i="36"/>
  <c r="AE8" i="1"/>
  <c r="AE7" i="1"/>
  <c r="AE6" i="1"/>
  <c r="W18" i="36"/>
  <c r="AC18" i="36"/>
  <c r="AG6" i="1"/>
  <c r="L20" i="6"/>
  <c r="L19" i="6"/>
  <c r="S7" i="1"/>
  <c r="S8" i="1"/>
  <c r="S9" i="1"/>
  <c r="R9" i="1"/>
  <c r="R7" i="1"/>
  <c r="R8" i="1"/>
  <c r="C45" i="9"/>
  <c r="H14" i="66" s="1"/>
  <c r="B7" i="66" s="1"/>
  <c r="O40" i="9"/>
  <c r="K31" i="9"/>
  <c r="K32" i="9" s="1"/>
  <c r="R7" i="54"/>
  <c r="B52" i="63" s="1"/>
  <c r="N76" i="9"/>
  <c r="C46" i="9"/>
  <c r="K33" i="9" s="1"/>
  <c r="K34" i="9" s="1"/>
  <c r="J17" i="46"/>
  <c r="C17" i="46"/>
  <c r="F34" i="46"/>
  <c r="F38" i="46"/>
  <c r="F37" i="46"/>
  <c r="H113" i="46"/>
  <c r="H49" i="46"/>
  <c r="H53" i="46"/>
  <c r="D17" i="59"/>
  <c r="C16" i="59"/>
  <c r="D16" i="59"/>
  <c r="U14" i="59"/>
  <c r="F17" i="59"/>
  <c r="F16" i="59"/>
  <c r="F15" i="59"/>
  <c r="F14" i="59"/>
  <c r="Y16" i="59"/>
  <c r="Z16" i="59"/>
  <c r="AA16" i="59"/>
  <c r="AB16" i="59"/>
  <c r="Y15" i="59"/>
  <c r="Z15" i="59"/>
  <c r="Y14" i="59"/>
  <c r="Z14" i="59" s="1"/>
  <c r="Z12" i="59"/>
  <c r="Y13" i="59"/>
  <c r="Z13" i="59" s="1"/>
  <c r="AB15" i="59"/>
  <c r="AB14" i="59"/>
  <c r="AB13" i="59"/>
  <c r="AA18" i="59"/>
  <c r="X16" i="59"/>
  <c r="X14" i="59"/>
  <c r="X13" i="59"/>
  <c r="AA14" i="59"/>
  <c r="AA13" i="59"/>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H51" i="46"/>
  <c r="X7" i="46"/>
  <c r="E17" i="46"/>
  <c r="N17" i="46"/>
  <c r="O17" i="46"/>
  <c r="M17" i="46"/>
  <c r="L17" i="46"/>
  <c r="E28" i="6"/>
  <c r="P13" i="1"/>
  <c r="AP7" i="1"/>
  <c r="G6" i="1"/>
  <c r="H73" i="46"/>
  <c r="H50" i="46"/>
  <c r="H48" i="46"/>
  <c r="F35" i="46"/>
  <c r="I17" i="46"/>
  <c r="D100" i="46"/>
  <c r="AF12" i="46"/>
  <c r="K100" i="46"/>
  <c r="AB12" i="46"/>
  <c r="AJ12" i="46"/>
  <c r="H74" i="46"/>
  <c r="H72" i="46"/>
  <c r="H77" i="46"/>
  <c r="H55" i="46"/>
  <c r="H54" i="46"/>
  <c r="H52" i="46"/>
  <c r="H47" i="46"/>
  <c r="AD12" i="46"/>
  <c r="AH12" i="46"/>
  <c r="C15" i="59"/>
  <c r="C14" i="59"/>
  <c r="T14" i="59"/>
  <c r="B15" i="59"/>
  <c r="B14" i="59"/>
  <c r="S14" i="59"/>
  <c r="D15" i="59"/>
  <c r="V14" i="59"/>
  <c r="D14" i="59"/>
  <c r="K14" i="1"/>
  <c r="M14" i="1" s="1"/>
  <c r="C7" i="46"/>
  <c r="D13" i="59"/>
  <c r="D12" i="59"/>
  <c r="G20" i="46"/>
  <c r="E41" i="46" s="1"/>
  <c r="C41" i="46" s="1"/>
  <c r="L48" i="15"/>
  <c r="E11" i="67"/>
  <c r="F15" i="44"/>
  <c r="J15" i="15"/>
  <c r="F6" i="15"/>
  <c r="F42" i="15"/>
  <c r="J17" i="44"/>
  <c r="F14" i="67"/>
  <c r="M28" i="44"/>
  <c r="F8" i="15"/>
  <c r="J4" i="65"/>
  <c r="L48" i="44"/>
  <c r="F8" i="44"/>
  <c r="F8" i="67"/>
  <c r="I6" i="65"/>
  <c r="M8" i="44"/>
  <c r="F36" i="15"/>
  <c r="J5" i="65"/>
  <c r="B9" i="67"/>
  <c r="F38" i="44"/>
  <c r="F39" i="44"/>
  <c r="I5" i="65"/>
  <c r="M29" i="44"/>
  <c r="M29" i="15"/>
  <c r="J3" i="65"/>
  <c r="M24" i="44"/>
  <c r="M24" i="15"/>
  <c r="F9" i="44"/>
  <c r="F40" i="15"/>
  <c r="N4" i="65"/>
  <c r="B14" i="67"/>
  <c r="N3" i="65"/>
  <c r="F26" i="15"/>
  <c r="F46" i="44"/>
  <c r="F43" i="15"/>
  <c r="F13" i="15"/>
  <c r="B13" i="67"/>
  <c r="F11" i="44"/>
  <c r="E13" i="67"/>
  <c r="F12" i="67"/>
  <c r="M9" i="15"/>
  <c r="M28" i="15"/>
  <c r="B11" i="67"/>
  <c r="M30" i="44"/>
  <c r="M23" i="15"/>
  <c r="J36" i="15"/>
  <c r="J7" i="65"/>
  <c r="M21" i="15"/>
  <c r="M11" i="44"/>
  <c r="M6" i="15"/>
  <c r="N5" i="65"/>
  <c r="I4" i="65"/>
  <c r="J6" i="65"/>
  <c r="F37" i="15"/>
  <c r="F13" i="67"/>
  <c r="F28" i="44"/>
  <c r="M27" i="15"/>
  <c r="M25" i="44"/>
  <c r="L49" i="44"/>
  <c r="E8" i="67"/>
  <c r="E10" i="67"/>
  <c r="F9" i="15"/>
  <c r="F9" i="67"/>
  <c r="B12" i="67"/>
  <c r="F10" i="44"/>
  <c r="F40" i="44"/>
  <c r="F43" i="44"/>
  <c r="M31" i="44"/>
  <c r="F41" i="15"/>
  <c r="F11" i="67"/>
  <c r="I3" i="65"/>
  <c r="B10" i="67"/>
  <c r="F18" i="44"/>
  <c r="F10" i="67"/>
  <c r="M26" i="15"/>
  <c r="M8" i="15"/>
  <c r="F35" i="15"/>
  <c r="F7" i="15"/>
  <c r="M10" i="44"/>
  <c r="L47" i="15"/>
  <c r="E9" i="67"/>
  <c r="N7" i="65"/>
  <c r="I7" i="65"/>
  <c r="C19" i="44"/>
  <c r="F37" i="44"/>
  <c r="M26" i="44"/>
  <c r="E12" i="67"/>
  <c r="F38" i="15"/>
  <c r="M23" i="44"/>
  <c r="N6" i="65"/>
  <c r="E14" i="67"/>
  <c r="B8" i="67"/>
  <c r="F16" i="15"/>
  <c r="F45" i="44"/>
  <c r="M22" i="15"/>
  <c r="C18" i="9" l="1"/>
  <c r="D18" i="9" s="1"/>
  <c r="M44" i="9" s="1"/>
  <c r="AC43" i="39"/>
  <c r="H6" i="3"/>
  <c r="E136" i="3"/>
  <c r="E363" i="3"/>
  <c r="E247" i="3"/>
  <c r="E289" i="3"/>
  <c r="E550" i="3"/>
  <c r="E455" i="3"/>
  <c r="AE6" i="3"/>
  <c r="E438" i="3"/>
  <c r="E97" i="3"/>
  <c r="E48" i="3"/>
  <c r="E500" i="3"/>
  <c r="J6" i="3"/>
  <c r="E119" i="3"/>
  <c r="E178" i="3"/>
  <c r="Q6" i="3"/>
  <c r="E75" i="3"/>
  <c r="E33" i="3"/>
  <c r="E60" i="3"/>
  <c r="E415" i="3"/>
  <c r="E367" i="3"/>
  <c r="E441" i="3"/>
  <c r="E30" i="3"/>
  <c r="E447" i="3"/>
  <c r="E426" i="3"/>
  <c r="E547" i="3"/>
  <c r="E292" i="3"/>
  <c r="E32" i="3"/>
  <c r="E463" i="3"/>
  <c r="F29" i="39"/>
  <c r="AA29" i="39" s="1"/>
  <c r="H29" i="39"/>
  <c r="U29" i="39" s="1"/>
  <c r="J29" i="39"/>
  <c r="AC29" i="39" s="1"/>
  <c r="U23" i="39"/>
  <c r="AB29" i="39"/>
  <c r="G103" i="39"/>
  <c r="H27" i="39"/>
  <c r="AB27" i="39" s="1"/>
  <c r="G101" i="39"/>
  <c r="F27" i="39"/>
  <c r="AA27" i="39" s="1"/>
  <c r="J27" i="39"/>
  <c r="AC27" i="39" s="1"/>
  <c r="J25" i="39"/>
  <c r="F99" i="39"/>
  <c r="G99" i="39" s="1"/>
  <c r="H25" i="39"/>
  <c r="U25" i="39" s="1"/>
  <c r="F25" i="39"/>
  <c r="AA25" i="39" s="1"/>
  <c r="F21" i="39"/>
  <c r="J21" i="39"/>
  <c r="G95" i="39"/>
  <c r="H21" i="39"/>
  <c r="U21" i="39" s="1"/>
  <c r="F19" i="39"/>
  <c r="J19" i="39"/>
  <c r="G93" i="39"/>
  <c r="H19" i="39"/>
  <c r="AB19" i="39" s="1"/>
  <c r="S29" i="39"/>
  <c r="S41" i="39"/>
  <c r="AA44" i="39"/>
  <c r="AC44" i="39"/>
  <c r="AB44" i="39"/>
  <c r="AB41" i="39"/>
  <c r="W33" i="39"/>
  <c r="W31" i="39"/>
  <c r="S31" i="39"/>
  <c r="S25" i="39"/>
  <c r="W23" i="39"/>
  <c r="U19" i="39"/>
  <c r="N16" i="4"/>
  <c r="M43" i="9"/>
  <c r="A30" i="64"/>
  <c r="A30" i="51"/>
  <c r="B22" i="63" s="1"/>
  <c r="U14" i="39"/>
  <c r="AC17" i="39"/>
  <c r="AB17" i="39"/>
  <c r="S14" i="39"/>
  <c r="W14" i="39"/>
  <c r="AB15" i="39"/>
  <c r="AB16" i="39"/>
  <c r="E10" i="46"/>
  <c r="E11" i="46"/>
  <c r="E9" i="46"/>
  <c r="E8" i="46"/>
  <c r="H76" i="46"/>
  <c r="H69" i="46"/>
  <c r="H75" i="46"/>
  <c r="H70" i="46"/>
  <c r="H10" i="48"/>
  <c r="H13" i="48"/>
  <c r="H14" i="48"/>
  <c r="H15" i="48"/>
  <c r="M3" i="46"/>
  <c r="M12" i="46"/>
  <c r="N9" i="46"/>
  <c r="M2" i="46"/>
  <c r="N4" i="46"/>
  <c r="N10" i="46"/>
  <c r="N3" i="46"/>
  <c r="M7" i="46"/>
  <c r="N7" i="46"/>
  <c r="N2" i="46"/>
  <c r="M6" i="46"/>
  <c r="H9" i="48"/>
  <c r="H61" i="46"/>
  <c r="G61" i="46" s="1"/>
  <c r="H66" i="46"/>
  <c r="G66" i="46" s="1"/>
  <c r="H62" i="46"/>
  <c r="G62" i="46" s="1"/>
  <c r="H60" i="46"/>
  <c r="G60" i="46" s="1"/>
  <c r="H58" i="46"/>
  <c r="G58" i="46" s="1"/>
  <c r="H63" i="46"/>
  <c r="G63" i="46" s="1"/>
  <c r="H64" i="46"/>
  <c r="G64" i="46" s="1"/>
  <c r="H59" i="46"/>
  <c r="G59" i="46" s="1"/>
  <c r="H65" i="46"/>
  <c r="G65" i="46" s="1"/>
  <c r="G17" i="46"/>
  <c r="C16" i="46" s="1"/>
  <c r="D5" i="46" s="1"/>
  <c r="C20" i="46"/>
  <c r="P11" i="1"/>
  <c r="G9" i="1"/>
  <c r="B54" i="46"/>
  <c r="L27" i="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BB5" i="3"/>
  <c r="E12" i="6" s="1"/>
  <c r="AZ14" i="3"/>
  <c r="AZ5" i="3" s="1"/>
  <c r="BA5" i="3"/>
  <c r="F33" i="12"/>
  <c r="F24" i="43"/>
  <c r="C26" i="43" s="1"/>
  <c r="D24" i="43" s="1"/>
  <c r="O12" i="1"/>
  <c r="P12" i="1" s="1"/>
  <c r="M9" i="1"/>
  <c r="M16" i="1" s="1"/>
  <c r="H16" i="1"/>
  <c r="O14" i="1"/>
  <c r="P14" i="1" s="1"/>
  <c r="K16" i="1"/>
  <c r="O7" i="1"/>
  <c r="E30" i="6"/>
  <c r="E14" i="6"/>
  <c r="E10" i="6"/>
  <c r="D21" i="12"/>
  <c r="C21" i="12" s="1"/>
  <c r="A18" i="51"/>
  <c r="B14" i="63" s="1"/>
  <c r="L5" i="54"/>
  <c r="B39" i="63" s="1"/>
  <c r="K5" i="54"/>
  <c r="T41" i="4"/>
  <c r="A17" i="64" s="1"/>
  <c r="A18" i="64"/>
  <c r="B74" i="63" s="1"/>
  <c r="C53" i="10"/>
  <c r="A25" i="64" s="1"/>
  <c r="A17" i="51"/>
  <c r="B13" i="63" s="1"/>
  <c r="K17" i="4"/>
  <c r="A22" i="51" s="1"/>
  <c r="B16" i="63" s="1"/>
  <c r="O41" i="9"/>
  <c r="R8" i="54" s="1"/>
  <c r="B54" i="63" s="1"/>
  <c r="I14" i="66"/>
  <c r="B8" i="66" s="1"/>
  <c r="AP16" i="1"/>
  <c r="F22" i="11" s="1"/>
  <c r="G10" i="1"/>
  <c r="G13" i="1"/>
  <c r="F5" i="59"/>
  <c r="V5" i="59" s="1"/>
  <c r="V6" i="59"/>
  <c r="C95" i="9"/>
  <c r="C92" i="9" s="1"/>
  <c r="C25" i="12"/>
  <c r="C15" i="43"/>
  <c r="C31" i="43"/>
  <c r="C15" i="12"/>
  <c r="C30" i="44"/>
  <c r="C29" i="12"/>
  <c r="C27" i="43"/>
  <c r="C28" i="15"/>
  <c r="C34" i="12"/>
  <c r="D33" i="12" s="1"/>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9" i="59"/>
  <c r="C8" i="59"/>
  <c r="E10" i="59"/>
  <c r="E9" i="59" s="1"/>
  <c r="E8" i="59" s="1"/>
  <c r="E7" i="59" s="1"/>
  <c r="E6" i="59" s="1"/>
  <c r="B10" i="59"/>
  <c r="B9" i="59" s="1"/>
  <c r="B8" i="59" s="1"/>
  <c r="B7" i="59" s="1"/>
  <c r="B6" i="59" s="1"/>
  <c r="X9" i="59"/>
  <c r="Y9" i="59"/>
  <c r="Z9"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0" i="59"/>
  <c r="AA10" i="59"/>
  <c r="D10" i="59"/>
  <c r="Y10" i="59"/>
  <c r="Z10"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C17" i="15"/>
  <c r="E3" i="65"/>
  <c r="C18" i="44"/>
  <c r="E2" i="65"/>
  <c r="C16" i="15"/>
  <c r="E13" i="6" l="1"/>
  <c r="E65" i="39" s="1"/>
  <c r="E15" i="6"/>
  <c r="E59" i="40"/>
  <c r="E64" i="39"/>
  <c r="AC6" i="3"/>
  <c r="E6" i="3" s="1"/>
  <c r="W29" i="39"/>
  <c r="W27" i="39"/>
  <c r="U27" i="39"/>
  <c r="S27" i="39"/>
  <c r="AB25" i="39"/>
  <c r="AC25" i="39"/>
  <c r="W25" i="39"/>
  <c r="W21" i="39"/>
  <c r="AC21" i="39"/>
  <c r="AB21" i="39"/>
  <c r="S21" i="39"/>
  <c r="AA21" i="39"/>
  <c r="W19" i="39"/>
  <c r="AC19" i="39"/>
  <c r="S19" i="39"/>
  <c r="AA19" i="39"/>
  <c r="K65" i="46"/>
  <c r="J65" i="46" s="1"/>
  <c r="M65" i="46"/>
  <c r="N65" i="46" s="1"/>
  <c r="M64" i="46"/>
  <c r="K64" i="46"/>
  <c r="J64" i="46" s="1"/>
  <c r="K58" i="46"/>
  <c r="J58" i="46" s="1"/>
  <c r="M58" i="46"/>
  <c r="N58" i="46" s="1"/>
  <c r="M62" i="46"/>
  <c r="N62" i="46" s="1"/>
  <c r="K62" i="46"/>
  <c r="J62" i="46" s="1"/>
  <c r="M61" i="46"/>
  <c r="N61" i="46" s="1"/>
  <c r="K61" i="46"/>
  <c r="J61" i="46" s="1"/>
  <c r="M59" i="46"/>
  <c r="N59" i="46" s="1"/>
  <c r="K59" i="46"/>
  <c r="J59" i="46" s="1"/>
  <c r="M63" i="46"/>
  <c r="N63" i="46" s="1"/>
  <c r="K63" i="46"/>
  <c r="M60" i="46"/>
  <c r="N60" i="46" s="1"/>
  <c r="K60" i="46"/>
  <c r="J60" i="46" s="1"/>
  <c r="K66" i="46"/>
  <c r="J66" i="46" s="1"/>
  <c r="M66" i="46"/>
  <c r="N66" i="46" s="1"/>
  <c r="C5" i="46"/>
  <c r="E8" i="6"/>
  <c r="E11" i="6"/>
  <c r="E67" i="39"/>
  <c r="E62" i="40"/>
  <c r="E3" i="6"/>
  <c r="AY6" i="3"/>
  <c r="O9" i="1"/>
  <c r="P9" i="1" s="1"/>
  <c r="E61" i="40"/>
  <c r="E66" i="39"/>
  <c r="L16" i="1"/>
  <c r="C13" i="43"/>
  <c r="N16" i="1"/>
  <c r="C29" i="43" s="1"/>
  <c r="E60" i="40"/>
  <c r="P7" i="1"/>
  <c r="A25" i="51"/>
  <c r="B18" i="63" s="1"/>
  <c r="B38" i="63"/>
  <c r="A3" i="55"/>
  <c r="B56" i="63" s="1"/>
  <c r="G16" i="1"/>
  <c r="J12" i="39" s="1"/>
  <c r="F7" i="21"/>
  <c r="AA7" i="21" s="1"/>
  <c r="R48" i="21" s="1"/>
  <c r="H7" i="21"/>
  <c r="AB7" i="21" s="1"/>
  <c r="T48" i="21" s="1"/>
  <c r="G48" i="21" s="1"/>
  <c r="B5" i="59"/>
  <c r="S5" i="59" s="1"/>
  <c r="S6" i="59"/>
  <c r="E5" i="59"/>
  <c r="U5" i="59" s="1"/>
  <c r="U6" i="59"/>
  <c r="F58" i="15"/>
  <c r="H7" i="35"/>
  <c r="U7" i="35" s="1"/>
  <c r="B40" i="1"/>
  <c r="E65" i="40"/>
  <c r="D67" i="40"/>
  <c r="AC7" i="33"/>
  <c r="V48" i="33" s="1"/>
  <c r="I48" i="33" s="1"/>
  <c r="W7" i="33"/>
  <c r="S7" i="34"/>
  <c r="AA7" i="34"/>
  <c r="R49" i="34" s="1"/>
  <c r="W7" i="34"/>
  <c r="AC7" i="34"/>
  <c r="V49" i="34" s="1"/>
  <c r="I49" i="34" s="1"/>
  <c r="U7" i="21"/>
  <c r="S7" i="21"/>
  <c r="J7" i="37"/>
  <c r="W7" i="21"/>
  <c r="AC7" i="21"/>
  <c r="V48" i="21" s="1"/>
  <c r="I48" i="21" s="1"/>
  <c r="D72" i="39"/>
  <c r="E70" i="39"/>
  <c r="AB7" i="34"/>
  <c r="T49" i="34" s="1"/>
  <c r="G49" i="34" s="1"/>
  <c r="U7" i="34"/>
  <c r="H7" i="33"/>
  <c r="F7" i="33"/>
  <c r="J46" i="36"/>
  <c r="J7" i="35"/>
  <c r="F7" i="35"/>
  <c r="H7" i="37"/>
  <c r="F7" i="37"/>
  <c r="D8" i="59"/>
  <c r="C7" i="59"/>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J63" i="46" l="1"/>
  <c r="D63" i="46"/>
  <c r="N64" i="46"/>
  <c r="D64" i="46"/>
  <c r="E58" i="39"/>
  <c r="F27" i="6"/>
  <c r="D29" i="46" s="1"/>
  <c r="D1" i="46" s="1"/>
  <c r="E53" i="40"/>
  <c r="E16" i="6"/>
  <c r="E63" i="39"/>
  <c r="E58" i="40"/>
  <c r="O16" i="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486" i="3"/>
  <c r="AY80" i="3"/>
  <c r="AY67" i="3"/>
  <c r="AY58" i="3"/>
  <c r="AY159" i="3"/>
  <c r="AY179" i="3"/>
  <c r="AY105" i="3"/>
  <c r="AY100" i="3"/>
  <c r="AY47" i="3"/>
  <c r="AY126" i="3"/>
  <c r="AY31" i="3"/>
  <c r="AY118" i="3"/>
  <c r="AY234" i="3"/>
  <c r="AY209" i="3"/>
  <c r="AY317" i="3"/>
  <c r="AY416" i="3"/>
  <c r="AY402" i="3"/>
  <c r="AY55" i="3"/>
  <c r="AY181" i="3"/>
  <c r="AY250" i="3"/>
  <c r="AY343" i="3"/>
  <c r="AY560"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82" i="3"/>
  <c r="AY41" i="3"/>
  <c r="AY128" i="3"/>
  <c r="AY504" i="3"/>
  <c r="AY182" i="3"/>
  <c r="AY175" i="3"/>
  <c r="AY264" i="3"/>
  <c r="AY467" i="3"/>
  <c r="AY479" i="3"/>
  <c r="AY139" i="3"/>
  <c r="AY364"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78" i="3"/>
  <c r="AY135" i="3"/>
  <c r="AY294" i="3"/>
  <c r="AY372" i="3"/>
  <c r="AY550" i="3"/>
  <c r="AY62" i="3"/>
  <c r="AY269" i="3"/>
  <c r="AY376" i="3"/>
  <c r="AY389" i="3"/>
  <c r="AY155" i="3"/>
  <c r="AY302" i="3"/>
  <c r="AY450" i="3"/>
  <c r="AY122" i="3"/>
  <c r="AY307" i="3"/>
  <c r="AY457" i="3"/>
  <c r="AY412" i="3"/>
  <c r="BC6" i="3"/>
  <c r="AY201"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543"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F12" i="39"/>
  <c r="P16" i="1"/>
  <c r="C13" i="12" s="1"/>
  <c r="C14" i="12" s="1"/>
  <c r="D16" i="43"/>
  <c r="C16" i="43" s="1"/>
  <c r="L38" i="9"/>
  <c r="B14" i="66" s="1"/>
  <c r="B1" i="66" s="1"/>
  <c r="D16" i="12"/>
  <c r="E6" i="6"/>
  <c r="D45" i="9"/>
  <c r="C21" i="4"/>
  <c r="O5" i="54" s="1"/>
  <c r="B45" i="63" s="1"/>
  <c r="D46" i="9"/>
  <c r="F12" i="40"/>
  <c r="J12" i="40"/>
  <c r="C14" i="43"/>
  <c r="C17" i="43"/>
  <c r="AC12" i="39"/>
  <c r="W12" i="39"/>
  <c r="H12" i="40"/>
  <c r="H12" i="39"/>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R49" i="21"/>
  <c r="E48" i="21"/>
  <c r="AA7" i="33"/>
  <c r="R48" i="33" s="1"/>
  <c r="S7" i="33"/>
  <c r="F70" i="39"/>
  <c r="E72" i="39"/>
  <c r="G52" i="21"/>
  <c r="H52" i="21" s="1"/>
  <c r="G53" i="21"/>
  <c r="H53" i="21" s="1"/>
  <c r="I53" i="34"/>
  <c r="J53" i="34" s="1"/>
  <c r="R50" i="34"/>
  <c r="E49" i="34"/>
  <c r="I52" i="33"/>
  <c r="J52" i="33" s="1"/>
  <c r="E67" i="40"/>
  <c r="F65" i="40"/>
  <c r="D7" i="59"/>
  <c r="C6" i="59"/>
  <c r="J18" i="15"/>
  <c r="J5" i="15"/>
  <c r="C40" i="44"/>
  <c r="J28" i="44"/>
  <c r="J31" i="44" s="1"/>
  <c r="J26" i="44"/>
  <c r="C52" i="15"/>
  <c r="C47" i="15" s="1"/>
  <c r="C10" i="15"/>
  <c r="C5" i="15" s="1"/>
  <c r="C20" i="11"/>
  <c r="C21" i="11" s="1"/>
  <c r="C22" i="11" s="1"/>
  <c r="C23" i="11" s="1"/>
  <c r="B2" i="11" s="1"/>
  <c r="F1" i="46" l="1"/>
  <c r="C40" i="39"/>
  <c r="C17" i="12"/>
  <c r="E58" i="46"/>
  <c r="B56" i="46" s="1"/>
  <c r="C24" i="46" s="1"/>
  <c r="F31" i="6"/>
  <c r="E27" i="6"/>
  <c r="D22" i="12"/>
  <c r="C22" i="12" s="1"/>
  <c r="C20" i="12" s="1"/>
  <c r="D13" i="11"/>
  <c r="C13" i="11" s="1"/>
  <c r="D19" i="12"/>
  <c r="C19" i="12" s="1"/>
  <c r="C16" i="12"/>
  <c r="S12" i="39"/>
  <c r="AA12" i="39"/>
  <c r="C7" i="66"/>
  <c r="C8" i="66"/>
  <c r="E63" i="40"/>
  <c r="D19" i="6"/>
  <c r="D23" i="6"/>
  <c r="D8" i="6"/>
  <c r="F45" i="9"/>
  <c r="K38" i="9"/>
  <c r="C14" i="66" s="1"/>
  <c r="B2" i="66" s="1"/>
  <c r="D11" i="6"/>
  <c r="D29" i="6"/>
  <c r="F46" i="9"/>
  <c r="C22" i="4"/>
  <c r="D28" i="6"/>
  <c r="D30" i="6" s="1"/>
  <c r="E68" i="39"/>
  <c r="D9" i="6"/>
  <c r="E46" i="9"/>
  <c r="D24" i="6"/>
  <c r="D15" i="6"/>
  <c r="D25" i="6"/>
  <c r="E45" i="9"/>
  <c r="D21" i="6"/>
  <c r="D26" i="6"/>
  <c r="D5" i="6"/>
  <c r="D12" i="6"/>
  <c r="D20" i="6"/>
  <c r="D22" i="6"/>
  <c r="D10" i="6"/>
  <c r="D13" i="6"/>
  <c r="D14" i="6"/>
  <c r="D6" i="6"/>
  <c r="W12" i="40"/>
  <c r="AC12" i="40"/>
  <c r="C18" i="43"/>
  <c r="C19" i="43" s="1"/>
  <c r="C25" i="43" s="1"/>
  <c r="C24" i="43" s="1"/>
  <c r="AA12" i="40"/>
  <c r="S12" i="40"/>
  <c r="U12" i="39"/>
  <c r="AB12" i="39"/>
  <c r="U12" i="40"/>
  <c r="AB12" i="40"/>
  <c r="C5" i="59"/>
  <c r="T6" i="59"/>
  <c r="F67" i="40"/>
  <c r="G65" i="40"/>
  <c r="C50" i="34"/>
  <c r="B3" i="34" s="1"/>
  <c r="B2" i="34" s="1"/>
  <c r="C49" i="34"/>
  <c r="G70" i="39"/>
  <c r="F72" i="39"/>
  <c r="R49" i="33"/>
  <c r="E48" i="33"/>
  <c r="E53" i="21"/>
  <c r="F53" i="21" s="1"/>
  <c r="E52" i="21"/>
  <c r="F52" i="21" s="1"/>
  <c r="I53" i="21"/>
  <c r="J53" i="21" s="1"/>
  <c r="L46" i="36"/>
  <c r="R39" i="35"/>
  <c r="E38" i="35"/>
  <c r="R43" i="37"/>
  <c r="E42" i="37"/>
  <c r="E54" i="34"/>
  <c r="F54" i="34" s="1"/>
  <c r="E53" i="34"/>
  <c r="F53" i="34" s="1"/>
  <c r="I54" i="34"/>
  <c r="J54" i="34" s="1"/>
  <c r="C48" i="21"/>
  <c r="C49" i="21"/>
  <c r="B3" i="21" s="1"/>
  <c r="B2" i="21" s="1"/>
  <c r="I46" i="37"/>
  <c r="J46" i="37" s="1"/>
  <c r="I47" i="37"/>
  <c r="J47" i="37" s="1"/>
  <c r="G52" i="33"/>
  <c r="H52" i="33" s="1"/>
  <c r="G53" i="33"/>
  <c r="H53" i="33" s="1"/>
  <c r="I42" i="35"/>
  <c r="J42" i="35" s="1"/>
  <c r="I43" i="35"/>
  <c r="J43" i="35" s="1"/>
  <c r="G46" i="37"/>
  <c r="H46" i="37" s="1"/>
  <c r="G47" i="37"/>
  <c r="H47" i="37" s="1"/>
  <c r="D6" i="59"/>
  <c r="C65" i="15"/>
  <c r="C59" i="15"/>
  <c r="B5" i="11"/>
  <c r="B3" i="11"/>
  <c r="B4" i="11"/>
  <c r="J26" i="15"/>
  <c r="J29" i="15" s="1"/>
  <c r="J24" i="15"/>
  <c r="C38" i="15"/>
  <c r="Q58" i="44"/>
  <c r="Q67" i="44"/>
  <c r="Q49" i="44"/>
  <c r="Q55" i="44" s="1"/>
  <c r="F7" i="67"/>
  <c r="F40" i="39" l="1"/>
  <c r="H40" i="39"/>
  <c r="J40" i="39"/>
  <c r="C18" i="12"/>
  <c r="C23" i="12" s="1"/>
  <c r="C35" i="12" s="1"/>
  <c r="C33" i="12" s="1"/>
  <c r="C34" i="46"/>
  <c r="T14" i="46"/>
  <c r="V14" i="46" s="1"/>
  <c r="T9" i="46"/>
  <c r="V9" i="46" s="1"/>
  <c r="T11" i="46"/>
  <c r="V11" i="46" s="1"/>
  <c r="C36" i="46"/>
  <c r="C33" i="46"/>
  <c r="T10" i="46"/>
  <c r="V10" i="46" s="1"/>
  <c r="C39" i="46"/>
  <c r="C35" i="46"/>
  <c r="C37" i="46"/>
  <c r="C38" i="46"/>
  <c r="T16" i="46"/>
  <c r="V16" i="46" s="1"/>
  <c r="T8" i="46"/>
  <c r="V8" i="46" s="1"/>
  <c r="T13" i="46"/>
  <c r="V13" i="46" s="1"/>
  <c r="T15" i="46"/>
  <c r="V15" i="46" s="1"/>
  <c r="T12" i="46"/>
  <c r="V12" i="46" s="1"/>
  <c r="D16" i="6"/>
  <c r="D27" i="6"/>
  <c r="K20" i="6"/>
  <c r="M20" i="6" s="1"/>
  <c r="I20" i="6" s="1"/>
  <c r="K19" i="6"/>
  <c r="S6" i="1" s="1"/>
  <c r="K24" i="6"/>
  <c r="M24" i="6" s="1"/>
  <c r="I24" i="6" s="1"/>
  <c r="K25" i="6"/>
  <c r="M25" i="6" s="1"/>
  <c r="I25" i="6" s="1"/>
  <c r="K26" i="6"/>
  <c r="M26" i="6" s="1"/>
  <c r="I26" i="6" s="1"/>
  <c r="K22" i="6"/>
  <c r="M22" i="6" s="1"/>
  <c r="I22" i="6" s="1"/>
  <c r="K23" i="6"/>
  <c r="M23" i="6" s="1"/>
  <c r="I23" i="6" s="1"/>
  <c r="K21" i="6"/>
  <c r="M21" i="6" s="1"/>
  <c r="I21" i="6" s="1"/>
  <c r="E31" i="6"/>
  <c r="N5" i="54"/>
  <c r="B43" i="63" s="1"/>
  <c r="A6" i="51"/>
  <c r="B7" i="63" s="1"/>
  <c r="A20" i="64"/>
  <c r="A6" i="64"/>
  <c r="A20" i="51"/>
  <c r="B15" i="63" s="1"/>
  <c r="D7" i="66"/>
  <c r="D8" i="66"/>
  <c r="D31" i="6"/>
  <c r="T5" i="59"/>
  <c r="D5"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D77" i="9"/>
  <c r="N75" i="9" s="1"/>
  <c r="E7" i="67"/>
  <c r="B7" i="67"/>
  <c r="AB40" i="39" l="1"/>
  <c r="U40" i="39"/>
  <c r="AC40" i="39"/>
  <c r="W40" i="39"/>
  <c r="AA40" i="39"/>
  <c r="S40" i="39"/>
  <c r="G37" i="46"/>
  <c r="I37" i="46" s="1"/>
  <c r="E37" i="46"/>
  <c r="G38" i="46"/>
  <c r="I38" i="46" s="1"/>
  <c r="E38" i="46"/>
  <c r="E39" i="46"/>
  <c r="G39" i="46"/>
  <c r="I39" i="46" s="1"/>
  <c r="E33" i="46"/>
  <c r="G33" i="46"/>
  <c r="I33" i="46" s="1"/>
  <c r="G36" i="46"/>
  <c r="I36" i="46" s="1"/>
  <c r="E36" i="46"/>
  <c r="G35" i="46"/>
  <c r="I35" i="46" s="1"/>
  <c r="E35" i="46"/>
  <c r="E34" i="46"/>
  <c r="G34" i="46"/>
  <c r="I34" i="46" s="1"/>
  <c r="S16" i="1"/>
  <c r="T6" i="1" s="1"/>
  <c r="S23" i="6"/>
  <c r="H23" i="6"/>
  <c r="R23" i="6" s="1"/>
  <c r="S26" i="6"/>
  <c r="H26" i="6"/>
  <c r="R26" i="6" s="1"/>
  <c r="S24" i="6"/>
  <c r="H24" i="6"/>
  <c r="R24" i="6" s="1"/>
  <c r="S20" i="6"/>
  <c r="H20" i="6"/>
  <c r="R20" i="6" s="1"/>
  <c r="S21" i="6"/>
  <c r="H21" i="6"/>
  <c r="R21" i="6" s="1"/>
  <c r="S22" i="6"/>
  <c r="H22" i="6"/>
  <c r="R22" i="6" s="1"/>
  <c r="S25" i="6"/>
  <c r="H25" i="6"/>
  <c r="R25" i="6" s="1"/>
  <c r="K27" i="6"/>
  <c r="M19" i="6"/>
  <c r="I6" i="6"/>
  <c r="G3" i="46" s="1"/>
  <c r="I5" i="6"/>
  <c r="I65" i="40"/>
  <c r="H67" i="40"/>
  <c r="H72" i="39"/>
  <c r="I70" i="39"/>
  <c r="N46" i="36"/>
  <c r="E3" i="67"/>
  <c r="B2" i="67"/>
  <c r="J22" i="46" l="1"/>
  <c r="M101" i="46"/>
  <c r="AJ11" i="46"/>
  <c r="AJ13" i="46" s="1"/>
  <c r="C101" i="46"/>
  <c r="B113" i="46"/>
  <c r="E101" i="46"/>
  <c r="AG11" i="46"/>
  <c r="AG13" i="46" s="1"/>
  <c r="AH11" i="46"/>
  <c r="AH13" i="46" s="1"/>
  <c r="AE11" i="46"/>
  <c r="AE13" i="46" s="1"/>
  <c r="H22" i="46"/>
  <c r="AC11" i="46"/>
  <c r="AC13" i="46" s="1"/>
  <c r="G101" i="46"/>
  <c r="L101" i="46"/>
  <c r="K101" i="46"/>
  <c r="Z11" i="46"/>
  <c r="Z13" i="46" s="1"/>
  <c r="AI11" i="46"/>
  <c r="AI13" i="46" s="1"/>
  <c r="Y11" i="46"/>
  <c r="Y13" i="46" s="1"/>
  <c r="G22" i="46"/>
  <c r="D101" i="46"/>
  <c r="N101" i="46"/>
  <c r="J101" i="46"/>
  <c r="F22" i="46"/>
  <c r="E22" i="46"/>
  <c r="AF11" i="46"/>
  <c r="AF13" i="46" s="1"/>
  <c r="H101" i="46"/>
  <c r="F101" i="46"/>
  <c r="I101" i="46"/>
  <c r="AD11" i="46"/>
  <c r="AD13" i="46" s="1"/>
  <c r="N104" i="45"/>
  <c r="Z7" i="46"/>
  <c r="AA11" i="46"/>
  <c r="AA13" i="46" s="1"/>
  <c r="AB11" i="46"/>
  <c r="AB13" i="46" s="1"/>
  <c r="T10" i="1"/>
  <c r="T11" i="1"/>
  <c r="T13" i="1"/>
  <c r="T8" i="1"/>
  <c r="T12" i="1"/>
  <c r="T9" i="1"/>
  <c r="T7" i="1"/>
  <c r="M27" i="6"/>
  <c r="I19" i="6"/>
  <c r="O46" i="36"/>
  <c r="J7" i="36" s="1"/>
  <c r="F7" i="36"/>
  <c r="H7" i="36"/>
  <c r="J65" i="40"/>
  <c r="I67" i="40"/>
  <c r="J70" i="39"/>
  <c r="I72" i="39"/>
  <c r="B3" i="67"/>
  <c r="B4" i="67"/>
  <c r="C16" i="44"/>
  <c r="C14" i="15"/>
  <c r="I105" i="46" l="1"/>
  <c r="I103" i="46"/>
  <c r="I102" i="46"/>
  <c r="I109" i="46"/>
  <c r="I104" i="46"/>
  <c r="I106" i="46"/>
  <c r="I107" i="46"/>
  <c r="H105" i="46"/>
  <c r="H109" i="46"/>
  <c r="H107" i="46"/>
  <c r="H103" i="46"/>
  <c r="H104" i="46"/>
  <c r="H106" i="46"/>
  <c r="H102" i="46"/>
  <c r="D22" i="46"/>
  <c r="C21" i="46" s="1"/>
  <c r="C29" i="46" s="1"/>
  <c r="J104" i="46"/>
  <c r="J109" i="46"/>
  <c r="J106" i="46"/>
  <c r="J105" i="46"/>
  <c r="J103" i="46"/>
  <c r="J107" i="46"/>
  <c r="J102" i="46"/>
  <c r="D109" i="46"/>
  <c r="D103" i="46"/>
  <c r="D106" i="46"/>
  <c r="D104" i="46"/>
  <c r="D102" i="46"/>
  <c r="D107" i="46"/>
  <c r="D105" i="46"/>
  <c r="K103" i="46"/>
  <c r="K107" i="46"/>
  <c r="K104" i="46"/>
  <c r="K102" i="46"/>
  <c r="K106" i="46"/>
  <c r="K109" i="46"/>
  <c r="K105" i="46"/>
  <c r="G103" i="46"/>
  <c r="G106" i="46"/>
  <c r="G107" i="46"/>
  <c r="G104" i="46"/>
  <c r="G109" i="46"/>
  <c r="G102" i="46"/>
  <c r="G105" i="46"/>
  <c r="E104" i="46"/>
  <c r="E106" i="46"/>
  <c r="E107" i="46"/>
  <c r="E103" i="46"/>
  <c r="E102" i="46"/>
  <c r="E109" i="46"/>
  <c r="E105" i="46"/>
  <c r="C109" i="46"/>
  <c r="C107" i="46"/>
  <c r="C106" i="46"/>
  <c r="C104" i="46"/>
  <c r="C102" i="46"/>
  <c r="C105" i="46"/>
  <c r="C103" i="46"/>
  <c r="M107" i="46"/>
  <c r="M105" i="46"/>
  <c r="M106" i="46"/>
  <c r="M103" i="46"/>
  <c r="M104" i="46"/>
  <c r="M102" i="46"/>
  <c r="M109" i="46"/>
  <c r="F109" i="46"/>
  <c r="F103" i="46"/>
  <c r="F106" i="46"/>
  <c r="F105" i="46"/>
  <c r="F102" i="46"/>
  <c r="F107" i="46"/>
  <c r="F104" i="46"/>
  <c r="N107" i="46"/>
  <c r="N102" i="46"/>
  <c r="N105" i="46"/>
  <c r="N106" i="46"/>
  <c r="N104" i="46"/>
  <c r="N109" i="46"/>
  <c r="N103" i="46"/>
  <c r="L105" i="46"/>
  <c r="L109" i="46"/>
  <c r="L107" i="46"/>
  <c r="L106" i="46"/>
  <c r="L102" i="46"/>
  <c r="L104" i="46"/>
  <c r="L103" i="46"/>
  <c r="I115" i="46"/>
  <c r="J115" i="46" s="1"/>
  <c r="K115" i="46" s="1"/>
  <c r="L115" i="46" s="1"/>
  <c r="M115" i="46" s="1"/>
  <c r="D116" i="46"/>
  <c r="E116" i="46" s="1"/>
  <c r="F116" i="46" s="1"/>
  <c r="G116" i="46" s="1"/>
  <c r="H116" i="46" s="1"/>
  <c r="D115" i="46"/>
  <c r="E115" i="46" s="1"/>
  <c r="F115" i="46" s="1"/>
  <c r="G115" i="46" s="1"/>
  <c r="H115" i="46" s="1"/>
  <c r="D117" i="46"/>
  <c r="E117" i="46" s="1"/>
  <c r="F117" i="46" s="1"/>
  <c r="G117" i="46" s="1"/>
  <c r="H117" i="46" s="1"/>
  <c r="I117" i="46"/>
  <c r="J117" i="46" s="1"/>
  <c r="K117" i="46" s="1"/>
  <c r="L117" i="46" s="1"/>
  <c r="M117" i="46" s="1"/>
  <c r="B116" i="46"/>
  <c r="C116" i="46" s="1"/>
  <c r="B118" i="46"/>
  <c r="C118" i="46" s="1"/>
  <c r="I116" i="46"/>
  <c r="J116" i="46" s="1"/>
  <c r="K116" i="46" s="1"/>
  <c r="L116" i="46" s="1"/>
  <c r="M116" i="46" s="1"/>
  <c r="G118" i="46"/>
  <c r="H118" i="46" s="1"/>
  <c r="I118" i="46"/>
  <c r="J118" i="46" s="1"/>
  <c r="K118" i="46" s="1"/>
  <c r="L118" i="46" s="1"/>
  <c r="M118" i="46" s="1"/>
  <c r="B117" i="46"/>
  <c r="C117" i="46" s="1"/>
  <c r="D118" i="46"/>
  <c r="E118" i="46" s="1"/>
  <c r="F118" i="46" s="1"/>
  <c r="B115" i="46"/>
  <c r="C15" i="15"/>
  <c r="C18" i="15"/>
  <c r="C17" i="44"/>
  <c r="C20" i="44"/>
  <c r="T16" i="1"/>
  <c r="I27" i="6"/>
  <c r="H19" i="6"/>
  <c r="S19" i="6"/>
  <c r="S27" i="6" s="1"/>
  <c r="K70" i="39"/>
  <c r="J72" i="39"/>
  <c r="U7" i="36"/>
  <c r="AB7" i="36"/>
  <c r="T36" i="36" s="1"/>
  <c r="G36" i="36" s="1"/>
  <c r="AC7" i="36"/>
  <c r="V36" i="36" s="1"/>
  <c r="I36" i="36" s="1"/>
  <c r="W7" i="36"/>
  <c r="J67" i="40"/>
  <c r="K65" i="40"/>
  <c r="S7" i="36"/>
  <c r="AA7" i="36"/>
  <c r="R36" i="36" s="1"/>
  <c r="S5" i="46" l="1"/>
  <c r="T5" i="46" s="1"/>
  <c r="V5" i="46" s="1"/>
  <c r="S6" i="46"/>
  <c r="T6" i="46" s="1"/>
  <c r="V6" i="46" s="1"/>
  <c r="S2" i="46"/>
  <c r="T2" i="46" s="1"/>
  <c r="V2" i="46" s="1"/>
  <c r="S7" i="46"/>
  <c r="T7" i="46" s="1"/>
  <c r="V7" i="46" s="1"/>
  <c r="C23" i="46"/>
  <c r="S3" i="46"/>
  <c r="T3" i="46" s="1"/>
  <c r="V3" i="46" s="1"/>
  <c r="S4" i="46"/>
  <c r="T4" i="46" s="1"/>
  <c r="V4" i="46" s="1"/>
  <c r="C115" i="46"/>
  <c r="D113" i="46" s="1"/>
  <c r="E29" i="46"/>
  <c r="C26" i="46" s="1"/>
  <c r="B2" i="46" s="1"/>
  <c r="C30" i="46"/>
  <c r="E30" i="46" s="1"/>
  <c r="C27" i="46" s="1"/>
  <c r="C21" i="44"/>
  <c r="C19" i="15"/>
  <c r="H27" i="6"/>
  <c r="R19" i="6"/>
  <c r="R37" i="36"/>
  <c r="E36" i="36"/>
  <c r="K67" i="40"/>
  <c r="L65" i="40"/>
  <c r="G41" i="36"/>
  <c r="H41" i="36" s="1"/>
  <c r="G40" i="36"/>
  <c r="H40" i="36" s="1"/>
  <c r="I40" i="36"/>
  <c r="J40" i="36" s="1"/>
  <c r="I41" i="36"/>
  <c r="J41" i="36" s="1"/>
  <c r="L70" i="39"/>
  <c r="K72" i="39"/>
  <c r="C19" i="9"/>
  <c r="L43" i="9" l="1"/>
  <c r="B4" i="46"/>
  <c r="D4" i="46"/>
  <c r="B3" i="46"/>
  <c r="C22" i="44"/>
  <c r="C28" i="44" s="1"/>
  <c r="C20" i="15"/>
  <c r="C26" i="15" s="1"/>
  <c r="R27" i="6"/>
  <c r="R6" i="1"/>
  <c r="R16" i="1" s="1"/>
  <c r="L72" i="39"/>
  <c r="M70" i="39"/>
  <c r="M65" i="40"/>
  <c r="L67" i="40"/>
  <c r="E40" i="36"/>
  <c r="F40" i="36" s="1"/>
  <c r="E41" i="36"/>
  <c r="F41" i="36" s="1"/>
  <c r="C37" i="36"/>
  <c r="B3" i="36" s="1"/>
  <c r="B2" i="36" s="1"/>
  <c r="C36" i="36"/>
  <c r="C20" i="9"/>
  <c r="C21" i="9"/>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D19" i="9"/>
  <c r="L44" i="9" l="1"/>
  <c r="G19" i="9"/>
  <c r="D22" i="9"/>
  <c r="B5" i="39"/>
  <c r="B4" i="39"/>
  <c r="B3" i="39"/>
  <c r="F21" i="43"/>
  <c r="F26" i="12"/>
  <c r="F26" i="44"/>
  <c r="F24" i="15"/>
  <c r="D20" i="9"/>
  <c r="D21" i="9"/>
  <c r="G21" i="9" l="1"/>
  <c r="G20" i="9"/>
  <c r="N43" i="9"/>
  <c r="C32" i="9"/>
  <c r="G22" i="9"/>
  <c r="C24" i="15"/>
  <c r="C23" i="15"/>
  <c r="C27" i="12"/>
  <c r="D26" i="12" s="1"/>
  <c r="C32" i="12" s="1"/>
  <c r="D30" i="12" s="1"/>
  <c r="C28" i="12"/>
  <c r="C26" i="12" s="1"/>
  <c r="C31" i="12" s="1"/>
  <c r="C30" i="12" s="1"/>
  <c r="C26" i="44"/>
  <c r="C25" i="44"/>
  <c r="C23" i="43"/>
  <c r="D21" i="43" s="1"/>
  <c r="C22" i="43"/>
  <c r="C21" i="43" s="1"/>
  <c r="O43" i="9" l="1"/>
  <c r="C42" i="9"/>
  <c r="C34" i="9"/>
  <c r="C33" i="9"/>
  <c r="C35" i="9"/>
  <c r="F42" i="9" s="1"/>
  <c r="O38" i="9"/>
  <c r="C28" i="43"/>
  <c r="C30" i="43" s="1"/>
  <c r="C32" i="43" s="1"/>
  <c r="B2" i="43" s="1"/>
  <c r="B5" i="43" s="1"/>
  <c r="C31" i="44"/>
  <c r="Q51" i="44" s="1"/>
  <c r="C36" i="12"/>
  <c r="B2" i="12" s="1"/>
  <c r="B3" i="12" s="1"/>
  <c r="C29" i="15"/>
  <c r="C13" i="15" s="1"/>
  <c r="K25" i="9" l="1"/>
  <c r="K26" i="9"/>
  <c r="D42" i="9"/>
  <c r="Q5" i="54" s="1"/>
  <c r="B47" i="63" s="1"/>
  <c r="N38" i="9"/>
  <c r="K28" i="9" s="1"/>
  <c r="C44" i="9"/>
  <c r="N68" i="9"/>
  <c r="R5" i="54"/>
  <c r="B48" i="63" s="1"/>
  <c r="D63" i="9"/>
  <c r="D14" i="66"/>
  <c r="M38" i="9"/>
  <c r="K27" i="9" s="1"/>
  <c r="E42" i="9"/>
  <c r="P5" i="54" s="1"/>
  <c r="B46" i="6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C111" i="9" l="1"/>
  <c r="C104" i="9" s="1"/>
  <c r="C82" i="9"/>
  <c r="C81" i="9" s="1"/>
  <c r="C85" i="9" s="1"/>
  <c r="C86" i="9" s="1"/>
  <c r="D72" i="9" s="1"/>
  <c r="D70" i="9"/>
  <c r="D71" i="9"/>
  <c r="D66" i="9" s="1"/>
  <c r="N72" i="9" s="1"/>
  <c r="D73" i="9"/>
  <c r="N73" i="9" s="1"/>
  <c r="C96" i="9"/>
  <c r="C91" i="9" s="1"/>
  <c r="C103" i="9"/>
  <c r="C90" i="9"/>
  <c r="E14" i="66"/>
  <c r="F14" i="66"/>
  <c r="D44" i="9"/>
  <c r="E44" i="9"/>
  <c r="N69" i="9"/>
  <c r="O39" i="9"/>
  <c r="F44" i="9"/>
  <c r="G14" i="66"/>
  <c r="C30" i="15"/>
  <c r="C39" i="15" s="1"/>
  <c r="Q70" i="15" s="1"/>
  <c r="Q69" i="15" s="1"/>
  <c r="C63" i="15"/>
  <c r="C57" i="15" s="1"/>
  <c r="C66" i="15" s="1"/>
  <c r="C67" i="15" s="1"/>
  <c r="C70" i="15" s="1"/>
  <c r="C39" i="44"/>
  <c r="C32" i="44" s="1"/>
  <c r="C42" i="44" s="1"/>
  <c r="L46" i="15"/>
  <c r="C43" i="44"/>
  <c r="J15" i="44"/>
  <c r="J25" i="44" s="1"/>
  <c r="J18" i="44" s="1"/>
  <c r="J27" i="44" s="1"/>
  <c r="J16" i="15"/>
  <c r="J25" i="15" s="1"/>
  <c r="L51" i="15"/>
  <c r="C97" i="9" l="1"/>
  <c r="C98" i="9" s="1"/>
  <c r="E98" i="9" s="1"/>
  <c r="E99" i="9" s="1"/>
  <c r="C113" i="9"/>
  <c r="C114" i="9" s="1"/>
  <c r="E114" i="9" s="1"/>
  <c r="E115" i="9" s="1"/>
  <c r="M86" i="9"/>
  <c r="N86" i="9" s="1"/>
  <c r="M88" i="9"/>
  <c r="N88" i="9" s="1"/>
  <c r="M85" i="9"/>
  <c r="N85" i="9" s="1"/>
  <c r="M84" i="9"/>
  <c r="N84" i="9" s="1"/>
  <c r="M87" i="9"/>
  <c r="N87" i="9" s="1"/>
  <c r="M83" i="9"/>
  <c r="N83" i="9" s="1"/>
  <c r="R6" i="54"/>
  <c r="B50" i="63" s="1"/>
  <c r="K29" i="9"/>
  <c r="K30" i="9" s="1"/>
  <c r="C40" i="15"/>
  <c r="Q57" i="15" s="1"/>
  <c r="J39" i="15"/>
  <c r="J40" i="15" s="1"/>
  <c r="Q68" i="15"/>
  <c r="L57" i="15"/>
  <c r="L60" i="15" s="1"/>
  <c r="Q58" i="15" s="1"/>
  <c r="C44" i="44"/>
  <c r="C45" i="44" s="1"/>
  <c r="B2" i="44" s="1"/>
  <c r="Q71" i="44"/>
  <c r="Q70" i="44" s="1"/>
  <c r="C46" i="15" l="1"/>
  <c r="C115" i="9"/>
  <c r="D76" i="9" s="1"/>
  <c r="D74" i="9" s="1"/>
  <c r="N74" i="9" s="1"/>
  <c r="O77" i="9" s="1"/>
  <c r="Q77" i="9" s="1"/>
  <c r="N89" i="9"/>
  <c r="O89" i="9" s="1"/>
  <c r="C99" i="9"/>
  <c r="Q66" i="15"/>
  <c r="J42" i="15"/>
  <c r="J43" i="15" s="1"/>
  <c r="B2" i="15"/>
  <c r="B3" i="15" s="1"/>
  <c r="C43" i="15"/>
  <c r="Q48" i="15"/>
  <c r="Q54" i="15" s="1"/>
  <c r="Q67" i="15"/>
  <c r="L52" i="44"/>
  <c r="L58" i="44" s="1"/>
  <c r="L61" i="44" s="1"/>
  <c r="Q63" i="15"/>
  <c r="B3" i="44"/>
  <c r="B5" i="44"/>
  <c r="B4" i="44"/>
  <c r="O78" i="9" l="1"/>
  <c r="O79" i="9"/>
  <c r="O81" i="9" s="1"/>
  <c r="Q76" i="15"/>
  <c r="Q69" i="44"/>
  <c r="Q59" i="44"/>
  <c r="Q64" i="44" s="1"/>
  <c r="Q68" i="44"/>
  <c r="Q77" i="44" s="1"/>
  <c r="O80" i="9" l="1"/>
  <c r="D15" i="66" l="1"/>
  <c r="G15" i="66" s="1"/>
  <c r="B6" i="66" s="1"/>
  <c r="D6" i="66" l="1"/>
  <c r="C6" i="66"/>
  <c r="F15" i="66"/>
  <c r="E15" i="66"/>
  <c r="B5" i="66"/>
  <c r="C5" i="66" l="1"/>
  <c r="D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<sst xmlns="http://schemas.openxmlformats.org/spreadsheetml/2006/main" count="6992" uniqueCount="3092">
  <si>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</si>
  <si>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</si>
  <si>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</si>
  <si>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</si>
  <si>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</si>
  <si>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</si>
  <si>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</si>
  <si>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</si>
  <si>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</si>
  <si>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</si>
  <si>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</si>
  <si>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</si>
  <si>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</si>
  <si>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</si>
  <si>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</si>
  <si>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</si>
  <si>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</si>
  <si>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</si>
  <si>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</si>
  <si>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</si>
  <si>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</si>
  <si>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</si>
  <si>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</si>
  <si>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</si>
  <si>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</si>
  <si>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</si>
  <si>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</si>
  <si>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</si>
  <si>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</si>
  <si>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</si>
  <si>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</si>
  <si>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</si>
  <si>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</si>
  <si>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</si>
  <si>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</si>
  <si>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</si>
  <si>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</si>
  <si>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</si>
  <si>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</si>
  <si>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</si>
  <si>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</si>
  <si>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</si>
  <si>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</si>
  <si>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</si>
  <si>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</si>
  <si>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</si>
  <si>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</si>
  <si>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</si>
  <si>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</si>
  <si>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</si>
  <si>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</si>
  <si>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</si>
  <si>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</si>
  <si>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</si>
  <si>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</si>
  <si>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</si>
  <si>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</si>
  <si>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</si>
  <si>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</si>
  <si>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</si>
  <si>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</si>
  <si>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</si>
  <si>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</si>
  <si>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</si>
  <si>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</si>
  <si>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</si>
  <si>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</si>
  <si>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</si>
  <si>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</si>
  <si>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</si>
  <si>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</si>
  <si>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</si>
  <si>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</si>
  <si>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</si>
  <si>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</si>
  <si>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</si>
  <si>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</si>
  <si>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</si>
  <si>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</si>
  <si>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</si>
  <si>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</si>
  <si>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</si>
  <si>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</si>
  <si>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</si>
  <si>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</si>
  <si>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</si>
  <si>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</si>
  <si>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</si>
  <si>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</si>
  <si>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</si>
  <si>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</si>
  <si>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</si>
  <si>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</si>
  <si>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</si>
  <si>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</si>
  <si>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</si>
  <si>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</si>
  <si>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</si>
  <si>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</si>
  <si>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</si>
  <si>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</si>
  <si>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</si>
  <si>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</si>
  <si>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</si>
  <si>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</si>
  <si>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</si>
  <si>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</si>
  <si>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</si>
  <si>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</si>
  <si>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</si>
  <si>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</si>
  <si>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</si>
  <si>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</si>
  <si>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</si>
  <si>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</si>
  <si>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</si>
  <si>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</si>
  <si>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</si>
  <si>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</si>
  <si>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</si>
  <si>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</si>
  <si>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</si>
  <si>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</si>
  <si>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</si>
  <si>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</si>
  <si>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</si>
  <si>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</si>
  <si>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</si>
  <si>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</si>
  <si>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</si>
  <si>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</si>
  <si>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</si>
  <si>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</si>
  <si>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</si>
  <si>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</si>
  <si>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</si>
  <si>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</si>
  <si>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</si>
  <si>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</si>
  <si>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</si>
  <si>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</si>
  <si>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</si>
  <si>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</si>
  <si>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</si>
  <si>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</si>
  <si>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</si>
  <si>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</si>
  <si>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</si>
  <si>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</si>
  <si>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</si>
  <si>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</si>
  <si>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</si>
  <si>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</si>
  <si>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</si>
  <si>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</si>
  <si>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</si>
  <si>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</si>
  <si>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</si>
  <si>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</si>
  <si>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</si>
  <si>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</si>
  <si>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</si>
  <si>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</si>
  <si>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</si>
  <si>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</si>
  <si>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</si>
  <si>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</si>
  <si>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</si>
  <si>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</si>
  <si>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</si>
  <si>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</si>
  <si>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</si>
  <si>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</si>
  <si>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</si>
  <si>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</si>
  <si>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</si>
  <si>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</si>
  <si>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</si>
  <si>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</si>
  <si>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</si>
  <si>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</si>
  <si>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</si>
  <si>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</si>
  <si>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</si>
  <si>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</si>
  <si>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</si>
  <si>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</si>
  <si>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</si>
  <si>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</si>
  <si>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</si>
  <si>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</si>
  <si>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</si>
  <si>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</si>
  <si>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</si>
  <si>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</si>
  <si>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</si>
  <si>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</si>
  <si>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</si>
  <si>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</si>
  <si>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</si>
  <si>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</si>
  <si>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</si>
  <si>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</si>
  <si>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</si>
  <si>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</si>
  <si>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</si>
  <si>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</si>
  <si>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</si>
  <si>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</si>
  <si>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</si>
  <si>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</si>
  <si>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</si>
  <si>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</si>
  <si>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</si>
  <si>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</si>
  <si>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</si>
  <si>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</si>
  <si>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</si>
  <si>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</si>
  <si>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</si>
  <si>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</si>
  <si>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</si>
  <si>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</si>
  <si>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</si>
  <si>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</si>
  <si>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</si>
  <si>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</si>
  <si>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</si>
  <si>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</si>
  <si>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</si>
  <si>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</si>
  <si>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</si>
  <si>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</si>
  <si>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</si>
  <si>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</si>
  <si>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</si>
  <si>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</si>
  <si>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</si>
  <si>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</si>
  <si>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</si>
  <si>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</si>
  <si>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</si>
  <si>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</si>
  <si>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</si>
  <si>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</si>
  <si>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</si>
  <si>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</si>
  <si>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</si>
  <si>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</si>
  <si>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</si>
  <si>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</si>
  <si>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</si>
  <si>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</si>
  <si>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</si>
  <si>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</si>
  <si>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</si>
  <si>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</si>
  <si>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</si>
  <si>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</si>
  <si>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</si>
  <si>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</si>
  <si>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</si>
  <si>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</si>
  <si>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</si>
  <si>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</si>
  <si>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</si>
  <si>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</si>
  <si>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</si>
  <si>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</si>
  <si>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</si>
  <si>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</si>
  <si>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</si>
  <si>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</si>
  <si>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</si>
  <si>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</si>
  <si>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</si>
  <si>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</si>
  <si>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</si>
  <si>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</si>
  <si>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</si>
  <si>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</si>
  <si>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</si>
  <si>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</si>
  <si>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</si>
  <si>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</si>
  <si>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</si>
  <si>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</si>
  <si>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</si>
  <si>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</si>
  <si>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</si>
  <si>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</si>
  <si>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</si>
  <si>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</si>
  <si>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</si>
  <si>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</si>
  <si>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</si>
  <si>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</si>
  <si>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</si>
  <si>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</si>
  <si>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</si>
  <si>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</si>
  <si>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</si>
  <si>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</si>
  <si>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</si>
  <si>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</si>
  <si>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</si>
  <si>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</si>
  <si>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</si>
  <si>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</si>
  <si>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</si>
  <si>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</si>
  <si>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</si>
  <si>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</si>
  <si>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</si>
  <si>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</si>
  <si>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</si>
  <si>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</si>
  <si>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</si>
  <si>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</si>
  <si>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</si>
  <si>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</si>
  <si>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</si>
  <si>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</si>
  <si>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</si>
  <si>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</si>
  <si>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</si>
  <si>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</si>
  <si>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</si>
  <si>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</si>
  <si>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</si>
  <si>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</si>
  <si>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</si>
  <si>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</si>
  <si>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</si>
  <si>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</si>
  <si>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</si>
  <si>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</si>
  <si>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</si>
  <si>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</si>
  <si>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</si>
  <si>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</si>
  <si>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</si>
  <si>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</si>
  <si>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</si>
  <si>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</si>
  <si>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</si>
  <si>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</si>
  <si>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</si>
  <si>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</si>
  <si>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</si>
  <si>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</si>
  <si>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</si>
  <si>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</si>
  <si>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</si>
  <si>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</si>
  <si>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</si>
  <si>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</si>
  <si>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</si>
  <si>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</si>
  <si>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</si>
  <si>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</si>
  <si>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</si>
  <si>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</si>
  <si>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</si>
  <si>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</si>
  <si>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</si>
  <si>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</si>
  <si>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</si>
  <si>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</si>
  <si>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</si>
  <si>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</si>
  <si>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</si>
  <si>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</si>
  <si>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</si>
  <si>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</si>
  <si>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</si>
  <si>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</si>
  <si>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</si>
  <si>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</si>
  <si>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</si>
  <si>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</si>
  <si>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</si>
  <si>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</si>
  <si>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</si>
  <si>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</si>
  <si>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</si>
  <si>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</si>
  <si>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</si>
  <si>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</si>
  <si>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</si>
  <si>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</si>
  <si>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</si>
  <si>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</si>
  <si>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</si>
  <si>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</si>
  <si>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</si>
  <si>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</si>
  <si>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</si>
  <si>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</si>
  <si>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</si>
  <si>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</si>
  <si>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</si>
  <si>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</si>
  <si>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</si>
  <si>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</si>
  <si>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</si>
  <si>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</si>
  <si>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</si>
  <si>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</si>
  <si>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</si>
  <si>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</si>
  <si>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</si>
  <si>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</si>
  <si>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</si>
  <si>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</si>
  <si>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</si>
  <si>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</si>
  <si>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</si>
  <si>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</si>
  <si>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</si>
  <si>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</si>
  <si>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</si>
  <si>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</si>
  <si>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</si>
  <si>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</si>
  <si>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</si>
  <si>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</si>
  <si>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</si>
  <si>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</si>
  <si>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</si>
  <si>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</si>
  <si>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</si>
  <si>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</si>
  <si>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</si>
  <si>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</si>
  <si>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</si>
  <si>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</si>
  <si>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</si>
  <si>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</si>
  <si>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</si>
  <si>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</si>
  <si>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</si>
  <si>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</si>
  <si>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</si>
  <si>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</si>
  <si>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</si>
  <si>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</si>
  <si>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</si>
  <si>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</si>
  <si>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</si>
  <si>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</si>
  <si>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</si>
  <si>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</si>
  <si>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</si>
  <si>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</si>
  <si>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</si>
  <si>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</si>
  <si>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</si>
  <si>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</si>
  <si>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</si>
  <si>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</si>
  <si>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</si>
  <si>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</si>
  <si>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</si>
  <si>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</si>
  <si>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</si>
  <si>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</si>
  <si>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</si>
  <si>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</si>
  <si>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</si>
  <si>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</si>
  <si>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</si>
  <si>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</si>
  <si>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</si>
  <si>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</si>
  <si>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</si>
  <si>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</si>
  <si>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</si>
  <si>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</si>
  <si>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</si>
  <si>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</si>
  <si>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</si>
  <si>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</si>
  <si>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</si>
  <si>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</si>
  <si>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</si>
  <si>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</si>
  <si>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</si>
  <si>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</si>
  <si>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</si>
  <si>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</si>
  <si>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</si>
  <si>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</si>
  <si>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</si>
  <si>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</si>
  <si>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</si>
  <si>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</si>
  <si>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</si>
  <si>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</si>
  <si>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</si>
  <si>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</si>
  <si>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</si>
  <si>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</si>
  <si>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</si>
  <si>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</si>
  <si>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</si>
  <si>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</si>
  <si>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</si>
  <si>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</si>
  <si>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</si>
  <si>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</si>
  <si>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</si>
  <si>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</si>
  <si>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</si>
  <si>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</si>
  <si>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</si>
  <si>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</si>
  <si>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</si>
  <si>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</si>
  <si>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</si>
  <si>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</si>
  <si>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</si>
  <si>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</si>
  <si>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</si>
  <si>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</si>
  <si>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</si>
  <si>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</si>
  <si>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</si>
  <si>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</si>
  <si>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</si>
  <si>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</si>
  <si>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</si>
  <si>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</si>
  <si>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</si>
  <si>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</si>
  <si>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</si>
  <si>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</si>
  <si>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</si>
  <si>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</si>
  <si>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</si>
  <si>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</si>
  <si>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</si>
  <si>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</si>
  <si>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</si>
  <si>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</si>
  <si>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</si>
  <si>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</si>
  <si>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</si>
  <si>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</si>
  <si>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</si>
  <si>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</si>
  <si>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</si>
  <si>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</si>
  <si>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</si>
  <si>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</si>
  <si>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</si>
  <si>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</si>
  <si>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</si>
  <si>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</si>
  <si>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</si>
  <si>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</si>
  <si>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</si>
  <si>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</si>
  <si>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</si>
  <si>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</si>
  <si>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</si>
  <si>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</si>
  <si>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</si>
  <si>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</si>
  <si>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</si>
  <si>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</si>
  <si>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</si>
  <si>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</si>
  <si>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</si>
  <si>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</si>
  <si>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</si>
  <si>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</si>
  <si>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</si>
  <si>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</si>
  <si>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</si>
  <si>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</si>
  <si>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</si>
  <si>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</si>
  <si>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</si>
  <si>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</si>
  <si>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</si>
  <si>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</si>
  <si>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</si>
  <si>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</si>
  <si>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</si>
  <si>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</si>
  <si>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</si>
  <si>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</si>
  <si>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</si>
  <si>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</si>
  <si>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</si>
  <si>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</si>
  <si>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</si>
  <si>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</si>
  <si>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</si>
  <si>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</si>
  <si>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</si>
  <si>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</si>
  <si>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</si>
  <si>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</si>
  <si>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</si>
  <si>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</si>
  <si>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</si>
  <si>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</si>
  <si>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</si>
  <si>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</si>
  <si>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</si>
  <si>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</si>
  <si>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</si>
  <si>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</si>
  <si>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</si>
  <si>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</si>
  <si>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</si>
  <si>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</si>
  <si>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</si>
  <si>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</si>
  <si>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</si>
  <si>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</si>
  <si>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</si>
  <si>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</si>
  <si>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</si>
  <si>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</si>
  <si>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</si>
  <si>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</si>
  <si>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</si>
  <si>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</si>
  <si>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</si>
  <si>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</si>
  <si>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</si>
  <si>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</si>
  <si>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</si>
  <si>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</si>
  <si>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</si>
  <si>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</si>
  <si>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</si>
  <si>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</si>
  <si>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</si>
  <si>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</si>
  <si>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</si>
  <si>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</si>
  <si>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</si>
  <si>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</si>
  <si>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</si>
  <si>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</si>
  <si>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</si>
  <si>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</si>
  <si>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</si>
  <si>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</si>
  <si>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</si>
  <si>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</si>
  <si>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</si>
  <si>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</si>
  <si>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</si>
  <si>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</si>
  <si>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</si>
  <si>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</si>
  <si>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</si>
  <si>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</si>
  <si>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</si>
  <si>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</si>
  <si>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</si>
  <si>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</si>
  <si>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</si>
  <si>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</si>
  <si>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</si>
  <si>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</si>
  <si>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</si>
  <si>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</si>
  <si>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</si>
  <si>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</si>
  <si>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</si>
  <si>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</si>
  <si>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</si>
  <si>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</si>
  <si>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</si>
  <si>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</si>
  <si>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</si>
  <si>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</si>
  <si>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</si>
  <si>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</si>
  <si>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</si>
  <si>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</si>
  <si>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</si>
  <si>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</si>
  <si>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</si>
  <si>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</si>
  <si>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</si>
  <si>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</si>
  <si>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</si>
  <si>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</si>
  <si>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</si>
  <si>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</si>
  <si>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</si>
  <si>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</si>
  <si>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</si>
  <si>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</si>
  <si>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</si>
  <si>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</si>
  <si>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</si>
  <si>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</si>
  <si>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</si>
  <si>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</si>
  <si>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</si>
  <si>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</si>
  <si>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</si>
  <si>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</si>
  <si>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</si>
  <si>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</si>
  <si>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</si>
  <si>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</si>
  <si>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</si>
  <si>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</si>
  <si>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</si>
  <si>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</si>
  <si>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</si>
  <si>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</si>
  <si>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</si>
  <si>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</si>
  <si>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</si>
  <si>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</si>
  <si>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</si>
  <si>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</si>
  <si>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</si>
  <si>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</si>
  <si>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</si>
  <si>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</si>
  <si>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</si>
  <si>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</si>
  <si>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</si>
  <si>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</si>
  <si>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</si>
  <si>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</si>
  <si>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</si>
  <si>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</si>
  <si>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</si>
  <si>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</si>
  <si>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</si>
  <si>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</si>
  <si>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</si>
  <si>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</si>
  <si>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</si>
  <si>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</si>
  <si>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</si>
  <si>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</si>
  <si>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</si>
  <si>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</si>
  <si>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</si>
  <si>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</si>
  <si>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</si>
  <si>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</si>
  <si>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</si>
  <si>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</si>
  <si>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</si>
  <si>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</si>
  <si>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</si>
  <si>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</si>
  <si>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</si>
  <si>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</si>
  <si>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</si>
  <si>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</si>
  <si>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</si>
  <si>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</si>
  <si>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</si>
  <si>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</si>
  <si>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</si>
  <si>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</si>
  <si>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</si>
  <si>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</si>
  <si>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</si>
  <si>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</si>
  <si>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</si>
  <si>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</si>
  <si>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</si>
  <si>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</si>
  <si>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</si>
  <si>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</si>
  <si>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</si>
  <si>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</si>
  <si>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</si>
  <si>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</si>
  <si>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</si>
  <si>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</si>
  <si>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</si>
  <si>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</si>
  <si>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</si>
  <si>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</si>
  <si>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</si>
  <si>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</si>
  <si>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</si>
  <si>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</si>
  <si>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</si>
  <si>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</si>
  <si>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</si>
  <si>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</si>
  <si>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</si>
  <si>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</si>
  <si>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</si>
  <si>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</si>
  <si>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</si>
  <si>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</si>
  <si>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</si>
  <si>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</si>
  <si>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</si>
  <si>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</si>
  <si>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</si>
  <si>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</si>
  <si>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</si>
  <si>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</si>
  <si>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</si>
  <si>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</si>
  <si>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</si>
  <si>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</si>
  <si>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</si>
  <si>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</si>
  <si>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</si>
  <si>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</si>
  <si>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</si>
  <si>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</si>
  <si>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</si>
  <si>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</si>
  <si>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</si>
  <si>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</si>
  <si>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</si>
  <si>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</si>
  <si>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</si>
  <si>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</si>
  <si>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</si>
  <si>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</si>
  <si>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</si>
  <si>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</si>
  <si>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</si>
  <si>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</si>
  <si>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</si>
  <si>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</si>
  <si>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</si>
  <si>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</si>
  <si>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</si>
  <si>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</si>
  <si>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</si>
  <si>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</si>
  <si>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</si>
  <si>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</si>
  <si>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</si>
  <si>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</si>
  <si>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</si>
  <si>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</si>
  <si>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</si>
  <si>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</si>
  <si>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</si>
  <si>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</si>
  <si>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</si>
  <si>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</si>
  <si>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</si>
  <si>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</si>
  <si>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</si>
  <si>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</si>
  <si>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</si>
  <si>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</si>
  <si>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</si>
  <si>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</si>
  <si>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</si>
  <si>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</si>
  <si>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</si>
  <si>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</si>
  <si>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</si>
  <si>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</si>
  <si>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</si>
  <si>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</si>
  <si>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</si>
  <si>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</si>
  <si>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</si>
  <si>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</si>
  <si>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</si>
  <si>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</si>
  <si>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</si>
  <si>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</si>
  <si>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</si>
  <si>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</si>
  <si>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</si>
  <si>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</si>
  <si>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</si>
  <si>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</si>
  <si>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</si>
  <si>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</si>
  <si>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</si>
  <si>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</si>
  <si>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</si>
  <si>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</si>
  <si>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</si>
  <si>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</si>
  <si>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</si>
  <si>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</si>
  <si>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</si>
  <si>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</si>
  <si>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</si>
  <si>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</si>
  <si>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</si>
  <si>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</si>
  <si>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</si>
  <si>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</si>
  <si>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</si>
  <si>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</si>
  <si>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</si>
  <si>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</si>
  <si>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</si>
  <si>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</si>
  <si>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</si>
  <si>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</si>
  <si>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</si>
  <si>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</si>
  <si>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</si>
  <si>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</si>
  <si>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</si>
  <si>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</si>
  <si>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</si>
  <si>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</si>
  <si>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</si>
  <si>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</si>
  <si>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</si>
  <si>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</si>
  <si>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</si>
  <si>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</si>
  <si>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</si>
  <si>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</si>
  <si>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</si>
  <si>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</si>
  <si>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</si>
  <si>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</si>
  <si>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</si>
  <si>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</si>
  <si>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</si>
  <si>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</si>
  <si>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</si>
  <si>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</si>
  <si>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</si>
  <si>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</si>
  <si>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</si>
  <si>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</si>
  <si>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</si>
  <si>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</si>
  <si>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</si>
  <si>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</si>
  <si>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</si>
  <si>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</si>
  <si>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</si>
  <si>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</si>
  <si>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</si>
  <si>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</si>
  <si>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</si>
  <si>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</si>
  <si>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</si>
  <si>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</si>
  <si>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</si>
  <si>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</si>
  <si>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</si>
  <si>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</si>
  <si>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</si>
  <si>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</si>
  <si>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</si>
  <si>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</si>
  <si>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</si>
  <si>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</si>
  <si>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</si>
  <si>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</si>
  <si>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</si>
  <si>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</si>
  <si>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</si>
  <si>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</si>
  <si>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</si>
  <si>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</si>
  <si>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</si>
  <si>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</si>
  <si>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</si>
  <si>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</si>
  <si>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</si>
  <si>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</si>
  <si>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</si>
  <si>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</si>
  <si>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</si>
  <si>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</si>
  <si>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</si>
  <si>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</si>
  <si>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</si>
  <si>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</si>
  <si>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</si>
  <si>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</si>
  <si>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</si>
  <si>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</si>
  <si>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</si>
  <si>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</si>
  <si>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</si>
  <si>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</si>
  <si>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</si>
  <si>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</si>
  <si>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</si>
  <si>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</si>
  <si>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</si>
  <si>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</si>
  <si>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</si>
  <si>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</si>
  <si>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</si>
  <si>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</si>
  <si>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</si>
  <si>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</si>
  <si>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</si>
  <si>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</si>
  <si>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</si>
  <si>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</si>
  <si>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</si>
  <si>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</si>
  <si>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</si>
  <si>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</si>
  <si>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</si>
  <si>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</si>
  <si>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</si>
  <si>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</si>
  <si>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</si>
  <si>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</si>
  <si>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</si>
  <si>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</si>
  <si>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</si>
  <si>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</si>
  <si>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</si>
  <si>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</si>
  <si>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</si>
  <si>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</si>
  <si>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</si>
  <si>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</si>
  <si>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</si>
  <si>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</si>
  <si>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</si>
  <si>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</si>
  <si>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</si>
  <si>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</si>
  <si>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</si>
  <si>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</si>
  <si>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</si>
  <si>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</si>
  <si>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</si>
  <si>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</si>
  <si>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</si>
  <si>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</si>
  <si>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</si>
  <si>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</si>
  <si>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</si>
  <si>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</si>
  <si>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</si>
  <si>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</si>
  <si>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</si>
  <si>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</si>
  <si>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</si>
  <si>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</si>
  <si>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</si>
  <si>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</si>
  <si>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</si>
  <si>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</si>
  <si>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</si>
  <si>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</si>
  <si>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</si>
  <si>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</si>
  <si>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</si>
  <si>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</si>
  <si>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</si>
  <si>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</si>
  <si>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</si>
  <si>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</si>
  <si>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</si>
  <si>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</si>
  <si>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</si>
  <si>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</si>
  <si>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</si>
  <si>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</si>
  <si>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</si>
  <si>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</si>
  <si>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</si>
  <si>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</si>
  <si>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</si>
  <si>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</si>
  <si>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</si>
  <si>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</si>
  <si>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</si>
  <si>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</si>
  <si>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</si>
  <si>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</si>
  <si>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</si>
  <si>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</si>
  <si>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</si>
  <si>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</si>
  <si>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</si>
  <si>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</si>
  <si>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</si>
  <si>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</si>
  <si>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</si>
  <si>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</si>
  <si>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</si>
  <si>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</si>
  <si>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</si>
  <si>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</si>
  <si>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</si>
  <si>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</si>
  <si>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</si>
  <si>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</si>
  <si>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</si>
  <si>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</si>
  <si>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</si>
  <si>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</si>
  <si>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</si>
  <si>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</si>
  <si>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</si>
  <si>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</si>
  <si>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</si>
  <si>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</si>
  <si>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</si>
  <si>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</si>
  <si>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</si>
  <si>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</si>
  <si>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</si>
  <si>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</si>
  <si>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</si>
  <si>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</si>
  <si>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</si>
  <si>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</si>
  <si>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</si>
  <si>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</si>
  <si>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</si>
  <si>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</si>
  <si>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</si>
  <si>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</si>
  <si>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</si>
  <si>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</si>
  <si>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</si>
  <si>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</si>
  <si>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</si>
  <si>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</si>
  <si>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</si>
  <si>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</si>
  <si>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</si>
  <si>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</si>
  <si>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</si>
  <si>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</si>
  <si>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</si>
  <si>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</si>
  <si>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</si>
  <si>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</si>
  <si>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</si>
  <si>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</si>
  <si>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</si>
  <si>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</si>
  <si>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</si>
  <si>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</si>
  <si>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</si>
  <si>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</si>
  <si>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</si>
  <si>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</si>
  <si>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</si>
  <si>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</si>
  <si>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</si>
  <si>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</si>
  <si>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</si>
  <si>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</si>
  <si>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</si>
  <si>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</si>
  <si>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</si>
  <si>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</si>
  <si>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</si>
  <si>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</si>
  <si>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</si>
  <si>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</si>
  <si>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</si>
  <si>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</si>
  <si>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</si>
  <si>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</si>
  <si>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</si>
  <si>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</si>
  <si>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</si>
  <si>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</si>
  <si>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</si>
  <si>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</si>
  <si>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</si>
  <si>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</si>
  <si>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</si>
  <si>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</si>
  <si>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</si>
  <si>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</si>
  <si>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</si>
  <si>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</si>
  <si>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</si>
  <si>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</si>
  <si>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</si>
  <si>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</si>
  <si>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</si>
  <si>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</si>
  <si>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</si>
  <si>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</si>
  <si>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</si>
  <si>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</si>
  <si>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</si>
  <si>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</si>
  <si>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</si>
  <si>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</si>
  <si>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</si>
  <si>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</si>
  <si>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</si>
  <si>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</si>
  <si>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</si>
  <si>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</si>
  <si>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</si>
  <si>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</si>
  <si>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</si>
  <si>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</si>
  <si>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</si>
  <si>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</si>
  <si>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</si>
  <si>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</si>
  <si>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</si>
  <si>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</si>
  <si>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</si>
  <si>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</si>
  <si>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</si>
  <si>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</si>
  <si>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</si>
  <si>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</si>
  <si>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</si>
  <si>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</si>
  <si>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</si>
  <si>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</si>
  <si>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</si>
  <si>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</si>
  <si>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</si>
  <si>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</si>
  <si>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</si>
  <si>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</si>
  <si>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</si>
  <si>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</si>
  <si>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</si>
  <si>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</si>
  <si>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</si>
  <si>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</si>
  <si>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</si>
  <si>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</si>
  <si>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</si>
  <si>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</si>
  <si>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</si>
  <si>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</si>
  <si>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</si>
  <si>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</si>
  <si>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</si>
  <si>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</si>
  <si>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</si>
  <si>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</si>
  <si>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</si>
  <si>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</si>
  <si>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</si>
  <si>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</si>
  <si>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</si>
  <si>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</si>
  <si>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</si>
  <si>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</si>
  <si>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</si>
  <si>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</si>
  <si>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</si>
  <si>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</si>
  <si>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</si>
  <si>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</si>
  <si>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</si>
  <si>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</si>
  <si>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</si>
  <si>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</si>
  <si>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</si>
  <si>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</si>
  <si>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</si>
  <si>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</si>
  <si>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</si>
  <si>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</si>
  <si>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</si>
  <si>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</si>
  <si>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</si>
  <si>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</si>
  <si>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</si>
  <si>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</si>
  <si>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</si>
  <si>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</si>
  <si>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</si>
  <si>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</si>
  <si>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</si>
  <si>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</si>
  <si>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</si>
  <si>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</si>
  <si>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</si>
  <si>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</si>
  <si>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</si>
  <si>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</si>
  <si>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</si>
  <si>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</si>
  <si>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</si>
  <si>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</si>
  <si>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</si>
  <si>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</si>
  <si>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</si>
  <si>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</si>
  <si>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</si>
  <si>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</si>
  <si>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</si>
  <si>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</si>
  <si>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</si>
  <si>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</si>
  <si>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</si>
  <si>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</si>
  <si>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</si>
  <si>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</si>
  <si>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</si>
  <si>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</si>
  <si>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</si>
  <si>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</si>
  <si>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</si>
  <si>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</si>
  <si>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</si>
  <si>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</si>
  <si>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</si>
  <si>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</si>
  <si>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</si>
  <si>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</si>
  <si>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</si>
  <si>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</si>
  <si>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</si>
  <si>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</si>
  <si>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</si>
  <si>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</si>
  <si>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</si>
  <si>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</si>
  <si>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</si>
  <si>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</si>
  <si>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</si>
  <si>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</si>
  <si>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</si>
  <si>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</si>
  <si>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</si>
  <si>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</si>
  <si>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</si>
  <si>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</si>
  <si>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</si>
  <si>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</si>
  <si>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</si>
  <si>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</si>
  <si>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</si>
  <si>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</si>
  <si>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</si>
  <si>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</si>
  <si>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</si>
  <si>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</si>
  <si>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</si>
  <si>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</si>
  <si>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</si>
  <si>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</si>
  <si>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</si>
  <si>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</si>
  <si>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</si>
  <si>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</si>
  <si>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</si>
  <si>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</si>
  <si>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</si>
  <si>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</si>
  <si>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</si>
  <si>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</si>
  <si>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</si>
  <si>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</si>
  <si>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</si>
  <si>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</si>
  <si>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</si>
  <si>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</si>
  <si>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</si>
  <si>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</si>
  <si>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</si>
  <si>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</si>
  <si>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</si>
  <si>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</si>
  <si>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</si>
  <si>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</si>
  <si>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</si>
  <si>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</si>
  <si>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</si>
  <si>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</si>
  <si>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</si>
  <si>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</si>
  <si>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</si>
  <si>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</si>
  <si>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</si>
  <si>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</si>
  <si>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</si>
  <si>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</si>
  <si>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</si>
  <si>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</si>
  <si>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</si>
  <si>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</si>
  <si>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</si>
  <si>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</si>
  <si>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</si>
  <si>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</si>
  <si>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</si>
  <si>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</si>
  <si>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</si>
  <si>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</si>
  <si>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</si>
  <si>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</si>
  <si>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</si>
  <si>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</si>
  <si>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</si>
  <si>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</si>
  <si>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</si>
  <si>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</si>
  <si>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</si>
  <si>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</si>
  <si>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</si>
  <si>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</si>
  <si>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</si>
  <si>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</si>
  <si>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</si>
  <si>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</si>
  <si>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</si>
  <si>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</si>
  <si>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</si>
  <si>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</si>
  <si>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</si>
  <si>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</si>
  <si>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</si>
  <si>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</si>
  <si>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</si>
  <si>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</si>
  <si>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</si>
  <si>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</si>
  <si>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</si>
  <si>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</si>
  <si>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</si>
  <si>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</si>
  <si>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</si>
  <si>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</si>
  <si>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</si>
  <si>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</si>
  <si>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</si>
  <si>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</si>
  <si>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</si>
  <si>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</si>
  <si>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</si>
  <si>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</si>
  <si>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</si>
  <si>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</si>
  <si>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</si>
  <si>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</si>
  <si>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</si>
  <si>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</si>
  <si>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</si>
  <si>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</si>
  <si>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</si>
  <si>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</si>
  <si>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</si>
  <si>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</si>
  <si>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</si>
  <si>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</si>
  <si>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</si>
  <si>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</si>
  <si>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</si>
  <si>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</si>
  <si>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</si>
  <si>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</si>
  <si>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</si>
  <si>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</si>
  <si>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</si>
  <si>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</si>
  <si>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</si>
  <si>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</si>
  <si>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</si>
  <si>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</si>
  <si>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</si>
  <si>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</si>
  <si>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</si>
  <si>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</si>
  <si>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</si>
  <si>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</si>
  <si>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</si>
  <si>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</si>
  <si>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</si>
  <si>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</si>
  <si>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</si>
  <si>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</si>
  <si>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</si>
  <si>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</si>
  <si>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</si>
  <si>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</si>
  <si>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</si>
  <si>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</si>
  <si>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</si>
  <si>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</si>
  <si>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</si>
  <si>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</si>
  <si>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</si>
  <si>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</si>
  <si>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</si>
  <si>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</si>
  <si>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</si>
  <si>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</si>
  <si>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</si>
  <si>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</si>
  <si>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</si>
  <si>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</si>
  <si>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</si>
  <si>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</si>
  <si>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</si>
  <si>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</si>
  <si>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</si>
  <si>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</si>
  <si>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</si>
  <si>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</si>
  <si>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</si>
  <si>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</si>
  <si>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</si>
  <si>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</si>
  <si>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</si>
  <si>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</si>
  <si>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</si>
  <si>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</si>
  <si>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</si>
  <si>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</si>
  <si>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</si>
  <si>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</si>
  <si>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</si>
  <si>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</si>
  <si>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</si>
  <si>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</si>
  <si>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</si>
  <si>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</si>
  <si>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</si>
  <si>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</si>
  <si>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</si>
  <si>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</si>
  <si>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</si>
  <si>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</si>
  <si>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</si>
  <si>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</si>
  <si>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</si>
  <si>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</si>
  <si>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</si>
  <si>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</si>
  <si>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</si>
  <si>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</si>
  <si>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</si>
  <si>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</si>
  <si>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</si>
  <si>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</si>
  <si>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</si>
  <si>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</si>
  <si>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</si>
  <si>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</si>
  <si>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</si>
  <si>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</si>
  <si>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</si>
  <si>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</si>
  <si>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</si>
  <si>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</si>
  <si>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</si>
  <si>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</si>
  <si>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</si>
  <si>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</si>
  <si>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</si>
  <si>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</si>
  <si>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</si>
  <si>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</si>
  <si>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</si>
  <si>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</si>
  <si>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</si>
  <si>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</si>
  <si>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</si>
  <si>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</si>
  <si>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</si>
  <si>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</si>
  <si>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</si>
  <si>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</si>
  <si>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</si>
  <si>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</si>
  <si>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</si>
  <si>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</si>
  <si>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</si>
  <si>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</si>
  <si>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</si>
  <si>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</si>
  <si>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</si>
  <si>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</si>
  <si>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</si>
  <si>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</si>
  <si>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</si>
  <si>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</si>
  <si>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</si>
  <si>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</si>
  <si>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</si>
  <si>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</si>
  <si>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</si>
  <si>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</si>
  <si>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</si>
  <si>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</si>
  <si>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</si>
  <si>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</si>
  <si>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</si>
  <si>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</si>
  <si>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</si>
  <si>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</si>
  <si>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</si>
  <si>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</si>
  <si>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</si>
  <si>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</si>
  <si>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</si>
  <si>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</si>
  <si>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</si>
  <si>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</si>
  <si>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</si>
  <si>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</si>
  <si>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</si>
  <si>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</si>
  <si>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</si>
  <si>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</si>
  <si>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</si>
  <si>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</si>
  <si>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</si>
  <si>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</si>
  <si>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</si>
  <si>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</si>
  <si>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</si>
  <si>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</si>
  <si>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</si>
  <si>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</si>
  <si>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</si>
  <si>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</si>
  <si>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</si>
  <si>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</si>
  <si>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</si>
  <si>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</si>
  <si>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</si>
  <si>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</si>
  <si>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</si>
  <si>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</si>
  <si>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</si>
  <si>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</si>
  <si>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</si>
  <si>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</si>
  <si>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</si>
  <si>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</si>
  <si>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</si>
  <si>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</si>
  <si>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</si>
  <si>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</si>
  <si>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</si>
  <si>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</si>
  <si>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</si>
  <si>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</si>
  <si>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</si>
  <si>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</si>
  <si>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</si>
  <si>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</si>
  <si>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</si>
  <si>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</si>
  <si>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</si>
  <si>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</si>
  <si>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</si>
  <si>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</si>
  <si>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</si>
  <si>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</si>
  <si>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</si>
  <si>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</si>
  <si>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</si>
  <si>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</si>
  <si>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</si>
  <si>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</si>
  <si>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</si>
  <si>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</si>
  <si>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</si>
  <si>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</si>
  <si>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</si>
  <si>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</si>
  <si>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</si>
  <si>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</si>
  <si>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</si>
  <si>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</si>
  <si>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</si>
  <si>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</si>
  <si>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</si>
  <si>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</si>
  <si>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</si>
  <si>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</si>
  <si>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</si>
  <si>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</si>
  <si>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</si>
  <si>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</si>
  <si>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</si>
  <si>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</si>
  <si>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</si>
  <si>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</si>
  <si>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</si>
  <si>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</si>
  <si>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</si>
  <si>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</si>
  <si>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</si>
  <si>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</si>
  <si>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</si>
  <si>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</si>
  <si>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</si>
  <si>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</si>
  <si>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</si>
  <si>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</si>
  <si>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</si>
  <si>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</si>
  <si>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</si>
  <si>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</si>
  <si>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</si>
  <si>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</si>
  <si>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</si>
  <si>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</si>
  <si>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</si>
  <si>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</si>
  <si>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</si>
  <si>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</si>
  <si>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</si>
  <si>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</si>
  <si>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</si>
  <si>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</si>
  <si>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</si>
  <si>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</si>
  <si>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</si>
  <si>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</si>
  <si>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</si>
  <si>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</si>
  <si>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</si>
  <si>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</si>
  <si>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</si>
  <si>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</si>
  <si>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</si>
  <si>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</si>
  <si>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</si>
  <si>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</si>
  <si>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</si>
  <si>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</si>
  <si>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</si>
  <si>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</si>
  <si>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</si>
  <si>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</si>
  <si>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</si>
  <si>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</si>
  <si>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</si>
  <si>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</si>
  <si>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</si>
  <si>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</si>
  <si>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</si>
  <si>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</si>
  <si>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</si>
  <si>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</si>
  <si>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</si>
  <si>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</si>
  <si>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</si>
  <si>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</si>
  <si>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</si>
  <si>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</si>
  <si>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</si>
  <si>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</si>
  <si>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</si>
  <si>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</si>
  <si>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</si>
  <si>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</si>
  <si>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</si>
  <si>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</si>
  <si>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</si>
  <si>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</si>
  <si>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</si>
  <si>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</si>
  <si>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</si>
  <si>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</si>
  <si>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</si>
  <si>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</si>
  <si>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</si>
  <si>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</si>
  <si>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</si>
  <si>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</si>
  <si>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</si>
  <si>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</si>
  <si>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</si>
  <si>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</si>
  <si>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</si>
  <si>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</si>
  <si>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</si>
  <si>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</si>
  <si>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</si>
  <si>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</si>
  <si>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</si>
  <si>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</si>
  <si>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</si>
  <si>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</si>
  <si>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</si>
  <si>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</si>
  <si>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</si>
  <si>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</si>
  <si>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</si>
  <si>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</si>
  <si>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</si>
  <si>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</si>
  <si>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</si>
  <si>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</si>
  <si>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</si>
  <si>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</si>
  <si>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</si>
  <si>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</si>
  <si>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</si>
  <si>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</si>
  <si>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</si>
  <si>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</si>
  <si>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</si>
  <si>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</si>
  <si>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</si>
  <si>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</si>
  <si>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</si>
  <si>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</si>
  <si>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</si>
  <si>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</si>
  <si>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</si>
  <si>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</si>
  <si>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</si>
  <si>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</si>
  <si>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</si>
  <si>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</si>
  <si>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</si>
  <si>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</si>
  <si>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</si>
  <si>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</si>
  <si>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</si>
  <si>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</si>
  <si>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</si>
  <si>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</si>
  <si>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</si>
  <si>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</si>
  <si>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</si>
  <si>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</si>
  <si>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</si>
  <si>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</si>
  <si>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</si>
  <si>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</si>
  <si>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</si>
  <si>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</si>
  <si>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</si>
  <si>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</si>
  <si>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</si>
  <si>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</si>
  <si>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</si>
  <si>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</si>
  <si>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</si>
  <si>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</si>
  <si>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</si>
  <si>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</si>
  <si>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</si>
  <si>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</si>
  <si>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</si>
  <si>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</si>
  <si>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</si>
  <si>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</si>
  <si>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</si>
  <si>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</si>
  <si>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</si>
  <si>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</si>
  <si>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</si>
  <si>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</si>
  <si>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</si>
  <si>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</si>
  <si>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</si>
  <si>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</si>
  <si>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</si>
  <si>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</si>
  <si>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</si>
  <si>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</si>
  <si>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</si>
  <si>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</si>
  <si>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</si>
  <si>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</si>
  <si>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</si>
  <si>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</si>
  <si>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</si>
  <si>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</si>
  <si>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</si>
  <si>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</si>
  <si>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</si>
  <si>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</si>
  <si>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</si>
  <si>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</si>
  <si>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</si>
  <si>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</si>
  <si>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</si>
  <si>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</si>
  <si>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</si>
  <si>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</si>
  <si>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</si>
  <si>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</si>
  <si>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</si>
  <si>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</si>
  <si>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</si>
  <si>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</si>
  <si>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</si>
  <si>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</si>
  <si>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</si>
  <si>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</si>
  <si>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</si>
  <si>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</si>
  <si>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</si>
  <si>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</si>
  <si>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</si>
  <si>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</si>
  <si>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</si>
  <si>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</si>
  <si>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</si>
  <si>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</si>
  <si>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</si>
  <si>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</si>
  <si>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</si>
  <si>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</si>
  <si>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</si>
  <si>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</si>
  <si>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</si>
  <si>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</si>
  <si>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</si>
  <si>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</si>
  <si>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</si>
  <si>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</si>
  <si>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</si>
  <si>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</si>
  <si>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</si>
  <si>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</si>
  <si>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</si>
  <si>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</si>
  <si>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</si>
  <si>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</si>
  <si>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</si>
  <si>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</si>
  <si>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</si>
  <si>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</si>
  <si>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</si>
  <si>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</si>
  <si>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</si>
  <si>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</si>
  <si>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</si>
  <si>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</si>
  <si>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</si>
  <si>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</si>
  <si>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</si>
  <si>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</si>
  <si>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</si>
  <si>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</si>
  <si>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</si>
  <si>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</si>
  <si>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</si>
  <si>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</si>
  <si>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</si>
  <si>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</si>
  <si>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</si>
  <si>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</si>
  <si>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</si>
  <si>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</si>
  <si>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</si>
  <si>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</si>
  <si>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</si>
  <si>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</si>
  <si>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</si>
  <si>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</si>
  <si>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</si>
  <si>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</si>
  <si>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</si>
  <si>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</si>
  <si>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</si>
  <si>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</si>
  <si>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</si>
  <si>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</si>
  <si>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</si>
  <si>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</si>
  <si>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</si>
  <si>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</si>
  <si>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</si>
  <si>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</si>
  <si>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</si>
  <si>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</si>
  <si>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</si>
  <si>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</si>
  <si>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</si>
  <si>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</si>
  <si>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</si>
  <si>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</si>
  <si>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</si>
  <si>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</si>
  <si>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</si>
  <si>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</si>
  <si>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</si>
  <si>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</si>
  <si>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</si>
  <si>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</si>
  <si>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</si>
  <si>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</si>
  <si>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</si>
  <si>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</si>
  <si>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</si>
  <si>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</si>
  <si>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</si>
  <si>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</si>
  <si>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</si>
  <si>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</si>
  <si>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</si>
  <si>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</si>
  <si>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</si>
  <si>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</si>
  <si>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</si>
  <si>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</si>
  <si>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</si>
  <si>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</si>
  <si>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</si>
  <si>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</si>
  <si>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</si>
  <si>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</si>
  <si>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</si>
  <si>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</si>
  <si>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</si>
  <si>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</si>
  <si>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</si>
  <si>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</si>
  <si>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</si>
  <si>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</si>
  <si>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</si>
  <si>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</si>
  <si>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</si>
  <si>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</si>
  <si>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</si>
  <si>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</si>
  <si>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</si>
  <si>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</si>
  <si>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</si>
  <si>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</si>
  <si>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</si>
  <si>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</si>
  <si>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</si>
  <si>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</si>
  <si>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</si>
  <si>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</si>
  <si>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</si>
  <si>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</si>
  <si>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</si>
  <si>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</si>
  <si>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</si>
  <si>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</si>
  <si>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</si>
  <si>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</si>
  <si>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</si>
  <si>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</si>
  <si>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</si>
  <si>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</si>
  <si>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</si>
  <si>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</si>
  <si>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</si>
  <si>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</si>
  <si>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</si>
  <si>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</si>
  <si>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</si>
  <si>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</si>
  <si>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</si>
  <si>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</si>
  <si>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</si>
  <si>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</si>
  <si>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</si>
  <si>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</si>
  <si>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</si>
  <si>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</si>
  <si>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</si>
  <si>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</si>
  <si>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</si>
  <si>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</si>
  <si>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</si>
  <si>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</si>
  <si>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</si>
  <si>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</si>
  <si>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</si>
  <si>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</si>
  <si>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</si>
  <si>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</si>
  <si>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</si>
  <si>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</si>
  <si>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</si>
  <si>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</si>
  <si>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</si>
  <si>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</si>
  <si>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</si>
  <si>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</si>
  <si>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</si>
  <si>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</si>
  <si>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</si>
  <si>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</si>
  <si>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</si>
  <si>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</si>
  <si>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</si>
  <si>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</si>
  <si>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</si>
  <si>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</si>
  <si>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</si>
  <si>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</si>
  <si>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</si>
  <si>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</si>
  <si>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</si>
  <si>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</si>
  <si>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</si>
  <si>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</si>
  <si>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</si>
  <si>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</si>
  <si>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</si>
  <si>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</si>
  <si>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</si>
  <si>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</si>
  <si>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</si>
  <si>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</si>
  <si>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</si>
  <si>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</si>
  <si>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</si>
  <si>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</si>
  <si>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</si>
  <si>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</si>
  <si>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</si>
  <si>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</si>
  <si>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</si>
  <si>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</si>
  <si>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</si>
  <si>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</si>
  <si>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</si>
  <si>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</si>
  <si>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</si>
  <si>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</si>
  <si>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</si>
  <si>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</si>
  <si>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</si>
  <si>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</si>
  <si>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</si>
  <si>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</si>
  <si>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</si>
  <si>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</si>
  <si>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</si>
  <si>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</si>
  <si>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</si>
  <si>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</si>
  <si>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</si>
  <si>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</si>
  <si>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</si>
  <si>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</si>
  <si>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</si>
  <si>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</si>
  <si>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</si>
  <si>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</si>
  <si>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</si>
  <si>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</si>
  <si>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</si>
  <si>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</si>
  <si>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</si>
  <si>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</si>
  <si>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</si>
  <si>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</si>
  <si>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</si>
  <si>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</si>
  <si>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</si>
  <si>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</si>
  <si>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</si>
  <si>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</si>
  <si>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</si>
  <si>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</si>
  <si>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</si>
  <si>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</si>
  <si>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</si>
  <si>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</si>
  <si>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</si>
  <si>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</si>
  <si>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</si>
  <si>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</si>
  <si>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</si>
  <si>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</si>
  <si>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</si>
  <si>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</si>
  <si>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</si>
  <si>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</si>
  <si>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</si>
  <si>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</si>
  <si>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</si>
  <si>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</si>
  <si>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</si>
  <si>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</si>
  <si>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</si>
  <si>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</si>
  <si>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</si>
  <si>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</si>
  <si>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</si>
  <si>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</si>
  <si>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</si>
  <si>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</si>
  <si>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</si>
  <si>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</si>
  <si>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</si>
  <si>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</si>
  <si>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</si>
  <si>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</si>
  <si>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</si>
  <si>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</si>
  <si>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</si>
  <si>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</si>
  <si>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</si>
  <si>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</si>
  <si>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</si>
  <si>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</si>
  <si>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</si>
  <si>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</si>
  <si>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</si>
  <si>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</si>
  <si>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</si>
  <si>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</si>
  <si>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</si>
  <si>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</si>
  <si>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</si>
  <si>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</si>
  <si>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</si>
  <si>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</si>
  <si>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</si>
  <si>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</si>
  <si>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</si>
  <si>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</si>
  <si>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</si>
  <si>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</si>
  <si>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</si>
  <si>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</si>
  <si>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</si>
  <si>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</si>
  <si>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</si>
  <si>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</si>
  <si>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</si>
  <si>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</si>
  <si>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</si>
  <si>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</si>
  <si>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</si>
  <si>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</si>
  <si>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</si>
  <si>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</si>
  <si>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</si>
  <si>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</si>
  <si>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</si>
  <si>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</si>
  <si>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</si>
  <si>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</si>
  <si>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</si>
  <si>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</si>
  <si>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</si>
  <si>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</si>
  <si>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</si>
  <si>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</si>
  <si>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</si>
  <si>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</si>
  <si>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</si>
  <si>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</si>
  <si>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</si>
  <si>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</si>
  <si>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</si>
  <si>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</si>
  <si>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</si>
  <si>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</si>
  <si>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</si>
  <si>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</si>
  <si>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</si>
  <si>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</si>
  <si>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</si>
  <si>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</si>
  <si>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</si>
  <si>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</si>
  <si>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</si>
  <si>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</si>
  <si>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</si>
  <si>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</si>
  <si>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</si>
  <si>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</si>
  <si>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</si>
  <si>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</si>
  <si>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</si>
  <si>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</si>
  <si>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</si>
  <si>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</si>
  <si>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</si>
  <si>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</si>
  <si>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</si>
  <si>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</si>
  <si>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</si>
  <si>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</si>
  <si>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</si>
  <si>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</si>
  <si>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</si>
  <si>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</si>
  <si>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</si>
  <si>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</si>
  <si>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</si>
  <si>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</si>
  <si>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</si>
  <si>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</si>
  <si>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</si>
  <si>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</si>
  <si>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</si>
  <si>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</si>
  <si>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</si>
  <si>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</si>
  <si>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</si>
  <si>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</si>
  <si>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</si>
  <si>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</si>
  <si>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</si>
  <si>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</si>
  <si>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</si>
  <si>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</si>
  <si>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</si>
  <si>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</si>
  <si>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</si>
  <si>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</si>
  <si>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</si>
  <si>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</si>
  <si>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</si>
  <si>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</si>
  <si>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</si>
  <si>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</si>
  <si>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</si>
  <si>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</si>
  <si>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</si>
  <si>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</si>
  <si>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</si>
  <si>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</si>
  <si>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</si>
  <si>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</si>
  <si>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</si>
  <si>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</si>
  <si>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</si>
  <si>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</si>
  <si>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</si>
  <si>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</si>
  <si>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</si>
  <si>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</si>
  <si>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</si>
  <si>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</si>
  <si>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</si>
  <si>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</si>
  <si>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</si>
  <si>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</si>
  <si>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</si>
  <si>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</si>
  <si>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</si>
  <si>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</si>
  <si>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</si>
  <si>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</si>
  <si>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</si>
  <si>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</si>
  <si>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</si>
  <si>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</si>
  <si>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</si>
  <si>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</si>
  <si>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</si>
  <si>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</si>
  <si>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</si>
  <si>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</si>
  <si>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</si>
  <si>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</si>
  <si>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</si>
  <si>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</si>
  <si>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</si>
  <si>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</si>
  <si>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</si>
  <si>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</si>
  <si>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</si>
  <si>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</si>
  <si>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</si>
  <si>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</si>
  <si>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</si>
  <si>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</si>
  <si>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</si>
  <si>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</si>
  <si>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</si>
  <si>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</si>
  <si>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</si>
  <si>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</si>
  <si>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</si>
  <si>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</si>
  <si>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</si>
  <si>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</si>
  <si>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</si>
  <si>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</si>
  <si>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</si>
  <si>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</si>
  <si>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</si>
  <si>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</si>
  <si>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</si>
  <si>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</si>
  <si>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</si>
  <si>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</si>
  <si>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</si>
  <si>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</si>
  <si>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</si>
  <si>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</si>
  <si>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</si>
  <si>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</si>
  <si>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</si>
  <si>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</si>
  <si>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</si>
  <si>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</si>
  <si>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</si>
  <si>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</si>
  <si>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</si>
  <si>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</si>
  <si>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</si>
  <si>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</si>
  <si>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</si>
  <si>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</si>
  <si>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</si>
  <si>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</si>
  <si>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</si>
  <si>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</si>
  <si>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</si>
  <si>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</si>
  <si>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</si>
  <si>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</si>
  <si>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</si>
  <si>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</si>
  <si>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</si>
  <si>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</si>
  <si>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</si>
  <si>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</si>
  <si>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</si>
  <si>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</si>
  <si>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</si>
  <si>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</si>
  <si>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</si>
  <si>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</si>
  <si>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</si>
  <si>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</si>
  <si>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</si>
  <si>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</si>
  <si>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</si>
  <si>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</si>
  <si>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</si>
  <si>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</si>
  <si>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</si>
  <si>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</si>
  <si>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</si>
  <si>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</si>
  <si>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</si>
  <si>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</si>
  <si>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</si>
  <si>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</si>
  <si>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</si>
  <si>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</si>
  <si>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</si>
  <si>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</si>
  <si>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</si>
  <si>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</si>
  <si>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</si>
  <si>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</si>
  <si>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</si>
  <si>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</si>
  <si>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</si>
  <si>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</si>
  <si>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</si>
  <si>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</si>
  <si>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</si>
  <si>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</si>
  <si>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</si>
  <si>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</si>
  <si>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</si>
  <si>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</si>
  <si>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</si>
  <si>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</si>
  <si>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</si>
  <si>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</si>
  <si>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</si>
  <si>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</si>
  <si>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</si>
  <si>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</si>
  <si>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</si>
  <si>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</si>
  <si>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</si>
  <si>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</si>
  <si>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</si>
  <si>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</si>
  <si>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</si>
  <si>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</si>
  <si>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</si>
  <si>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</si>
  <si>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</si>
  <si>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</si>
  <si>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</si>
  <si>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</si>
  <si>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</si>
  <si>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</si>
  <si>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</si>
  <si>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</si>
  <si>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</si>
  <si>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</si>
  <si>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</si>
  <si>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</si>
  <si>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</si>
  <si>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</si>
  <si>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</si>
  <si>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</si>
  <si>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</si>
  <si>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</si>
  <si>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</si>
  <si>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</si>
  <si>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</si>
  <si>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</si>
  <si>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</si>
  <si>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</si>
  <si>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</si>
  <si>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</si>
  <si>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</si>
  <si>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</si>
  <si>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</si>
  <si>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</si>
  <si>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</si>
  <si>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</si>
  <si>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</si>
  <si>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</si>
  <si>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</si>
  <si>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</si>
  <si>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</si>
  <si>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</si>
  <si>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</si>
  <si>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</si>
  <si>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</si>
  <si>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</si>
  <si>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</si>
  <si>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</si>
  <si>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</si>
  <si>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</si>
  <si>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</si>
  <si>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</si>
  <si>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</si>
  <si>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</si>
  <si>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</si>
  <si>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</si>
  <si>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</si>
  <si>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</si>
  <si>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</si>
  <si>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</si>
  <si>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</si>
  <si>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</si>
  <si>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</si>
  <si>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</si>
  <si>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</si>
  <si>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</si>
  <si>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</si>
  <si>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</si>
  <si>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</si>
  <si>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</si>
  <si>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</si>
  <si>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</si>
  <si>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</si>
  <si>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</si>
  <si>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</si>
  <si>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</si>
  <si>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</si>
  <si>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</si>
  <si>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</si>
  <si>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</si>
  <si>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</si>
  <si>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</si>
  <si>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</si>
  <si>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</si>
  <si>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</si>
  <si>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</si>
  <si>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</si>
  <si>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</si>
  <si>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</si>
  <si>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</si>
  <si>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</si>
  <si>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</si>
  <si>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</si>
  <si>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</si>
  <si>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</si>
  <si>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</si>
  <si>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</si>
  <si>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</si>
  <si>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</si>
  <si>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</si>
  <si>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</si>
  <si>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</si>
  <si>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</si>
  <si>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</si>
  <si>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</si>
  <si>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</si>
  <si>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</si>
  <si>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</si>
  <si>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</si>
  <si>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</si>
  <si>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</si>
  <si>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</si>
  <si>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</si>
  <si>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</si>
  <si>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</si>
  <si>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</si>
  <si>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</si>
  <si>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</si>
  <si>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</si>
  <si>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</si>
  <si>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</si>
  <si>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</si>
  <si>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</si>
  <si>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</si>
  <si>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</si>
  <si>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</si>
  <si>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</si>
  <si>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</si>
  <si>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</si>
  <si>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</si>
  <si>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</si>
  <si>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</si>
  <si>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</si>
  <si>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</si>
  <si>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</si>
  <si>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</si>
  <si>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</si>
  <si>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</si>
  <si>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</si>
  <si>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</si>
  <si>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</si>
  <si>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</si>
  <si>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</si>
  <si>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</si>
  <si>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</si>
  <si>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</si>
  <si>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</si>
  <si>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</si>
  <si>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</si>
  <si>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</si>
  <si>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</si>
  <si>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</si>
  <si>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</si>
  <si>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</si>
  <si>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</si>
  <si>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</si>
  <si>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</si>
  <si>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</si>
  <si>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</si>
  <si>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</si>
  <si>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</si>
  <si>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</si>
  <si>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</si>
  <si>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</si>
  <si>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</si>
  <si>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</si>
  <si>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</si>
  <si>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</si>
  <si>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</si>
  <si>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</si>
  <si>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</si>
  <si>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</si>
  <si>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</si>
  <si>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</si>
  <si>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</si>
  <si>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</si>
  <si>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</si>
  <si>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</si>
  <si>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</si>
  <si>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</si>
  <si>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</si>
  <si>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</si>
  <si>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</si>
  <si>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</si>
  <si>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</si>
  <si>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</si>
  <si>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</si>
  <si>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</si>
  <si>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</si>
  <si>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</si>
  <si>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</si>
  <si>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</si>
  <si>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</si>
  <si>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</si>
  <si>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</si>
  <si>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</si>
  <si>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</si>
  <si>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</si>
  <si>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</si>
  <si>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</si>
  <si>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</si>
  <si>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</si>
  <si>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</si>
  <si>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</si>
  <si>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</si>
  <si>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</si>
  <si>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</si>
  <si>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</si>
  <si>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</si>
  <si>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</si>
  <si>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</si>
  <si>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</si>
  <si>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</si>
  <si>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</si>
  <si>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</si>
  <si>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</si>
  <si>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</si>
  <si>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</si>
  <si>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</si>
  <si>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</si>
  <si>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</si>
  <si>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</si>
  <si>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</si>
  <si>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</si>
  <si>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</si>
  <si>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</si>
  <si>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</si>
  <si>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</si>
  <si>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</si>
  <si>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</si>
  <si>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</si>
  <si>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</si>
  <si>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</si>
  <si>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</si>
  <si>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</si>
  <si>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</si>
  <si>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</si>
  <si>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</si>
  <si>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</si>
  <si>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</si>
  <si>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</si>
  <si>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</si>
  <si>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</si>
  <si>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</si>
  <si>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</si>
  <si>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</si>
  <si>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</si>
  <si>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</si>
  <si>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</si>
  <si>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</si>
  <si>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</si>
  <si>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</si>
  <si>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</si>
  <si>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</si>
  <si>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</si>
  <si>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</si>
  <si>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</si>
  <si>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</si>
  <si>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</si>
  <si>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</si>
  <si>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</si>
  <si>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</si>
  <si>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</si>
  <si>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</si>
  <si>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</si>
  <si>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</si>
  <si>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</si>
  <si>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</si>
  <si>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</si>
  <si>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</si>
  <si>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</si>
  <si>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</si>
  <si>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</si>
  <si>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</si>
  <si>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</si>
  <si>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</si>
  <si>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</si>
  <si>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</si>
  <si>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</si>
  <si>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</si>
  <si>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</si>
  <si>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</si>
  <si>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</si>
  <si>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</si>
  <si>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</si>
  <si>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</si>
  <si>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</si>
  <si>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</si>
  <si>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</si>
  <si>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</si>
  <si>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</si>
  <si>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</si>
  <si>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</si>
  <si>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</si>
  <si>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</si>
  <si>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</si>
  <si>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</si>
  <si>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</si>
  <si>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</si>
  <si>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</si>
  <si>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</si>
  <si>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</si>
  <si>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</si>
  <si>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</si>
  <si>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</si>
  <si>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</si>
  <si>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</si>
  <si>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</si>
  <si>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</si>
  <si>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</si>
  <si>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</si>
  <si>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</si>
  <si>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</si>
  <si>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</si>
  <si>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</si>
  <si>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</si>
  <si>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</si>
  <si>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</si>
  <si>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</si>
  <si>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</si>
  <si>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</si>
  <si>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</si>
  <si>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</si>
  <si>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</si>
  <si>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</si>
  <si>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</si>
  <si>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</si>
  <si>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</si>
  <si>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</si>
  <si>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</si>
  <si>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</si>
  <si>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</si>
  <si>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</si>
  <si>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</si>
  <si>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</si>
  <si>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</si>
  <si>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</si>
  <si>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</si>
  <si>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</si>
  <si>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</si>
  <si>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</si>
  <si>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</si>
  <si>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</si>
  <si>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</si>
  <si>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</si>
  <si>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</si>
  <si>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</si>
  <si>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</si>
  <si>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</si>
  <si>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</si>
  <si>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</si>
  <si>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</si>
  <si>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</si>
  <si>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</si>
  <si>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</si>
  <si>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</si>
  <si>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</si>
  <si>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</si>
  <si>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</si>
  <si>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</si>
  <si>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</si>
  <si>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</si>
  <si>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</si>
  <si>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</si>
  <si>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</si>
  <si>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</si>
  <si>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</si>
  <si>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</si>
  <si>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</si>
  <si>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</si>
  <si>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</si>
  <si>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</si>
  <si>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</si>
  <si>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</si>
  <si>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</si>
  <si>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</si>
  <si>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</si>
  <si>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</si>
  <si>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</si>
  <si>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</si>
  <si>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</si>
  <si>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</si>
  <si>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</si>
  <si>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</si>
  <si>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</si>
  <si>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</si>
  <si>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</si>
  <si>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</si>
  <si>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</si>
  <si>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</si>
  <si>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</si>
  <si>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</si>
  <si>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</si>
  <si>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</si>
  <si>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</si>
  <si>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</si>
  <si>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</si>
  <si>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</si>
  <si>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</si>
  <si>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</si>
  <si>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</si>
  <si>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</si>
  <si>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</si>
  <si>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</si>
  <si>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</si>
  <si>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</si>
  <si>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</si>
  <si>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</si>
  <si>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</si>
  <si>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</si>
  <si>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</si>
  <si>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</si>
  <si>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</si>
  <si>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</si>
  <si>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</si>
  <si>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</si>
  <si>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</si>
  <si>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</si>
  <si>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</si>
  <si>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</si>
  <si>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</si>
  <si>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</si>
  <si>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</si>
  <si>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</si>
  <si>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</si>
  <si>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</si>
  <si>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</si>
  <si>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</si>
  <si>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</si>
  <si>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</si>
  <si>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</si>
  <si>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</si>
  <si>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</si>
  <si>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</si>
  <si>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</si>
  <si>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</si>
  <si>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</si>
  <si>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</si>
  <si>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</si>
  <si>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</si>
  <si>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</si>
  <si>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</si>
  <si>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</si>
  <si>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</si>
  <si>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</si>
  <si>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</si>
  <si>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</si>
  <si>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</si>
  <si>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</si>
  <si>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</si>
  <si>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</si>
  <si>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</si>
  <si>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</si>
  <si>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</si>
  <si>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</si>
  <si>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</si>
  <si>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</si>
  <si>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</si>
  <si>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</si>
  <si>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</si>
  <si>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</si>
  <si>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</si>
  <si>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</si>
  <si>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</si>
  <si>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</si>
  <si>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</si>
  <si>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</si>
  <si>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</si>
  <si>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</si>
  <si>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</si>
  <si>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</si>
  <si>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</si>
  <si>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</si>
  <si>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</si>
  <si>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</si>
  <si>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</si>
  <si>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</si>
  <si>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</si>
  <si>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</si>
  <si>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</si>
  <si>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</si>
  <si>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</si>
  <si>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</si>
  <si>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</si>
  <si>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</si>
  <si>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</si>
  <si>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</si>
  <si>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</si>
  <si>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</si>
  <si>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</si>
  <si>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</si>
  <si>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</si>
  <si>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</si>
  <si>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</si>
  <si>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</si>
  <si>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</si>
  <si>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</si>
  <si>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</si>
  <si>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</si>
  <si>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</si>
  <si>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</si>
  <si>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</si>
  <si>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</si>
  <si>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</si>
  <si>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</si>
  <si>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</si>
  <si>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</si>
  <si>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</si>
  <si>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王鹏</t>
  </si>
  <si>
    <t>郑燚</t>
  </si>
  <si>
    <t>抵押价格</t>
  </si>
  <si>
    <t>市场价格</t>
  </si>
  <si>
    <t>企业</t>
  </si>
  <si>
    <t>商业</t>
  </si>
  <si>
    <t>一致</t>
  </si>
  <si>
    <t>居住项目</t>
  </si>
  <si>
    <t>通路</t>
  </si>
  <si>
    <t>通电</t>
  </si>
  <si>
    <t>通讯</t>
  </si>
  <si>
    <t>通上水</t>
  </si>
  <si>
    <t>通下水</t>
  </si>
  <si>
    <t>平整</t>
  </si>
  <si>
    <t>Ⅷ-顺1</t>
  </si>
  <si>
    <t>未建商业</t>
    <phoneticPr fontId="3" type="noConversion"/>
  </si>
  <si>
    <t>已建商业</t>
    <phoneticPr fontId="3" type="noConversion"/>
  </si>
  <si>
    <t>否</t>
  </si>
  <si>
    <t>地上</t>
  </si>
  <si>
    <t>商务金融用地（办公类）</t>
  </si>
  <si>
    <t>估价对象容积率</t>
  </si>
  <si>
    <t>不临58条商业街</t>
  </si>
  <si>
    <t>与级别开发程度一致</t>
  </si>
  <si>
    <t>一般</t>
  </si>
  <si>
    <t>较好</t>
  </si>
  <si>
    <t>较差</t>
  </si>
  <si>
    <t>顺义区</t>
    <phoneticPr fontId="3" type="noConversion"/>
  </si>
  <si>
    <t>商业服务业</t>
  </si>
  <si>
    <t>商业服务业</t>
    <phoneticPr fontId="26" type="noConversion"/>
  </si>
  <si>
    <t>正常</t>
  </si>
  <si>
    <t>无</t>
    <phoneticPr fontId="26" type="noConversion"/>
  </si>
  <si>
    <t>50%自持20年</t>
    <phoneticPr fontId="26" type="noConversion"/>
  </si>
  <si>
    <t>楼面地价</t>
  </si>
  <si>
    <r>
      <t>B4</t>
    </r>
    <r>
      <rPr>
        <sz val="11"/>
        <rFont val="宋体"/>
        <family val="3"/>
        <charset val="134"/>
      </rPr>
      <t>综合性商业金融服务业用地</t>
    </r>
    <phoneticPr fontId="26" type="noConversion"/>
  </si>
  <si>
    <t>F3其他类多功能用地</t>
    <phoneticPr fontId="26" type="noConversion"/>
  </si>
  <si>
    <r>
      <t>F3</t>
    </r>
    <r>
      <rPr>
        <sz val="11"/>
        <color indexed="8"/>
        <rFont val="宋体"/>
        <family val="3"/>
        <charset val="134"/>
      </rPr>
      <t>其他类多功能用地</t>
    </r>
    <phoneticPr fontId="26" type="noConversion"/>
  </si>
  <si>
    <t>40/50</t>
    <phoneticPr fontId="26" type="noConversion"/>
  </si>
  <si>
    <t>2018-2</t>
    <phoneticPr fontId="26" type="noConversion"/>
  </si>
  <si>
    <t>2018-1</t>
    <phoneticPr fontId="26" type="noConversion"/>
  </si>
  <si>
    <t>2017-4</t>
    <phoneticPr fontId="26" type="noConversion"/>
  </si>
  <si>
    <t>2017-3</t>
    <phoneticPr fontId="26" type="noConversion"/>
  </si>
  <si>
    <t>2017-2</t>
  </si>
  <si>
    <t>2017-1</t>
  </si>
  <si>
    <t>基准地价</t>
  </si>
  <si>
    <t>比较法-住宅、综合</t>
  </si>
  <si>
    <t>项目局部</t>
  </si>
  <si>
    <t>土地</t>
  </si>
  <si>
    <t>七通</t>
  </si>
  <si>
    <t>较好</t>
    <phoneticPr fontId="26" type="noConversion"/>
  </si>
  <si>
    <t>五通</t>
  </si>
  <si>
    <t>五通</t>
    <phoneticPr fontId="26" type="noConversion"/>
  </si>
  <si>
    <t>北京市昌平区朱辛庄新区（二期）土地一级开发项目ZXZ-010地块F3其他类多功能用地</t>
    <phoneticPr fontId="3" type="noConversion"/>
  </si>
  <si>
    <t>昌平区</t>
    <phoneticPr fontId="3" type="noConversion"/>
  </si>
  <si>
    <r>
      <t>F3</t>
    </r>
    <r>
      <rPr>
        <sz val="11"/>
        <color indexed="8"/>
        <rFont val="宋体"/>
        <family val="3"/>
        <charset val="134"/>
      </rPr>
      <t>其他类多功能用地</t>
    </r>
    <phoneticPr fontId="26" type="noConversion"/>
  </si>
  <si>
    <t>三通</t>
  </si>
  <si>
    <t>三通</t>
    <phoneticPr fontId="26" type="noConversion"/>
  </si>
  <si>
    <t>六通</t>
  </si>
  <si>
    <t>四通</t>
  </si>
  <si>
    <r>
      <t>100%</t>
    </r>
    <r>
      <rPr>
        <sz val="11"/>
        <color indexed="8"/>
        <rFont val="宋体"/>
        <family val="3"/>
        <charset val="134"/>
      </rPr>
      <t>自持</t>
    </r>
    <r>
      <rPr>
        <sz val="11"/>
        <color indexed="8"/>
        <rFont val="Arial"/>
        <family val="2"/>
      </rPr>
      <t>20</t>
    </r>
    <r>
      <rPr>
        <sz val="11"/>
        <color indexed="8"/>
        <rFont val="宋体"/>
        <family val="3"/>
        <charset val="134"/>
      </rPr>
      <t>年</t>
    </r>
    <phoneticPr fontId="26" type="noConversion"/>
  </si>
  <si>
    <t>无</t>
    <phoneticPr fontId="26" type="noConversion"/>
  </si>
  <si>
    <t>50%自持20年</t>
  </si>
  <si>
    <t>100%自持20年</t>
  </si>
  <si>
    <t>二通</t>
    <phoneticPr fontId="26" type="noConversion"/>
  </si>
  <si>
    <r>
      <t>100%</t>
    </r>
    <r>
      <rPr>
        <sz val="11"/>
        <color indexed="8"/>
        <rFont val="宋体"/>
        <family val="3"/>
        <charset val="134"/>
      </rPr>
      <t>全自持</t>
    </r>
    <phoneticPr fontId="26" type="noConversion"/>
  </si>
  <si>
    <r>
      <t>100%</t>
    </r>
    <r>
      <rPr>
        <sz val="11"/>
        <color indexed="8"/>
        <rFont val="宋体"/>
        <family val="3"/>
        <charset val="134"/>
      </rPr>
      <t>全自持</t>
    </r>
    <phoneticPr fontId="26" type="noConversion"/>
  </si>
  <si>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0069 </t>
    </r>
    <r>
      <rPr>
        <sz val="9.9499999999999993"/>
        <color rgb="FF000000"/>
        <rFont val="KaiTi_GB2312"/>
        <family val="3"/>
      </rPr>
      <t xml:space="preserve">号 </t>
    </r>
  </si>
  <si>
    <t xml:space="preserve">商业服务业 </t>
  </si>
  <si>
    <t xml:space="preserve">五通一平 </t>
  </si>
  <si>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0070 </t>
    </r>
    <r>
      <rPr>
        <sz val="9.9499999999999993"/>
        <color rgb="FF000000"/>
        <rFont val="KaiTi_GB2312"/>
        <family val="3"/>
      </rPr>
      <t xml:space="preserve">号 </t>
    </r>
  </si>
  <si>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0071 </t>
    </r>
    <r>
      <rPr>
        <sz val="9.9499999999999993"/>
        <color rgb="FF000000"/>
        <rFont val="KaiTi_GB2312"/>
        <family val="3"/>
      </rPr>
      <t xml:space="preserve">号 </t>
    </r>
  </si>
  <si>
    <t>序号</t>
    <phoneticPr fontId="228" type="noConversion"/>
  </si>
  <si>
    <t>土地用途</t>
    <phoneticPr fontId="228" type="noConversion"/>
  </si>
  <si>
    <t>土地现状</t>
    <phoneticPr fontId="228" type="noConversion"/>
  </si>
  <si>
    <t>土地面积</t>
    <phoneticPr fontId="228" type="noConversion"/>
  </si>
  <si>
    <t>设定容积率</t>
    <phoneticPr fontId="228" type="noConversion"/>
  </si>
  <si>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0069 </t>
    </r>
    <r>
      <rPr>
        <sz val="9.9499999999999993"/>
        <color rgb="FF000000"/>
        <rFont val="KaiTi_GB2312"/>
        <family val="3"/>
      </rPr>
      <t xml:space="preserve">号 </t>
    </r>
    <phoneticPr fontId="228" type="noConversion"/>
  </si>
  <si>
    <t xml:space="preserve">商业服务业 </t>
    <phoneticPr fontId="228" type="noConversion"/>
  </si>
  <si>
    <t xml:space="preserve">五通一平 </t>
    <phoneticPr fontId="228" type="noConversion"/>
  </si>
  <si>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0070 </t>
    </r>
    <r>
      <rPr>
        <sz val="9.9499999999999993"/>
        <color rgb="FF000000"/>
        <rFont val="KaiTi_GB2312"/>
        <family val="3"/>
      </rPr>
      <t xml:space="preserve">号 </t>
    </r>
    <phoneticPr fontId="228" type="noConversion"/>
  </si>
  <si>
    <r>
      <t>京顺国用（</t>
    </r>
    <r>
      <rPr>
        <sz val="9.9499999999999993"/>
        <color rgb="FF000000"/>
        <rFont val="TimesNewRomanPSMT"/>
        <family val="1"/>
      </rPr>
      <t xml:space="preserve">1999 </t>
    </r>
    <r>
      <rPr>
        <sz val="9.9499999999999993"/>
        <color rgb="FF000000"/>
        <rFont val="KaiTi_GB2312"/>
        <family val="3"/>
      </rPr>
      <t xml:space="preserve">出）字第 </t>
    </r>
    <r>
      <rPr>
        <sz val="9.9499999999999993"/>
        <color rgb="FF000000"/>
        <rFont val="TimesNewRomanPSMT"/>
        <family val="1"/>
      </rPr>
      <t xml:space="preserve">0071 </t>
    </r>
    <r>
      <rPr>
        <sz val="9.9499999999999993"/>
        <color rgb="FF000000"/>
        <rFont val="KaiTi_GB2312"/>
        <family val="3"/>
      </rPr>
      <t xml:space="preserve">号 </t>
    </r>
    <phoneticPr fontId="228" type="noConversion"/>
  </si>
  <si>
    <t>合计</t>
    <phoneticPr fontId="228" type="noConversion"/>
  </si>
  <si>
    <t>国有土地使用证证号</t>
    <phoneticPr fontId="228" type="noConversion"/>
  </si>
  <si>
    <t>合计</t>
    <phoneticPr fontId="228" type="noConversion"/>
  </si>
  <si>
    <t>——</t>
    <phoneticPr fontId="228" type="noConversion"/>
  </si>
  <si>
    <t>房屋所有权证证号</t>
    <phoneticPr fontId="228" type="noConversion"/>
  </si>
  <si>
    <t>规划用途</t>
    <phoneticPr fontId="228" type="noConversion"/>
  </si>
  <si>
    <t>商业</t>
    <phoneticPr fontId="228" type="noConversion"/>
  </si>
  <si>
    <t>结构</t>
    <phoneticPr fontId="228" type="noConversion"/>
  </si>
  <si>
    <t>混合</t>
    <phoneticPr fontId="228" type="noConversion"/>
  </si>
  <si>
    <t>建筑面积</t>
    <phoneticPr fontId="228" type="noConversion"/>
  </si>
  <si>
    <t>层数</t>
    <phoneticPr fontId="228" type="noConversion"/>
  </si>
  <si>
    <r>
      <t xml:space="preserve">京房权证顺过移字第 </t>
    </r>
    <r>
      <rPr>
        <sz val="9.9499999999999993"/>
        <color rgb="FF000000"/>
        <rFont val="TimesNewRomanPSMT"/>
        <family val="1"/>
      </rPr>
      <t xml:space="preserve">00102 </t>
    </r>
    <r>
      <rPr>
        <sz val="9.9499999999999993"/>
        <color rgb="FF000000"/>
        <rFont val="KaiTi_GB2312"/>
        <family val="3"/>
      </rPr>
      <t>号</t>
    </r>
  </si>
  <si>
    <r>
      <t xml:space="preserve">京房权证顺过移字第 </t>
    </r>
    <r>
      <rPr>
        <sz val="9.9499999999999993"/>
        <color rgb="FF000000"/>
        <rFont val="TimesNewRomanPSMT"/>
        <family val="1"/>
      </rPr>
      <t>00102 号</t>
    </r>
    <r>
      <rPr>
        <sz val="9.9499999999999993"/>
        <color rgb="FF000000"/>
        <rFont val="KaiTi_GB2312"/>
        <family val="3"/>
      </rPr>
      <t/>
    </r>
  </si>
  <si>
    <t>北京市通州区潞城镇FZX-0901-0162地块F3其他类多功能用地</t>
    <phoneticPr fontId="3" type="noConversion"/>
  </si>
  <si>
    <t>北京市顺义区高丽营镇02-08-01、02-08-02地块</t>
    <phoneticPr fontId="3" type="noConversion"/>
  </si>
  <si>
    <t>通州区</t>
    <phoneticPr fontId="3" type="noConversion"/>
  </si>
  <si>
    <t>宽度XX米，深度XX米,临街宽度及深度比例适宜程度？对土地利用的影响？</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</si>
</sst>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9.9499999999999993"/>
      <color rgb="FF000000"/>
      <name val="KaiTi_GB2312"/>
      <family val="3"/>
    </font>
    <font>
      <sz val="9.9499999999999993"/>
      <color rgb="FF000000"/>
      <name val="TimesNewRomanPSMT"/>
      <family val="1"/>
    </font>
    <font>
      <sz val="10.5"/>
      <color rgb="FF000000"/>
      <name val="楷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144" fillId="0" borderId="6" xfId="0" applyNumberFormat="1" applyFont="1" applyFill="1" applyBorder="1" applyAlignment="1" applyProtection="1">
      <alignment horizontal="center" vertical="center" wrapText="1"/>
      <protection locked="0"/>
    </xf>
    <xf numFmtId="49" fontId="71" fillId="5" borderId="42"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80" fillId="0" borderId="0" xfId="0" applyFont="1">
      <alignment vertical="center"/>
    </xf>
    <xf numFmtId="0" fontId="281" fillId="0" borderId="0" xfId="0" applyFont="1">
      <alignment vertical="center"/>
    </xf>
    <xf numFmtId="4" fontId="281" fillId="0" borderId="0" xfId="0" applyNumberFormat="1" applyFont="1">
      <alignment vertical="center"/>
    </xf>
    <xf numFmtId="0" fontId="145" fillId="0" borderId="2" xfId="0" applyFont="1" applyBorder="1">
      <alignment vertical="center"/>
    </xf>
    <xf numFmtId="0" fontId="282" fillId="0" borderId="82" xfId="0" applyFont="1" applyBorder="1" applyAlignment="1">
      <alignment horizontal="justify"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0"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0"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1"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050;&#24314;&#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1091</v>
          </cell>
          <cell r="C14">
            <v>545.5</v>
          </cell>
          <cell r="D14">
            <v>1104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4" customWidth="1"/>
    <col min="2" max="2" width="78.25" style="2605" customWidth="1"/>
    <col min="3" max="18" width="9" style="2599"/>
    <col min="19" max="19" width="17.875" style="2599" customWidth="1"/>
    <col min="20" max="51" width="9" style="2599"/>
    <col min="52" max="52" width="13.25" style="2599" customWidth="1"/>
    <col min="53" max="53" width="13.5" style="2599" bestFit="1" customWidth="1"/>
    <col min="54" max="54" width="11.625" style="2599" bestFit="1" customWidth="1"/>
    <col min="55" max="55" width="13.5" style="2599" bestFit="1" customWidth="1"/>
    <col min="56" max="16384" width="9" style="2599"/>
  </cols>
  <sheetData>
    <row r="1" spans="1:55" s="2610" customFormat="1" ht="16.5" thickBot="1">
      <c r="A1" s="2608" t="s">
        <v>2636</v>
      </c>
      <c r="B1" s="2609" t="s">
        <v>2733</v>
      </c>
    </row>
    <row r="2" spans="1:55" s="2613" customFormat="1" ht="15" thickTop="1">
      <c r="A2" s="2611" t="s">
        <v>2640</v>
      </c>
      <c r="B2" s="2612" t="str">
        <f>'预评函-封皮'!B37</f>
        <v>北京市出让国有建设用地使用权市场价格预评估</v>
      </c>
      <c r="AX2" s="2614"/>
      <c r="AZ2" s="2614"/>
      <c r="BA2" s="2615"/>
      <c r="BC2" s="2615"/>
    </row>
    <row r="3" spans="1:55" s="2616" customFormat="1">
      <c r="A3" s="2595" t="s">
        <v>2641</v>
      </c>
      <c r="B3" s="2598">
        <f>'预评函-封皮'!B40</f>
        <v>0</v>
      </c>
    </row>
    <row r="4" spans="1:55" s="2597" customFormat="1">
      <c r="A4" s="2595" t="s">
        <v>2642</v>
      </c>
      <c r="B4" s="2596" t="str">
        <f>'预评函-封皮'!B46</f>
        <v>王鹏、郑燚</v>
      </c>
      <c r="N4" s="2597" t="str">
        <f>'预评函-1'!A28</f>
        <v>——</v>
      </c>
    </row>
    <row r="5" spans="1:55" s="2610" customFormat="1" ht="15" thickBot="1">
      <c r="A5" s="2617" t="s">
        <v>2643</v>
      </c>
      <c r="B5" s="2618" t="str">
        <f>'预评函-封皮'!B49</f>
        <v>康正预评字号</v>
      </c>
    </row>
    <row r="6" spans="1:55" s="2619" customFormat="1" ht="15" thickTop="1">
      <c r="A6" s="2611" t="s">
        <v>2685</v>
      </c>
      <c r="B6" s="2612" t="str">
        <f>'预评函-1'!A4</f>
        <v>受贵公司委托，我公司对北京市出让国有建设用地使用权市场价格进行了预评估。</v>
      </c>
      <c r="AM6" s="2620"/>
    </row>
    <row r="7" spans="1:55" s="2594" customFormat="1">
      <c r="A7" s="2595" t="s">
        <v>2637</v>
      </c>
      <c r="B7" s="2596" t="str">
        <f>'预评函-1'!A6</f>
        <v>估价对象为使用的、位于北京市出让国有建设用地使用权。根据《国有土地使用证》[]，估价对象（分摊）出让国有建设用地使用权面积为13141.8平方米。根据《建设工程规划许可证》[]、《出让合同》[]，估价对象规划建筑面积为26283.6平方米。</v>
      </c>
    </row>
    <row r="8" spans="1:55" s="2594" customFormat="1">
      <c r="A8" s="2595" t="s">
        <v>2638</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2688</v>
      </c>
      <c r="B9" s="2596"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2639</v>
      </c>
      <c r="B10" s="2596" t="str">
        <f>'预评函-1'!A11</f>
        <v>2021年5月13日（评估专业人员勘察现场之日）</v>
      </c>
    </row>
    <row r="11" spans="1:55" s="2594" customFormat="1">
      <c r="A11" s="2595" t="s">
        <v>2645</v>
      </c>
      <c r="B11" s="2596" t="str">
        <f>'预评函-1'!A14</f>
        <v>根据《国有土地使用证》[]，本次评估估价对象证载（地类）用途为。</v>
      </c>
    </row>
    <row r="12" spans="1:55" s="2594" customFormat="1">
      <c r="A12" s="2595" t="s">
        <v>2646</v>
      </c>
      <c r="B12" s="2596" t="str">
        <f>'预评函-1'!A15</f>
        <v>本次评估设定用途即为证载用途。</v>
      </c>
    </row>
    <row r="13" spans="1:55" s="2594" customFormat="1">
      <c r="A13" s="2595" t="s">
        <v>2647</v>
      </c>
      <c r="B13" s="2596" t="str">
        <f>'预评函-1'!A17</f>
        <v>根据委托估价方介绍及评估专业人员现场勘查，本次评估估价对象实际土地开发程度为红线外市政基础设施达“七通”（即通路、通电、通讯、通上水、通下水、平整、）、宗地红线内场地平整。</v>
      </c>
    </row>
    <row r="14" spans="1:55" s="2594" customFormat="1">
      <c r="A14" s="2595" t="s">
        <v>2648</v>
      </c>
      <c r="B14" s="2596" t="str">
        <f>'预评函-1'!A18</f>
        <v>。本次评估设定土地开发程度为红线外市政基础设施达“七通”、宗地红线内场地平整。</v>
      </c>
    </row>
    <row r="15" spans="1:55" s="2594" customFormat="1">
      <c r="A15" s="2595" t="s">
        <v>2644</v>
      </c>
      <c r="B15" s="2596" t="str">
        <f>'预评函-1'!A20</f>
        <v>根据《国有土地使用证》[]，估价对象（分摊）出让国有建设用地使用权面积为13141.8平方米。根据《建设工程规划许可证》[]、《出让合同》[]，估价对象规划建筑面积为26283.6平方米。</v>
      </c>
    </row>
    <row r="16" spans="1:55" s="2594" customFormat="1">
      <c r="A16" s="2595" t="s">
        <v>2649</v>
      </c>
      <c r="B16" s="2596" t="str">
        <f>'预评函-1'!A22</f>
        <v>本次估价对象为出让国有建设用地使用权，《国有土地使用证》[]证载土地终止日期为商业2039年10月29日、办公2049年10月29日。截至估价期日，出让国有建设用地使用权剩余土地使用年限为。</v>
      </c>
    </row>
    <row r="17" spans="1:48" s="2594" customFormat="1">
      <c r="A17" s="2595" t="s">
        <v>2650</v>
      </c>
      <c r="B17" s="2596" t="str">
        <f>'预评函-1'!A23</f>
        <v>本次评估设定估价对象剩余土地使用年限为。</v>
      </c>
    </row>
    <row r="18" spans="1:48" s="2594" customFormat="1">
      <c r="A18" s="2595" t="s">
        <v>2651</v>
      </c>
      <c r="B18" s="2596" t="str">
        <f>'预评函-1'!A25</f>
        <v>本次估价的“出让国有建设用地使用权价格”是指在估价对象土地所有权为国家所有，使用权性质为出让，在公开市场条件下、于估价期日2021年5月13日，在规划利用条件下、设定土地开发程度为红线外“七通”、宗地内场地，设定用途为，剩余土地使用年限为的出让国有建设用地使用权价格。</v>
      </c>
    </row>
    <row r="19" spans="1:48" s="2594" customFormat="1">
      <c r="A19" s="2595" t="s">
        <v>2652</v>
      </c>
      <c r="B19" s="2596" t="str">
        <f>'预评函-1'!A26</f>
        <v>——</v>
      </c>
    </row>
    <row r="20" spans="1:48" s="2594" customFormat="1">
      <c r="A20" s="2595" t="s">
        <v>2653</v>
      </c>
      <c r="B20" s="2596" t="str">
        <f>'预评函-1'!A27</f>
        <v>——</v>
      </c>
    </row>
    <row r="21" spans="1:48" s="2610" customFormat="1" ht="15" thickBot="1">
      <c r="A21" s="2617" t="s">
        <v>2654</v>
      </c>
      <c r="B21" s="2618" t="str">
        <f>'预评函-1'!A28</f>
        <v>——</v>
      </c>
    </row>
    <row r="22" spans="1:48" ht="15" thickTop="1">
      <c r="A22" s="2606" t="s">
        <v>2655</v>
      </c>
      <c r="B22" s="2607"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595" t="s">
        <v>2656</v>
      </c>
      <c r="B23" s="2596" t="str">
        <f>'预评函-2'!K2</f>
        <v>估价期日：2021年5月13日</v>
      </c>
    </row>
    <row r="24" spans="1:48">
      <c r="A24" s="2595" t="s">
        <v>2657</v>
      </c>
      <c r="B24" s="2596" t="str">
        <f>'预评函-2'!R2</f>
        <v>估价期日的国有建设用地使用权性质：出让</v>
      </c>
    </row>
    <row r="25" spans="1:48">
      <c r="A25" s="2595" t="s">
        <v>2713</v>
      </c>
      <c r="B25" s="2596" t="str">
        <f>'预评函-2'!A3</f>
        <v>估价期日土地使用者</v>
      </c>
    </row>
    <row r="26" spans="1:48">
      <c r="A26" s="2595" t="s">
        <v>2689</v>
      </c>
      <c r="B26" s="2596" t="str">
        <f>'预评函-2'!A5</f>
        <v>中信开发</v>
      </c>
    </row>
    <row r="27" spans="1:48">
      <c r="A27" s="2595" t="s">
        <v>2714</v>
      </c>
      <c r="B27" s="2596" t="str">
        <f>'预评函-2'!B3</f>
        <v>宗地编号/不动产单元号</v>
      </c>
    </row>
    <row r="28" spans="1:48">
      <c r="A28" s="2595" t="s">
        <v>2690</v>
      </c>
      <c r="B28" s="2596" t="str">
        <f>'预评函-2'!B5</f>
        <v>11111111111</v>
      </c>
    </row>
    <row r="29" spans="1:48">
      <c r="A29" s="2595" t="s">
        <v>2716</v>
      </c>
      <c r="B29" s="2596">
        <f>'预评函-2'!C5</f>
        <v>22</v>
      </c>
    </row>
    <row r="30" spans="1:48">
      <c r="A30" s="2595" t="s">
        <v>2717</v>
      </c>
      <c r="B30" s="2596" t="str">
        <f>'预评函-2'!D3</f>
        <v>土地使用证编号/不动产权证书编号</v>
      </c>
    </row>
    <row r="31" spans="1:48">
      <c r="A31" s="2595" t="s">
        <v>2691</v>
      </c>
      <c r="B31" s="2596" t="str">
        <f>'预评函-2'!D5</f>
        <v>京国土字第111号</v>
      </c>
    </row>
    <row r="32" spans="1:48">
      <c r="A32" s="2595" t="s">
        <v>2692</v>
      </c>
      <c r="B32" s="2596">
        <f>'预评函-2'!E5</f>
        <v>0</v>
      </c>
      <c r="AV32" s="2600"/>
    </row>
    <row r="33" spans="1:2">
      <c r="A33" s="2595" t="s">
        <v>2693</v>
      </c>
      <c r="B33" s="2596">
        <f>'预评函-2'!F5</f>
        <v>258</v>
      </c>
    </row>
    <row r="34" spans="1:2">
      <c r="A34" s="2595" t="s">
        <v>2694</v>
      </c>
      <c r="B34" s="2596">
        <f>'预评函-2'!G5</f>
        <v>0</v>
      </c>
    </row>
    <row r="35" spans="1:2">
      <c r="A35" s="2595" t="s">
        <v>2695</v>
      </c>
      <c r="B35" s="2596">
        <f>'预评函-2'!H5</f>
        <v>1.5</v>
      </c>
    </row>
    <row r="36" spans="1:2">
      <c r="A36" s="2595" t="s">
        <v>2696</v>
      </c>
      <c r="B36" s="2596">
        <f>'预评函-2'!I5</f>
        <v>1.5</v>
      </c>
    </row>
    <row r="37" spans="1:2">
      <c r="A37" s="2595" t="s">
        <v>2697</v>
      </c>
      <c r="B37" s="2596">
        <f>'预评函-2'!J5</f>
        <v>1.5</v>
      </c>
    </row>
    <row r="38" spans="1:2">
      <c r="A38" s="2595" t="s">
        <v>2698</v>
      </c>
      <c r="B38" s="2596" t="str">
        <f>'预评函-2'!K5</f>
        <v>红线外七通、宗地红线内</v>
      </c>
    </row>
    <row r="39" spans="1:2">
      <c r="A39" s="2595" t="s">
        <v>2699</v>
      </c>
      <c r="B39" s="2596" t="str">
        <f>'预评函-2'!L5</f>
        <v>红线外七通、宗地红线内场地</v>
      </c>
    </row>
    <row r="40" spans="1:2">
      <c r="A40" s="2595" t="s">
        <v>2718</v>
      </c>
      <c r="B40" s="2596" t="str">
        <f>'预评函-2'!M3</f>
        <v>（剩余）土地使用年限/年</v>
      </c>
    </row>
    <row r="41" spans="1:2">
      <c r="A41" s="2595" t="s">
        <v>2700</v>
      </c>
      <c r="B41" s="2596">
        <f>'预评函-2'!M5</f>
        <v>0</v>
      </c>
    </row>
    <row r="42" spans="1:2">
      <c r="A42" s="2595" t="s">
        <v>2719</v>
      </c>
      <c r="B42" s="2596" t="str">
        <f>'预评函-2'!N3</f>
        <v>（分摊）出让国有建设用地使用权面积/㎡</v>
      </c>
    </row>
    <row r="43" spans="1:2">
      <c r="A43" s="2595" t="s">
        <v>2701</v>
      </c>
      <c r="B43" s="2596">
        <f>'预评函-2'!N5</f>
        <v>13141.8</v>
      </c>
    </row>
    <row r="44" spans="1:2">
      <c r="A44" s="2595" t="s">
        <v>2720</v>
      </c>
      <c r="B44" s="2596" t="str">
        <f>'预评函-2'!O3</f>
        <v>规划建筑面积/㎡</v>
      </c>
    </row>
    <row r="45" spans="1:2">
      <c r="A45" s="2595" t="s">
        <v>2702</v>
      </c>
      <c r="B45" s="2596">
        <f>'预评函-2'!O5</f>
        <v>26283.599999999999</v>
      </c>
    </row>
    <row r="46" spans="1:2">
      <c r="A46" s="2595" t="s">
        <v>2703</v>
      </c>
      <c r="B46" s="2596">
        <f ca="1">'预评函-2'!P5</f>
        <v>14813</v>
      </c>
    </row>
    <row r="47" spans="1:2">
      <c r="A47" s="2595" t="s">
        <v>2704</v>
      </c>
      <c r="B47" s="2596">
        <f ca="1">'预评函-2'!Q5</f>
        <v>7407</v>
      </c>
    </row>
    <row r="48" spans="1:2">
      <c r="A48" s="2595" t="s">
        <v>2705</v>
      </c>
      <c r="B48" s="2596">
        <f ca="1">'预评函-2'!R5</f>
        <v>19467</v>
      </c>
    </row>
    <row r="49" spans="1:2">
      <c r="A49" s="2595" t="s">
        <v>2721</v>
      </c>
      <c r="B49" s="2596" t="str">
        <f>'预评函-2'!A6</f>
        <v>——</v>
      </c>
    </row>
    <row r="50" spans="1:2">
      <c r="A50" s="2595" t="s">
        <v>2706</v>
      </c>
      <c r="B50" s="2596">
        <f ca="1">'预评函-2'!R6</f>
        <v>19467</v>
      </c>
    </row>
    <row r="51" spans="1:2">
      <c r="A51" s="2595" t="s">
        <v>2722</v>
      </c>
      <c r="B51" s="2596" t="str">
        <f>'预评函-2'!A7</f>
        <v>——</v>
      </c>
    </row>
    <row r="52" spans="1:2">
      <c r="A52" s="2595" t="s">
        <v>2707</v>
      </c>
      <c r="B52" s="2596" t="str">
        <f>'预评函-2'!R7</f>
        <v>——</v>
      </c>
    </row>
    <row r="53" spans="1:2">
      <c r="A53" s="2595" t="s">
        <v>2723</v>
      </c>
      <c r="B53" s="2596" t="str">
        <f>'预评函-2'!A8</f>
        <v>——</v>
      </c>
    </row>
    <row r="54" spans="1:2" s="2610" customFormat="1" ht="15" thickBot="1">
      <c r="A54" s="2617" t="s">
        <v>2708</v>
      </c>
      <c r="B54" s="2618" t="str">
        <f>'预评函-2'!R8</f>
        <v>——</v>
      </c>
    </row>
    <row r="55" spans="1:2" ht="15" thickTop="1">
      <c r="A55" s="2606" t="s">
        <v>2658</v>
      </c>
      <c r="B55" s="2607" t="str">
        <f>'预评函-3'!A2</f>
        <v>1.权利限制：根据估价对象《不动产权证书》原件、《国有土地使用权》复印件，截至估价期日，估价对象抵押权未见登记。未设定租赁等其他他项权利。</v>
      </c>
    </row>
    <row r="56" spans="1:2">
      <c r="A56" s="2595" t="s">
        <v>2659</v>
      </c>
      <c r="B56" s="2596" t="str">
        <f>'预评函-3'!A3</f>
        <v>2.基础设施条件：估价对象实际开发程度为红线外七通、宗地红线内；本次评估设定开发程度为红线外七通、宗地红线内场地。</v>
      </c>
    </row>
    <row r="57" spans="1:2">
      <c r="A57" s="2595" t="s">
        <v>2660</v>
      </c>
      <c r="B57" s="2596" t="str">
        <f>'预评函-3'!A4</f>
        <v>3.估价规划限制条件：详见《建设工程规划许可证》[]、《出让合同》[]。</v>
      </c>
    </row>
    <row r="58" spans="1:2" s="2610" customFormat="1" ht="15" thickBot="1">
      <c r="A58" s="2617" t="s">
        <v>2709</v>
      </c>
      <c r="B58" s="2618" t="str">
        <f>'预评函-3'!A5</f>
        <v>4.影响价格的其他限定条件：无。</v>
      </c>
    </row>
    <row r="59" spans="1:2" ht="15" thickTop="1">
      <c r="A59" s="2606" t="s">
        <v>2661</v>
      </c>
      <c r="B59" s="2607" t="str">
        <f>'预评函-3'!A8</f>
        <v>2.本《评估意见函》仅供金融机构进行内部审核使用，不做其他目的之用。</v>
      </c>
    </row>
    <row r="60" spans="1:2">
      <c r="A60" s="2595" t="s">
        <v>2662</v>
      </c>
      <c r="B60" s="2596" t="str">
        <f>'预评函-3'!A9</f>
        <v>3.抵押双方在办理抵押登记手续时，应使用本公司出具的正式《土地估价报告》，特提请报告使用者注意。</v>
      </c>
    </row>
    <row r="61" spans="1:2">
      <c r="A61" s="2595" t="s">
        <v>2664</v>
      </c>
      <c r="B61" s="2596" t="str">
        <f>'预评函-3'!A10</f>
        <v>4.估价师所知悉的法定优先受偿款情况为：</v>
      </c>
    </row>
    <row r="62" spans="1:2">
      <c r="A62" s="2595" t="s">
        <v>2663</v>
      </c>
      <c r="B62" s="259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5" t="s">
        <v>2665</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2666</v>
      </c>
      <c r="B64" s="2601" t="str">
        <f>'预评函-3'!A13</f>
        <v>（3）。</v>
      </c>
    </row>
    <row r="65" spans="1:2">
      <c r="A65" s="2595" t="s">
        <v>2667</v>
      </c>
      <c r="B65" s="2602" t="str">
        <f>'预评函-3'!A14</f>
        <v>综上，本次评估不存在估价师知悉的法定优先受偿款</v>
      </c>
    </row>
    <row r="66" spans="1:2">
      <c r="A66" s="2595" t="s">
        <v>2668</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2669</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5" thickBot="1">
      <c r="A68" s="2617" t="s">
        <v>2672</v>
      </c>
      <c r="B68" s="2621">
        <f>'预评函-3'!D30</f>
        <v>42558</v>
      </c>
    </row>
    <row r="69" spans="1:2" ht="15" thickTop="1">
      <c r="A69" s="2606" t="s">
        <v>2670</v>
      </c>
      <c r="B69" s="2607" t="str">
        <f>'预评函-3'!A20</f>
        <v>王鹏</v>
      </c>
    </row>
    <row r="70" spans="1:2">
      <c r="A70" s="2595" t="s">
        <v>2670</v>
      </c>
      <c r="B70" s="2602">
        <f ca="1">'预评函-3'!B20</f>
        <v>2002110030</v>
      </c>
    </row>
    <row r="71" spans="1:2">
      <c r="A71" s="2595" t="s">
        <v>2671</v>
      </c>
      <c r="B71" s="2596" t="str">
        <f>'预评函-3'!A21</f>
        <v>郑燚</v>
      </c>
    </row>
    <row r="72" spans="1:2" s="2610" customFormat="1" ht="15" thickBot="1">
      <c r="A72" s="2617" t="s">
        <v>2671</v>
      </c>
      <c r="B72" s="2623">
        <f ca="1">'预评函-3'!B21</f>
        <v>2014110011</v>
      </c>
    </row>
    <row r="73" spans="1:2" ht="15" thickTop="1">
      <c r="A73" s="2606" t="s">
        <v>2730</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2731</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5" thickBot="1">
      <c r="A75" s="2617" t="s">
        <v>2732</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4" t="s">
        <v>2766</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Normal="100" zoomScaleSheetLayoutView="100" workbookViewId="0">
      <selection activeCell="B43" sqref="B43:C44"/>
    </sheetView>
  </sheetViews>
  <sheetFormatPr defaultColWidth="10" defaultRowHeight="14.25"/>
  <cols>
    <col min="1" max="1" width="15.375" style="1613" customWidth="1"/>
    <col min="2" max="2" width="11.375" style="1613" customWidth="1"/>
    <col min="3" max="3" width="12.625" style="1613" customWidth="1"/>
    <col min="4" max="4" width="10" style="1613" customWidth="1"/>
    <col min="5" max="5" width="12.5" style="1613" customWidth="1"/>
    <col min="6" max="6" width="11.375" style="1613" customWidth="1"/>
    <col min="7" max="7" width="12.375" style="1613" customWidth="1"/>
    <col min="8" max="8" width="10" style="1613" customWidth="1"/>
    <col min="9" max="9" width="12.5" style="1614" customWidth="1"/>
    <col min="10" max="10" width="10" style="1613"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3"/>
  </cols>
  <sheetData>
    <row r="1" spans="1:21" ht="15" thickBot="1">
      <c r="A1" s="1586" t="s">
        <v>1926</v>
      </c>
      <c r="B1" s="3331" t="str">
        <f>IF(B10="北京市","北京市",C10)&amp;F10&amp;B16&amp;"国有建设用地使用权"&amp;B9&amp;"预评估"</f>
        <v>北京市出让国有建设用地使用权市场价格预评估</v>
      </c>
      <c r="C1" s="3332"/>
      <c r="D1" s="3332"/>
      <c r="E1" s="3332"/>
      <c r="F1" s="3332"/>
      <c r="G1" s="3332"/>
      <c r="H1" s="3332"/>
      <c r="I1" s="3333"/>
      <c r="J1" s="3073"/>
      <c r="K1" s="2310" t="str">
        <f>IF(B10="北京市","北京市",C10)&amp;F10&amp;B16&amp;"国有建设用地使用权"&amp;B9</f>
        <v>北京市出让国有建设用地使用权市场价格</v>
      </c>
      <c r="L1" s="3052"/>
      <c r="M1" s="3052"/>
      <c r="N1" s="3053"/>
      <c r="O1" s="3054"/>
      <c r="P1" s="3053"/>
      <c r="Q1" s="3053"/>
      <c r="R1" s="3053"/>
      <c r="S1" s="3053"/>
      <c r="T1" s="3053"/>
      <c r="U1" s="3053"/>
    </row>
    <row r="2" spans="1:21">
      <c r="A2" s="1587" t="s">
        <v>1927</v>
      </c>
      <c r="B2" s="1755"/>
      <c r="D2" s="3073"/>
      <c r="E2" s="3073"/>
      <c r="F2" s="3073"/>
      <c r="G2" s="3073"/>
      <c r="H2" s="3074"/>
      <c r="I2" s="3075"/>
      <c r="J2" s="3073"/>
      <c r="K2" s="2310" t="str">
        <f>IF(B10="北京市","北京市",C10)&amp;F10&amp;B16&amp;"国有建设用地使用权"</f>
        <v>北京市出让国有建设用地使用权</v>
      </c>
      <c r="L2" s="3052"/>
      <c r="M2" s="3052"/>
      <c r="N2" s="3053"/>
      <c r="O2" s="3054"/>
      <c r="P2" s="3053"/>
      <c r="Q2" s="3053"/>
      <c r="R2" s="3053"/>
      <c r="S2" s="3053"/>
      <c r="T2" s="3053"/>
      <c r="U2" s="3053"/>
    </row>
    <row r="3" spans="1:21">
      <c r="A3" s="1588" t="s">
        <v>1928</v>
      </c>
      <c r="B3" s="1589">
        <v>44329</v>
      </c>
      <c r="C3" s="2996" t="s">
        <v>1984</v>
      </c>
      <c r="D3" s="1589">
        <v>44329</v>
      </c>
      <c r="E3" s="3073"/>
      <c r="F3" s="3073"/>
      <c r="G3" s="3073"/>
      <c r="H3" s="3074"/>
      <c r="I3" s="3075"/>
      <c r="J3" s="3073"/>
      <c r="K3" s="3056"/>
      <c r="L3" s="3052"/>
      <c r="M3" s="3052"/>
      <c r="N3" s="3053"/>
      <c r="O3" s="3054"/>
      <c r="P3" s="3053"/>
      <c r="Q3" s="3053"/>
      <c r="R3" s="3053"/>
      <c r="S3" s="3053"/>
      <c r="T3" s="3053"/>
      <c r="U3" s="3053"/>
    </row>
    <row r="4" spans="1:21" ht="15" thickBot="1">
      <c r="A4" s="1591" t="s">
        <v>1929</v>
      </c>
      <c r="B4" s="1756" t="s">
        <v>2995</v>
      </c>
      <c r="C4" s="1759">
        <f ca="1">SUMIF(土地估价师,B4,估价师及机构信息!E3:E16)</f>
        <v>2002110030</v>
      </c>
      <c r="D4" s="1756" t="s">
        <v>2996</v>
      </c>
      <c r="E4" s="1759">
        <f ca="1">SUMIF(土地估价师,D4,估价师及机构信息!E3:E16)</f>
        <v>2014110011</v>
      </c>
      <c r="F4" s="1756" t="s">
        <v>943</v>
      </c>
      <c r="G4" s="1759">
        <f>SUMIF(土地估价师,F4,估价师及机构信息!E3:E16)</f>
        <v>0</v>
      </c>
      <c r="H4" s="1756" t="s">
        <v>943</v>
      </c>
      <c r="I4" s="1759">
        <f>SUMIF(土地估价师,H4,估价师及机构信息!E3:E16)</f>
        <v>0</v>
      </c>
      <c r="J4" s="3073"/>
      <c r="K4" s="2310" t="str">
        <f>IF(AND(F4="——",H4="——"),B4&amp;"、"&amp;D4,IF(AND(F4&lt;&gt;"——",H4="——"),B4&amp;"、"&amp;D4&amp;"、"&amp;F4,B4&amp;"、"&amp;D4&amp;"、"&amp;F4&amp;"、"&amp;H4))</f>
        <v>王鹏、郑燚</v>
      </c>
      <c r="L4" s="3052"/>
      <c r="M4" s="3052"/>
      <c r="N4" s="3053"/>
      <c r="O4" s="3054"/>
      <c r="P4" s="3053"/>
      <c r="Q4" s="3053"/>
      <c r="R4" s="3053"/>
      <c r="S4" s="3053"/>
      <c r="T4" s="3053"/>
      <c r="U4" s="3053"/>
    </row>
    <row r="5" spans="1:21" ht="15" thickTop="1">
      <c r="A5" s="1592" t="s">
        <v>1930</v>
      </c>
      <c r="B5" s="1703"/>
      <c r="C5" s="1593"/>
      <c r="D5" s="1594"/>
      <c r="E5" s="3073"/>
      <c r="F5" s="3073"/>
      <c r="G5" s="3073"/>
      <c r="H5" s="3074"/>
      <c r="I5" s="3075"/>
      <c r="J5" s="3073"/>
      <c r="K5" s="3056"/>
      <c r="L5" s="3052"/>
      <c r="M5" s="3052"/>
      <c r="N5" s="3053"/>
      <c r="O5" s="3054"/>
      <c r="P5" s="3053"/>
      <c r="Q5" s="3053"/>
      <c r="R5" s="3053"/>
      <c r="S5" s="3053"/>
      <c r="T5" s="3053"/>
      <c r="U5" s="3053"/>
    </row>
    <row r="6" spans="1:21" ht="26.25">
      <c r="A6" s="1590" t="s">
        <v>2686</v>
      </c>
      <c r="B6" s="1703"/>
      <c r="C6" s="1678"/>
      <c r="D6" s="1595"/>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6" t="s">
        <v>2687</v>
      </c>
      <c r="B7" s="1703"/>
      <c r="C7" s="1678"/>
      <c r="D7" s="1595"/>
      <c r="E7" s="3073"/>
      <c r="F7" s="3073"/>
      <c r="G7" s="3073"/>
      <c r="H7" s="3074"/>
      <c r="I7" s="3075"/>
      <c r="J7" s="3073"/>
      <c r="K7" s="3056"/>
      <c r="L7" s="3052"/>
      <c r="M7" s="3052"/>
      <c r="N7" s="3053"/>
      <c r="O7" s="3054"/>
      <c r="P7" s="3053"/>
      <c r="Q7" s="3053"/>
      <c r="R7" s="3053"/>
      <c r="S7" s="3053"/>
      <c r="T7" s="3053"/>
      <c r="U7" s="3053"/>
    </row>
    <row r="8" spans="1:21">
      <c r="A8" s="2997" t="s">
        <v>1931</v>
      </c>
      <c r="B8" s="1597" t="s">
        <v>2945</v>
      </c>
      <c r="C8" s="1598"/>
      <c r="D8" s="3337" t="s">
        <v>1933</v>
      </c>
      <c r="E8" s="1757" t="s">
        <v>2997</v>
      </c>
      <c r="F8" s="1599"/>
      <c r="G8" s="3074"/>
      <c r="H8" s="3074"/>
      <c r="I8" s="3077"/>
      <c r="J8" s="3073"/>
      <c r="K8" s="3056"/>
      <c r="L8" s="3052"/>
      <c r="M8" s="3052"/>
      <c r="N8" s="3053"/>
      <c r="O8" s="3054"/>
      <c r="P8" s="3053"/>
      <c r="Q8" s="3053"/>
      <c r="R8" s="3053"/>
      <c r="S8" s="3053"/>
      <c r="T8" s="3053"/>
      <c r="U8" s="3053"/>
    </row>
    <row r="9" spans="1:21" ht="15" thickBot="1">
      <c r="A9" s="2998" t="s">
        <v>1932</v>
      </c>
      <c r="B9" s="1600" t="s">
        <v>2998</v>
      </c>
      <c r="C9" s="1601"/>
      <c r="D9" s="3338"/>
      <c r="E9" s="1600" t="s">
        <v>943</v>
      </c>
      <c r="F9" s="1664"/>
      <c r="G9" s="3078"/>
      <c r="H9" s="3078"/>
      <c r="I9" s="3079"/>
      <c r="J9" s="3073"/>
      <c r="K9" s="3056"/>
      <c r="L9" s="3052"/>
      <c r="M9" s="3052"/>
      <c r="N9" s="3053"/>
      <c r="O9" s="3054"/>
      <c r="P9" s="3053"/>
      <c r="Q9" s="3053"/>
      <c r="R9" s="3053"/>
      <c r="S9" s="3053"/>
      <c r="T9" s="3053"/>
      <c r="U9" s="3053"/>
    </row>
    <row r="10" spans="1:21" ht="15" thickTop="1">
      <c r="A10" s="2999" t="s">
        <v>1988</v>
      </c>
      <c r="B10" s="1640" t="s">
        <v>1934</v>
      </c>
      <c r="C10" s="1602"/>
      <c r="D10" s="1594"/>
      <c r="E10" s="1603" t="s">
        <v>1935</v>
      </c>
      <c r="F10" s="1604"/>
      <c r="G10" s="1662"/>
      <c r="H10" s="1663"/>
      <c r="I10" s="1594"/>
      <c r="J10" s="3073"/>
      <c r="K10" s="3056"/>
      <c r="L10" s="3052"/>
      <c r="M10" s="3052"/>
      <c r="N10" s="3053"/>
      <c r="O10" s="3054"/>
      <c r="P10" s="3053"/>
      <c r="Q10" s="3053"/>
      <c r="R10" s="3053"/>
      <c r="S10" s="3053"/>
      <c r="T10" s="3053"/>
      <c r="U10" s="3053"/>
    </row>
    <row r="11" spans="1:21">
      <c r="A11" s="3000" t="s">
        <v>1989</v>
      </c>
      <c r="B11" s="1619" t="s">
        <v>2999</v>
      </c>
      <c r="C11" s="1605"/>
      <c r="D11" s="1679"/>
      <c r="E11" s="3072"/>
      <c r="F11" s="3072"/>
      <c r="G11" s="3072"/>
      <c r="H11" s="3072"/>
      <c r="I11" s="3072"/>
      <c r="J11" s="3073"/>
      <c r="K11" s="3056"/>
      <c r="L11" s="3052"/>
      <c r="M11" s="3052"/>
      <c r="N11" s="3053"/>
      <c r="O11" s="3054"/>
      <c r="P11" s="3053"/>
      <c r="Q11" s="3053"/>
      <c r="R11" s="3053"/>
      <c r="S11" s="3053"/>
      <c r="T11" s="3053"/>
      <c r="U11" s="3053"/>
    </row>
    <row r="12" spans="1:21">
      <c r="A12" s="1699" t="s">
        <v>2047</v>
      </c>
      <c r="B12" s="3334"/>
      <c r="C12" s="3335"/>
      <c r="D12" s="3336"/>
      <c r="E12" s="1620" t="s">
        <v>2050</v>
      </c>
      <c r="F12" s="3352" t="s">
        <v>2867</v>
      </c>
      <c r="G12" s="3353"/>
      <c r="H12" s="3353"/>
      <c r="I12" s="3354"/>
      <c r="J12" s="3073"/>
      <c r="K12" s="3056"/>
      <c r="L12" s="3052"/>
      <c r="M12" s="3052"/>
      <c r="N12" s="3053"/>
      <c r="O12" s="3054"/>
      <c r="P12" s="3053"/>
      <c r="Q12" s="3053"/>
      <c r="R12" s="3053"/>
      <c r="S12" s="3053"/>
      <c r="T12" s="3053"/>
      <c r="U12" s="3053"/>
    </row>
    <row r="13" spans="1:21">
      <c r="A13" s="1611" t="s">
        <v>2048</v>
      </c>
      <c r="B13" s="3334"/>
      <c r="C13" s="3335"/>
      <c r="D13" s="3336"/>
      <c r="E13" s="1620" t="s">
        <v>2050</v>
      </c>
      <c r="F13" s="3352" t="s">
        <v>2868</v>
      </c>
      <c r="G13" s="3353"/>
      <c r="H13" s="3353"/>
      <c r="I13" s="3354"/>
      <c r="J13" s="3073"/>
      <c r="K13" s="3056"/>
      <c r="L13" s="3052"/>
      <c r="M13" s="3052"/>
      <c r="N13" s="3053"/>
      <c r="O13" s="3054"/>
      <c r="P13" s="3053"/>
      <c r="Q13" s="3053"/>
      <c r="R13" s="3053"/>
      <c r="S13" s="3053"/>
      <c r="T13" s="3053"/>
      <c r="U13" s="3053"/>
    </row>
    <row r="14" spans="1:21">
      <c r="A14" s="1588" t="s">
        <v>2051</v>
      </c>
      <c r="B14" s="1620"/>
      <c r="C14" s="1758" t="s">
        <v>3001</v>
      </c>
      <c r="D14" s="1654" t="str">
        <f>IF(C14="不一致","是否符合证载地类范围","")</f>
        <v/>
      </c>
      <c r="E14" s="1620"/>
      <c r="F14" s="1704"/>
      <c r="G14" s="1649"/>
      <c r="H14" s="1649"/>
      <c r="I14" s="1751"/>
      <c r="J14" s="3073"/>
      <c r="K14" s="3056"/>
      <c r="L14" s="3052"/>
      <c r="M14" s="3052"/>
      <c r="N14" s="3053"/>
      <c r="O14" s="3054"/>
      <c r="P14" s="3053"/>
      <c r="Q14" s="3053"/>
      <c r="R14" s="3053"/>
      <c r="S14" s="3053"/>
      <c r="T14" s="3053"/>
      <c r="U14" s="3053"/>
    </row>
    <row r="15" spans="1:21" hidden="1">
      <c r="A15" s="2487"/>
      <c r="B15" s="1590"/>
      <c r="C15" s="1590"/>
      <c r="D15" s="1683" t="s">
        <v>1938</v>
      </c>
      <c r="E15" s="1683" t="s">
        <v>1939</v>
      </c>
      <c r="F15" s="1683" t="s">
        <v>1940</v>
      </c>
      <c r="G15" s="1610" t="s">
        <v>1941</v>
      </c>
      <c r="H15" s="1610" t="s">
        <v>1942</v>
      </c>
      <c r="I15" s="1610" t="s">
        <v>1943</v>
      </c>
      <c r="J15" s="3073"/>
      <c r="K15" s="3056"/>
      <c r="L15" s="3052"/>
      <c r="M15" s="3052"/>
      <c r="N15" s="3053"/>
      <c r="O15" s="3054"/>
      <c r="P15" s="3053"/>
      <c r="Q15" s="3053"/>
      <c r="R15" s="3053"/>
      <c r="S15" s="3053"/>
      <c r="T15" s="3053"/>
      <c r="U15" s="3053"/>
    </row>
    <row r="16" spans="1:21" ht="42.75">
      <c r="A16" s="3001" t="s">
        <v>1936</v>
      </c>
      <c r="B16" s="1606" t="s">
        <v>2940</v>
      </c>
      <c r="C16" s="1620" t="s">
        <v>1937</v>
      </c>
      <c r="D16" s="2488" t="s">
        <v>1938</v>
      </c>
      <c r="E16" s="1643" t="s">
        <v>3000</v>
      </c>
      <c r="F16" s="1643" t="s">
        <v>1668</v>
      </c>
      <c r="G16" s="1643"/>
      <c r="H16" s="1643"/>
      <c r="I16" s="1610" t="s">
        <v>1943</v>
      </c>
      <c r="J16" s="3073"/>
      <c r="K16" s="2311" t="str">
        <f>IF(D17="","",D16&amp;TEXT(D17,"yyyy年m月d日;;"))</f>
        <v/>
      </c>
      <c r="L16" s="1620" t="str">
        <f>IF(OR(K16="",M16=""),"","、")</f>
        <v/>
      </c>
      <c r="M16" s="2311" t="str">
        <f>IF(E17="","",E16&amp;TEXT(E17,"yyyy年m月d日;;"))</f>
        <v>商业2039年10月29日</v>
      </c>
      <c r="N16" s="1620" t="str">
        <f>IF(OR(M16="",O16=""),"","、")</f>
        <v>、</v>
      </c>
      <c r="O16" s="2311" t="str">
        <f>IF(F17="","",F16&amp;TEXT(F17,"yyyy年m月d日;;"))</f>
        <v>办公2049年10月29日</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2" t="s">
        <v>1944</v>
      </c>
      <c r="D17" s="1621"/>
      <c r="E17" s="1621">
        <v>51072</v>
      </c>
      <c r="F17" s="1621">
        <v>54725</v>
      </c>
      <c r="G17" s="1621"/>
      <c r="H17" s="1621"/>
      <c r="I17" s="1621"/>
      <c r="J17" s="3073"/>
      <c r="K17" s="3051" t="str">
        <f>CONCATENATE(K16,L16,M16,N16,O16,P16,Q16,R16,S16,T16,,U16)</f>
        <v>商业2039年10月29日、办公2049年10月29日</v>
      </c>
      <c r="L17" s="3052"/>
      <c r="M17" s="3052"/>
      <c r="N17" s="3053"/>
      <c r="O17" s="3054"/>
      <c r="P17" s="3053"/>
      <c r="Q17" s="3053"/>
      <c r="R17" s="3053"/>
      <c r="S17" s="3053"/>
      <c r="T17" s="3053"/>
      <c r="U17" s="3053"/>
    </row>
    <row r="18" spans="1:21">
      <c r="A18" s="1680"/>
      <c r="B18" s="1607"/>
      <c r="C18" s="3002" t="s">
        <v>1945</v>
      </c>
      <c r="D18" s="1608"/>
      <c r="E18" s="1608">
        <v>40</v>
      </c>
      <c r="F18" s="1608">
        <v>50</v>
      </c>
      <c r="G18" s="1608"/>
      <c r="H18" s="1608"/>
      <c r="I18" s="1608"/>
      <c r="J18" s="3073"/>
      <c r="K18" s="3056"/>
      <c r="L18" s="3052"/>
      <c r="M18" s="3052"/>
      <c r="N18" s="3053"/>
      <c r="O18" s="3054"/>
      <c r="P18" s="3053"/>
      <c r="Q18" s="3053"/>
      <c r="R18" s="3053"/>
      <c r="S18" s="3053"/>
      <c r="T18" s="3053"/>
      <c r="U18" s="3053"/>
    </row>
    <row r="19" spans="1:21">
      <c r="A19" s="1680"/>
      <c r="B19" s="1607"/>
      <c r="C19" s="1587" t="s">
        <v>1946</v>
      </c>
      <c r="D19" s="1675" t="str">
        <f>IF(B16="出让",IF(D17="","",ROUNDDOWN(MIN((D17-$D$3)/365,D18),2)),D18)</f>
        <v/>
      </c>
      <c r="E19" s="1609">
        <f>IF(B16="出让",IF(E17="","",ROUNDDOWN(MIN((E17-$D$3)/365,E18),2)),E18)</f>
        <v>18.47</v>
      </c>
      <c r="F19" s="1609">
        <f>IF(B16="出让",IF(F17="","",ROUNDDOWN(MIN((F17-$D$3)/365,F18),2)),F18)</f>
        <v>28.48</v>
      </c>
      <c r="G19" s="1609" t="str">
        <f>IF(B16="出让",IF(G17="","",ROUNDDOWN(MIN((G17-$D$3)/365,G18),2)),G18)</f>
        <v/>
      </c>
      <c r="H19" s="1609" t="str">
        <f>IF(B16="出让",IF(H17="","",ROUNDDOWN(MIN((H17-$D$3)/365,H18),2)),H18)</f>
        <v/>
      </c>
      <c r="I19" s="1609" t="str">
        <f>IF(B16="出让",IF(I17="","",ROUNDDOWN(MIN((I17-$D$3)/365,I18),2)),I18)</f>
        <v/>
      </c>
      <c r="J19" s="3073"/>
      <c r="K19" s="3056"/>
      <c r="L19" s="3052"/>
      <c r="M19" s="3052"/>
      <c r="N19" s="3053"/>
      <c r="O19" s="3054"/>
      <c r="P19" s="3053"/>
      <c r="Q19" s="3053"/>
      <c r="R19" s="3053"/>
      <c r="S19" s="3053"/>
      <c r="T19" s="3053"/>
      <c r="U19" s="3053"/>
    </row>
    <row r="20" spans="1:21">
      <c r="A20" s="1700"/>
      <c r="B20" s="1701"/>
      <c r="C20" s="1702" t="s">
        <v>2049</v>
      </c>
      <c r="D20" s="3349"/>
      <c r="E20" s="3350"/>
      <c r="F20" s="3350"/>
      <c r="G20" s="3350"/>
      <c r="H20" s="3350"/>
      <c r="I20" s="3351"/>
      <c r="J20" s="3073"/>
      <c r="K20" s="3056"/>
      <c r="L20" s="3052"/>
      <c r="M20" s="3052"/>
      <c r="N20" s="3053"/>
      <c r="O20" s="3054"/>
      <c r="P20" s="3053"/>
      <c r="Q20" s="3053"/>
      <c r="R20" s="3053"/>
      <c r="S20" s="3053"/>
      <c r="T20" s="3053"/>
      <c r="U20" s="3053"/>
    </row>
    <row r="21" spans="1:21">
      <c r="A21" s="1680" t="s">
        <v>1947</v>
      </c>
      <c r="B21" s="1681" t="s">
        <v>1948</v>
      </c>
      <c r="C21" s="1676">
        <f>'数据-汇总表'!E3</f>
        <v>26283.599999999999</v>
      </c>
      <c r="D21" s="1677" t="s">
        <v>1949</v>
      </c>
      <c r="E21" s="3339" t="s">
        <v>1987</v>
      </c>
      <c r="F21" s="3340"/>
      <c r="G21" s="3340"/>
      <c r="H21" s="3340"/>
      <c r="I21" s="3341"/>
      <c r="J21" s="3073"/>
      <c r="K21" s="3056"/>
      <c r="L21" s="3052"/>
      <c r="M21" s="3052"/>
      <c r="N21" s="3053"/>
      <c r="O21" s="3054"/>
      <c r="P21" s="3053"/>
      <c r="Q21" s="3053"/>
      <c r="R21" s="3053"/>
      <c r="S21" s="3053"/>
      <c r="T21" s="3053"/>
      <c r="U21" s="3053"/>
    </row>
    <row r="22" spans="1:21">
      <c r="A22" s="2801" t="s">
        <v>943</v>
      </c>
      <c r="B22" s="1588" t="s">
        <v>1950</v>
      </c>
      <c r="C22" s="1610">
        <f>'数据-汇总表'!D3</f>
        <v>13141.8</v>
      </c>
      <c r="D22" s="1611" t="s">
        <v>1949</v>
      </c>
      <c r="E22" s="3339" t="s">
        <v>2869</v>
      </c>
      <c r="F22" s="3340"/>
      <c r="G22" s="3340"/>
      <c r="H22" s="3340"/>
      <c r="I22" s="3341"/>
      <c r="J22" s="3073"/>
      <c r="K22" s="3056"/>
      <c r="L22" s="3052"/>
      <c r="M22" s="3052"/>
      <c r="N22" s="3053"/>
      <c r="O22" s="3054"/>
      <c r="P22" s="3053"/>
      <c r="Q22" s="3053"/>
      <c r="R22" s="3053"/>
      <c r="S22" s="3053"/>
      <c r="T22" s="3053"/>
      <c r="U22" s="3053"/>
    </row>
    <row r="23" spans="1:21" ht="43.5" thickBot="1">
      <c r="A23" s="1682" t="s">
        <v>1951</v>
      </c>
      <c r="B23" s="1622" t="s">
        <v>1952</v>
      </c>
      <c r="C23" s="1623"/>
      <c r="D23" s="1624" t="s">
        <v>1953</v>
      </c>
      <c r="E23" s="1625"/>
      <c r="F23" s="1626" t="str">
        <f>IF(AND(C23="是",E23="否"),"是否提供他项权证或相关说明","")</f>
        <v/>
      </c>
      <c r="G23" s="1627"/>
      <c r="H23" s="3073"/>
      <c r="I23" s="3077"/>
      <c r="J23" s="3073"/>
      <c r="K23" s="3056"/>
      <c r="L23" s="3052"/>
      <c r="M23" s="3052"/>
      <c r="N23" s="3053"/>
      <c r="O23" s="3054"/>
      <c r="P23" s="3053"/>
      <c r="Q23" s="3053"/>
      <c r="R23" s="3053"/>
      <c r="S23" s="3053"/>
      <c r="T23" s="3053"/>
      <c r="U23" s="3053"/>
    </row>
    <row r="24" spans="1:21">
      <c r="A24" s="1667" t="s">
        <v>1954</v>
      </c>
      <c r="B24" s="3342" t="s">
        <v>1955</v>
      </c>
      <c r="C24" s="3343"/>
      <c r="D24" s="3344" t="s">
        <v>1956</v>
      </c>
      <c r="E24" s="3345"/>
      <c r="F24" s="1629" t="s">
        <v>1957</v>
      </c>
      <c r="G24" s="3073"/>
      <c r="H24" s="3073"/>
      <c r="I24" s="3077"/>
      <c r="J24" s="3073"/>
      <c r="K24" s="3330" t="s">
        <v>1958</v>
      </c>
      <c r="L24" s="231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4"/>
      <c r="N24" s="3053"/>
      <c r="O24" s="3054"/>
      <c r="P24" s="3053"/>
      <c r="Q24" s="3053"/>
      <c r="R24" s="3053"/>
      <c r="S24" s="3053"/>
      <c r="T24" s="3053"/>
      <c r="U24" s="3053"/>
    </row>
    <row r="25" spans="1:21" ht="28.5">
      <c r="A25" s="1668"/>
      <c r="B25" s="1665" t="s">
        <v>2313</v>
      </c>
      <c r="C25" s="1630" t="s">
        <v>1959</v>
      </c>
      <c r="D25" s="1631"/>
      <c r="E25" s="1632" t="s">
        <v>943</v>
      </c>
      <c r="F25" s="1633"/>
      <c r="G25" s="3073"/>
      <c r="H25" s="3073"/>
      <c r="I25" s="3077"/>
      <c r="J25" s="3073"/>
      <c r="K25" s="3330"/>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4"/>
      <c r="N25" s="3053"/>
      <c r="O25" s="3054"/>
      <c r="P25" s="3053"/>
      <c r="Q25" s="3053"/>
      <c r="R25" s="3053"/>
      <c r="S25" s="3053"/>
      <c r="T25" s="3053"/>
      <c r="U25" s="3053"/>
    </row>
    <row r="26" spans="1:21" ht="29.25" thickBot="1">
      <c r="A26" s="1669"/>
      <c r="B26" s="1666" t="s">
        <v>1960</v>
      </c>
      <c r="C26" s="1630" t="s">
        <v>2314</v>
      </c>
      <c r="D26" s="3074"/>
      <c r="E26" s="3074"/>
      <c r="F26" s="3080"/>
      <c r="G26" s="3073"/>
      <c r="H26" s="3073"/>
      <c r="I26" s="3077"/>
      <c r="J26" s="3073"/>
      <c r="K26" s="3330"/>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3"/>
      <c r="O26" s="3054"/>
      <c r="P26" s="3053"/>
      <c r="Q26" s="3053"/>
      <c r="R26" s="3053"/>
      <c r="S26" s="3053"/>
      <c r="T26" s="3053"/>
      <c r="U26" s="3053"/>
    </row>
    <row r="27" spans="1:21">
      <c r="A27" s="1672" t="s">
        <v>1961</v>
      </c>
      <c r="B27" s="1670" t="s">
        <v>1962</v>
      </c>
      <c r="C27" s="1634"/>
      <c r="D27" s="2493" t="s">
        <v>1962</v>
      </c>
      <c r="E27" s="1635"/>
      <c r="F27" s="3080"/>
      <c r="G27" s="3073"/>
      <c r="H27" s="3073"/>
      <c r="I27" s="3077"/>
      <c r="J27" s="3073"/>
      <c r="K27" s="3056"/>
      <c r="L27" s="3052"/>
      <c r="M27" s="3052"/>
      <c r="N27" s="3053"/>
      <c r="O27" s="3054"/>
      <c r="P27" s="3053"/>
      <c r="Q27" s="3053"/>
      <c r="R27" s="3053"/>
      <c r="S27" s="3053"/>
      <c r="T27" s="3053"/>
      <c r="U27" s="3053"/>
    </row>
    <row r="28" spans="1:21">
      <c r="A28" s="1673"/>
      <c r="B28" s="1670" t="s">
        <v>1963</v>
      </c>
      <c r="C28" s="1636"/>
      <c r="D28" s="2494" t="s">
        <v>1963</v>
      </c>
      <c r="E28" s="1637"/>
      <c r="F28" s="3080"/>
      <c r="G28" s="3073"/>
      <c r="H28" s="3073"/>
      <c r="I28" s="3077"/>
      <c r="J28" s="3073"/>
      <c r="K28" s="3056"/>
      <c r="L28" s="3052"/>
      <c r="M28" s="3052"/>
      <c r="N28" s="3053"/>
      <c r="O28" s="3054"/>
      <c r="P28" s="3053"/>
      <c r="Q28" s="3053"/>
      <c r="R28" s="3053"/>
      <c r="S28" s="3053"/>
      <c r="T28" s="3053"/>
      <c r="U28" s="3053"/>
    </row>
    <row r="29" spans="1:21">
      <c r="A29" s="1673"/>
      <c r="B29" s="1670" t="s">
        <v>1964</v>
      </c>
      <c r="C29" s="1636"/>
      <c r="D29" s="2494" t="s">
        <v>1964</v>
      </c>
      <c r="E29" s="1637"/>
      <c r="F29" s="3080"/>
      <c r="G29" s="3073"/>
      <c r="H29" s="3073"/>
      <c r="I29" s="3077"/>
      <c r="J29" s="3073"/>
      <c r="K29" s="3056"/>
      <c r="L29" s="3052"/>
      <c r="M29" s="3052"/>
      <c r="N29" s="3053"/>
      <c r="O29" s="3054"/>
      <c r="P29" s="3053"/>
      <c r="Q29" s="3053"/>
      <c r="R29" s="3053"/>
      <c r="S29" s="3053"/>
      <c r="T29" s="3053"/>
      <c r="U29" s="3053"/>
    </row>
    <row r="30" spans="1:21" ht="15" thickBot="1">
      <c r="A30" s="1674"/>
      <c r="B30" s="1671" t="s">
        <v>1965</v>
      </c>
      <c r="C30" s="1638"/>
      <c r="D30" s="2495" t="s">
        <v>1965</v>
      </c>
      <c r="E30" s="1639"/>
      <c r="F30" s="3081"/>
      <c r="G30" s="3078"/>
      <c r="H30" s="3078"/>
      <c r="I30" s="3079"/>
      <c r="J30" s="3073"/>
      <c r="K30" s="3056"/>
      <c r="L30" s="3052"/>
      <c r="M30" s="3052"/>
      <c r="N30" s="3053"/>
      <c r="O30" s="3054"/>
      <c r="P30" s="3053"/>
      <c r="Q30" s="3053"/>
      <c r="R30" s="3053"/>
      <c r="S30" s="3053"/>
      <c r="T30" s="3053"/>
      <c r="U30" s="3053"/>
    </row>
    <row r="31" spans="1:21" ht="15" thickTop="1">
      <c r="A31" s="3357" t="s">
        <v>1990</v>
      </c>
      <c r="B31" s="1681" t="s">
        <v>1991</v>
      </c>
      <c r="C31" s="3355" t="s">
        <v>3002</v>
      </c>
      <c r="D31" s="3356"/>
      <c r="E31" s="3073"/>
      <c r="F31" s="3073"/>
      <c r="G31" s="3073"/>
      <c r="H31" s="3073"/>
      <c r="I31" s="3077"/>
      <c r="J31" s="3073"/>
      <c r="K31" s="3059"/>
      <c r="L31" s="3053"/>
      <c r="M31" s="3053"/>
      <c r="N31" s="3053"/>
      <c r="O31" s="3053"/>
      <c r="P31" s="3053"/>
      <c r="Q31" s="3053"/>
      <c r="R31" s="3053"/>
      <c r="S31" s="3053"/>
      <c r="T31" s="3053"/>
      <c r="U31" s="3053"/>
    </row>
    <row r="32" spans="1:21">
      <c r="A32" s="3357"/>
      <c r="B32" s="1588" t="s">
        <v>1992</v>
      </c>
      <c r="C32" s="1640"/>
      <c r="D32" s="1641"/>
      <c r="E32" s="3073"/>
      <c r="F32" s="3073"/>
      <c r="G32" s="3073"/>
      <c r="H32" s="3073"/>
      <c r="I32" s="3077"/>
      <c r="J32" s="3073"/>
      <c r="K32" s="3059"/>
      <c r="L32" s="3053"/>
      <c r="M32" s="3053"/>
      <c r="N32" s="3053"/>
      <c r="O32" s="3053"/>
      <c r="P32" s="3053"/>
      <c r="Q32" s="3053"/>
      <c r="R32" s="3053"/>
      <c r="S32" s="3053"/>
      <c r="T32" s="3053"/>
      <c r="U32" s="3053"/>
    </row>
    <row r="33" spans="1:28">
      <c r="A33" s="3357"/>
      <c r="B33" s="1588" t="s">
        <v>1993</v>
      </c>
      <c r="C33" s="1642"/>
      <c r="D33" s="1752"/>
      <c r="E33" s="3073"/>
      <c r="F33" s="3073"/>
      <c r="G33" s="3073"/>
      <c r="H33" s="3073"/>
      <c r="I33" s="3077"/>
      <c r="J33" s="3073"/>
      <c r="K33" s="3059"/>
      <c r="L33" s="3053"/>
      <c r="M33" s="3053"/>
      <c r="N33" s="3053"/>
      <c r="O33" s="3053"/>
      <c r="P33" s="3053"/>
      <c r="Q33" s="3053"/>
      <c r="R33" s="3053"/>
      <c r="S33" s="3053"/>
      <c r="T33" s="3053"/>
      <c r="U33" s="3053"/>
    </row>
    <row r="34" spans="1:28">
      <c r="A34" s="3358"/>
      <c r="B34" s="1588" t="s">
        <v>1994</v>
      </c>
      <c r="C34" s="3359"/>
      <c r="D34" s="3360"/>
      <c r="E34" s="3073"/>
      <c r="F34" s="3073"/>
      <c r="G34" s="3073"/>
      <c r="H34" s="3073"/>
      <c r="I34" s="3077"/>
      <c r="J34" s="3073"/>
      <c r="K34" s="3059"/>
      <c r="L34" s="3053"/>
      <c r="M34" s="3053"/>
      <c r="N34" s="3053"/>
      <c r="O34" s="3053"/>
      <c r="P34" s="3053"/>
      <c r="Q34" s="3053"/>
      <c r="R34" s="3053"/>
      <c r="S34" s="3053"/>
      <c r="T34" s="3053"/>
      <c r="U34" s="3053"/>
    </row>
    <row r="35" spans="1:28">
      <c r="A35" s="3361" t="s">
        <v>839</v>
      </c>
      <c r="B35" s="1643"/>
      <c r="C35" s="1690" t="str">
        <f>IF(B35="场地平整","——","具体情况：")</f>
        <v>具体情况：</v>
      </c>
      <c r="D35" s="3363"/>
      <c r="E35" s="3364"/>
      <c r="F35" s="3364"/>
      <c r="G35" s="3364"/>
      <c r="H35" s="3364"/>
      <c r="I35" s="3365"/>
      <c r="J35" s="3073"/>
      <c r="K35" s="3060"/>
      <c r="L35" s="3052"/>
      <c r="M35" s="3052"/>
      <c r="N35" s="3053"/>
      <c r="O35" s="3054"/>
      <c r="P35" s="3053"/>
      <c r="Q35" s="3053"/>
      <c r="R35" s="3053"/>
      <c r="S35" s="3053"/>
      <c r="T35" s="3053"/>
      <c r="U35" s="3053"/>
    </row>
    <row r="36" spans="1:28">
      <c r="A36" s="3357"/>
      <c r="B36" s="3366" t="s">
        <v>2043</v>
      </c>
      <c r="C36" s="3367"/>
      <c r="D36" s="1706"/>
      <c r="E36" s="3368"/>
      <c r="F36" s="3368"/>
      <c r="G36" s="1611" t="str">
        <f>IF(B35="场地未平整","估价结果处理","")</f>
        <v/>
      </c>
      <c r="H36" s="3369"/>
      <c r="I36" s="3369"/>
      <c r="J36" s="3073"/>
      <c r="K36" s="3060"/>
      <c r="L36" s="3052"/>
      <c r="M36" s="3052"/>
      <c r="N36" s="3053"/>
      <c r="O36" s="3054"/>
      <c r="P36" s="3053"/>
      <c r="Q36" s="3053"/>
      <c r="R36" s="3053"/>
      <c r="S36" s="3053"/>
      <c r="T36" s="3053"/>
      <c r="U36" s="3053"/>
    </row>
    <row r="37" spans="1:28" ht="28.5">
      <c r="A37" s="3357"/>
      <c r="B37" s="3346" t="s">
        <v>840</v>
      </c>
      <c r="C37" s="1645" t="s">
        <v>841</v>
      </c>
      <c r="D37" s="1646"/>
      <c r="E37" s="1647"/>
      <c r="F37" s="3073"/>
      <c r="G37" s="3073"/>
      <c r="H37" s="3073"/>
      <c r="I37" s="3077"/>
      <c r="J37" s="3073"/>
      <c r="K37" s="3060"/>
      <c r="L37" s="3053"/>
      <c r="M37" s="3053"/>
      <c r="N37" s="3053"/>
      <c r="O37" s="3053"/>
      <c r="P37" s="3053"/>
      <c r="Q37" s="3053"/>
      <c r="R37" s="3053"/>
      <c r="S37" s="3053"/>
      <c r="T37" s="3053"/>
      <c r="U37" s="3053"/>
    </row>
    <row r="38" spans="1:28">
      <c r="A38" s="3357"/>
      <c r="B38" s="3347"/>
      <c r="C38" s="1596" t="s">
        <v>842</v>
      </c>
      <c r="D38" s="1705">
        <f>ROUNDDOWN(MIN(('数据-取费表'!$B$2-D37)/365,D34),1)</f>
        <v>121.4</v>
      </c>
      <c r="E38" s="1648" t="s">
        <v>843</v>
      </c>
      <c r="F38" s="3073"/>
      <c r="G38" s="3073"/>
      <c r="H38" s="3073"/>
      <c r="I38" s="3077"/>
      <c r="J38" s="3073"/>
      <c r="K38" s="3060"/>
      <c r="L38" s="3053"/>
      <c r="M38" s="3053"/>
      <c r="N38" s="3053"/>
      <c r="O38" s="3053"/>
      <c r="P38" s="3053"/>
      <c r="Q38" s="3053"/>
      <c r="R38" s="3053"/>
      <c r="S38" s="3053"/>
      <c r="T38" s="3053"/>
      <c r="U38" s="3053"/>
    </row>
    <row r="39" spans="1:28">
      <c r="A39" s="3358"/>
      <c r="B39" s="3348"/>
      <c r="C39" s="1618" t="str">
        <f>IF(D38&lt;1,"不存在土地闲置",IF(B35="宗地内已开工建设","已开工，不存在土地闲置","估价对象已涉嫌土地闲置"))</f>
        <v>估价对象已涉嫌土地闲置</v>
      </c>
      <c r="D39" s="1649"/>
      <c r="E39" s="1650"/>
      <c r="F39" s="3073"/>
      <c r="G39" s="3073"/>
      <c r="H39" s="3073"/>
      <c r="I39" s="3077"/>
      <c r="J39" s="3073"/>
      <c r="K39" s="3056"/>
      <c r="L39" s="3052"/>
      <c r="M39" s="3052"/>
      <c r="N39" s="3053"/>
      <c r="O39" s="3054"/>
      <c r="P39" s="3053"/>
      <c r="Q39" s="3053"/>
      <c r="R39" s="3053"/>
      <c r="S39" s="3053"/>
      <c r="T39" s="3053"/>
      <c r="U39" s="3053"/>
    </row>
    <row r="40" spans="1:28">
      <c r="A40" s="1611" t="s">
        <v>1966</v>
      </c>
      <c r="B40" s="1612" t="s">
        <v>3003</v>
      </c>
      <c r="C40" s="1612" t="s">
        <v>3004</v>
      </c>
      <c r="D40" s="1612" t="s">
        <v>3005</v>
      </c>
      <c r="E40" s="1612" t="s">
        <v>3006</v>
      </c>
      <c r="F40" s="1612" t="s">
        <v>3007</v>
      </c>
      <c r="G40" s="1612" t="s">
        <v>3008</v>
      </c>
      <c r="H40" s="1612"/>
      <c r="I40" s="3077"/>
      <c r="J40" s="3073"/>
      <c r="K40" s="3021">
        <f>COUNTIF(B40:H40,"——")</f>
        <v>0</v>
      </c>
      <c r="L40" s="1620" t="s">
        <v>1967</v>
      </c>
      <c r="M40" s="1617" t="s">
        <v>1968</v>
      </c>
      <c r="N40" s="1617" t="s">
        <v>1969</v>
      </c>
      <c r="O40" s="1617" t="s">
        <v>1970</v>
      </c>
      <c r="P40" s="1617" t="s">
        <v>1971</v>
      </c>
      <c r="Q40" s="1617" t="s">
        <v>1972</v>
      </c>
      <c r="R40" s="1617" t="s">
        <v>1973</v>
      </c>
      <c r="S40" s="3329" t="s">
        <v>1974</v>
      </c>
      <c r="T40" s="1652" t="str">
        <f>NUMBERSTRING(7-K40,1)&amp;"通"</f>
        <v>七通</v>
      </c>
      <c r="U40" s="3053"/>
    </row>
    <row r="41" spans="1:28">
      <c r="A41" s="1590"/>
      <c r="B41" s="3362" t="s">
        <v>1712</v>
      </c>
      <c r="C41" s="3362"/>
      <c r="D41" s="3362"/>
      <c r="E41" s="3362"/>
      <c r="F41" s="1653">
        <f>C10</f>
        <v>0</v>
      </c>
      <c r="G41" s="3073"/>
      <c r="H41" s="3073"/>
      <c r="I41" s="3077"/>
      <c r="J41" s="3073"/>
      <c r="K41" s="1620"/>
      <c r="L41" s="1617" t="str">
        <f>B40</f>
        <v>通路</v>
      </c>
      <c r="M41" s="1654" t="str">
        <f>B40&amp;"、"&amp;C40</f>
        <v>通路、通电</v>
      </c>
      <c r="N41" s="1655" t="str">
        <f>B40&amp;"、"&amp;C40&amp;"、"&amp;D40</f>
        <v>通路、通电、通讯</v>
      </c>
      <c r="O41" s="1655" t="str">
        <f>B40&amp;"、"&amp;C40&amp;"、"&amp;D40&amp;"、"&amp;E40</f>
        <v>通路、通电、通讯、通上水</v>
      </c>
      <c r="P41" s="1655" t="str">
        <f>B40&amp;"、"&amp;C40&amp;"、"&amp;D40&amp;"、"&amp;E40&amp;"、"&amp;F40</f>
        <v>通路、通电、通讯、通上水、通下水</v>
      </c>
      <c r="Q41" s="1655" t="str">
        <f>B40&amp;"、"&amp;C40&amp;"、"&amp;D40&amp;"、"&amp;E40&amp;"、"&amp;F40&amp;"、"&amp;G40</f>
        <v>通路、通电、通讯、通上水、通下水、平整</v>
      </c>
      <c r="R41" s="1655" t="str">
        <f>B40&amp;"、"&amp;C40&amp;"、"&amp;D40&amp;"、"&amp;E40&amp;"、"&amp;F40&amp;"、"&amp;G40&amp;"、"&amp;H40</f>
        <v>通路、通电、通讯、通上水、通下水、平整、</v>
      </c>
      <c r="S41" s="3329"/>
      <c r="T41" s="1654" t="str">
        <f>IF(T40="一通",L41,IF(T40="二通",M41,IF(T40="三通",N41,IF(T40="四通",O41,IF(T40="五通",P41,IF(T40="六通",Q41,R41))))))</f>
        <v>通路、通电、通讯、通上水、通下水、平整、</v>
      </c>
      <c r="U41" s="3053"/>
    </row>
    <row r="42" spans="1:28">
      <c r="A42" s="1656"/>
      <c r="B42" s="1683" t="s">
        <v>1888</v>
      </c>
      <c r="C42" s="1683" t="s">
        <v>1889</v>
      </c>
      <c r="D42" s="1683" t="s">
        <v>1890</v>
      </c>
      <c r="E42" s="1620" t="s">
        <v>1891</v>
      </c>
      <c r="F42" s="1657"/>
      <c r="G42" s="3073"/>
      <c r="H42" s="3073"/>
      <c r="I42" s="3077"/>
      <c r="J42" s="3073"/>
      <c r="K42" s="3056"/>
      <c r="L42" s="3052"/>
      <c r="M42" s="3052"/>
      <c r="N42" s="3053"/>
      <c r="O42" s="3054"/>
      <c r="P42" s="3053"/>
      <c r="Q42" s="3053"/>
      <c r="R42" s="3053"/>
      <c r="S42" s="3053"/>
      <c r="T42" s="3053"/>
      <c r="U42" s="3053"/>
    </row>
    <row r="43" spans="1:28">
      <c r="A43" s="3024" t="s">
        <v>1697</v>
      </c>
      <c r="B43" s="1658" t="s">
        <v>1404</v>
      </c>
      <c r="C43" s="1658" t="s">
        <v>1404</v>
      </c>
      <c r="D43" s="1658"/>
      <c r="E43" s="1658"/>
      <c r="F43" s="1659"/>
      <c r="G43" s="3073"/>
      <c r="H43" s="3073"/>
      <c r="I43" s="3077"/>
      <c r="J43" s="3073"/>
      <c r="K43" s="3056"/>
      <c r="L43" s="3052"/>
      <c r="M43" s="3052"/>
      <c r="N43" s="3053"/>
      <c r="O43" s="3054"/>
      <c r="P43" s="3053"/>
      <c r="Q43" s="3053"/>
      <c r="R43" s="3053"/>
      <c r="S43" s="3053"/>
      <c r="T43" s="3053"/>
      <c r="U43" s="3053"/>
    </row>
    <row r="44" spans="1:28">
      <c r="A44" s="3024" t="s">
        <v>1698</v>
      </c>
      <c r="B44" s="1658" t="s">
        <v>3009</v>
      </c>
      <c r="C44" s="1658" t="s">
        <v>3009</v>
      </c>
      <c r="D44" s="1658"/>
      <c r="E44" s="1706"/>
      <c r="F44" s="1659"/>
      <c r="G44" s="3073"/>
      <c r="H44" s="3073"/>
      <c r="I44" s="3077"/>
      <c r="J44" s="3073"/>
      <c r="K44" s="3056"/>
      <c r="L44" s="3052"/>
      <c r="M44" s="3052"/>
      <c r="N44" s="3053"/>
      <c r="O44" s="3054"/>
      <c r="P44" s="3053"/>
      <c r="Q44" s="3053"/>
      <c r="R44" s="3053"/>
      <c r="S44" s="3053"/>
      <c r="T44" s="3053"/>
      <c r="U44" s="3053"/>
    </row>
    <row r="45" spans="1:28" s="2772" customFormat="1" ht="21" thickBot="1">
      <c r="A45" s="2773" t="s">
        <v>2870</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5"/>
      <c r="B46" s="1615"/>
      <c r="C46" s="1615"/>
      <c r="D46" s="1615"/>
      <c r="E46" s="1615"/>
      <c r="F46" s="1615"/>
      <c r="G46" s="1615"/>
      <c r="H46" s="1615"/>
      <c r="I46" s="1628"/>
      <c r="J46" s="1615"/>
      <c r="K46" s="3056"/>
      <c r="L46" s="3052"/>
      <c r="M46" s="3052"/>
      <c r="N46" s="3053"/>
      <c r="O46" s="3054"/>
      <c r="P46" s="3053"/>
      <c r="Q46" s="3053"/>
      <c r="R46" s="3053"/>
      <c r="S46" s="3053"/>
      <c r="T46" s="3053"/>
      <c r="U46" s="3053"/>
    </row>
    <row r="47" spans="1:28">
      <c r="A47" s="1660" t="s">
        <v>1995</v>
      </c>
      <c r="B47" s="1661"/>
      <c r="C47" s="1650"/>
      <c r="D47" s="1615"/>
      <c r="E47" s="1615"/>
      <c r="F47" s="1615"/>
      <c r="G47" s="1615"/>
      <c r="H47" s="1615"/>
      <c r="I47" s="1616"/>
      <c r="J47" s="1615"/>
      <c r="K47" s="3056"/>
      <c r="L47" s="3052"/>
      <c r="M47" s="3052"/>
      <c r="N47" s="3053"/>
      <c r="O47" s="3054"/>
      <c r="P47" s="3053"/>
      <c r="Q47" s="3053"/>
      <c r="R47" s="3053"/>
      <c r="S47" s="3053"/>
      <c r="T47" s="3053"/>
      <c r="U47" s="3053"/>
    </row>
    <row r="48" spans="1:28" ht="28.5">
      <c r="A48" s="1620" t="s">
        <v>1996</v>
      </c>
      <c r="B48" s="1610" t="s">
        <v>1997</v>
      </c>
      <c r="C48" s="1610" t="s">
        <v>1998</v>
      </c>
      <c r="D48" s="1610" t="s">
        <v>1999</v>
      </c>
      <c r="E48" s="1610" t="s">
        <v>2000</v>
      </c>
      <c r="F48" s="1610" t="s">
        <v>2001</v>
      </c>
      <c r="G48" s="1610" t="s">
        <v>2002</v>
      </c>
      <c r="H48" s="1610" t="s">
        <v>2003</v>
      </c>
      <c r="I48" s="1610" t="s">
        <v>2004</v>
      </c>
      <c r="J48" s="1689"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7"/>
      <c r="B49" s="1651"/>
      <c r="C49" s="1651"/>
      <c r="D49" s="1651"/>
      <c r="E49" s="1651"/>
      <c r="F49" s="1651"/>
      <c r="G49" s="1651"/>
      <c r="H49" s="1651"/>
      <c r="I49" s="1651"/>
      <c r="J49" s="1753"/>
      <c r="K49" s="3068"/>
      <c r="L49" s="3068"/>
      <c r="M49" s="1657"/>
      <c r="N49" s="1657"/>
      <c r="O49" s="1657"/>
      <c r="P49" s="1657"/>
      <c r="Q49" s="1657"/>
      <c r="R49" s="1657"/>
      <c r="S49" s="3053"/>
      <c r="T49" s="3053"/>
      <c r="U49" s="3053"/>
    </row>
    <row r="50" spans="1:21">
      <c r="A50" s="1617"/>
      <c r="B50" s="1617"/>
      <c r="C50" s="1651"/>
      <c r="D50" s="1651"/>
      <c r="E50" s="1651"/>
      <c r="F50" s="1651"/>
      <c r="G50" s="1651"/>
      <c r="H50" s="1651"/>
      <c r="I50" s="1651"/>
      <c r="J50" s="1753"/>
      <c r="K50" s="3068"/>
      <c r="L50" s="3068"/>
      <c r="M50" s="1657"/>
      <c r="N50" s="1657"/>
      <c r="O50" s="1657"/>
      <c r="P50" s="1657"/>
      <c r="Q50" s="1657"/>
      <c r="R50" s="1657"/>
      <c r="S50" s="3053"/>
      <c r="T50" s="3053"/>
      <c r="U50" s="3053"/>
    </row>
    <row r="51" spans="1:21">
      <c r="A51" s="1617"/>
      <c r="B51" s="1617"/>
      <c r="C51" s="1651"/>
      <c r="D51" s="1651"/>
      <c r="E51" s="1651"/>
      <c r="F51" s="1651"/>
      <c r="G51" s="1651"/>
      <c r="H51" s="1651"/>
      <c r="I51" s="1651"/>
      <c r="J51" s="1753"/>
      <c r="K51" s="3068"/>
      <c r="L51" s="3068"/>
      <c r="M51" s="1657"/>
      <c r="N51" s="1657"/>
      <c r="O51" s="1657"/>
      <c r="P51" s="1657"/>
      <c r="Q51" s="1657"/>
      <c r="R51" s="1657"/>
      <c r="S51" s="3053"/>
      <c r="T51" s="3053"/>
      <c r="U51" s="3053"/>
    </row>
    <row r="52" spans="1:21">
      <c r="A52" s="1617"/>
      <c r="B52" s="1617"/>
      <c r="C52" s="1651"/>
      <c r="D52" s="1651"/>
      <c r="E52" s="1651"/>
      <c r="F52" s="1651"/>
      <c r="G52" s="1651"/>
      <c r="H52" s="1651"/>
      <c r="I52" s="1651"/>
      <c r="J52" s="1753"/>
      <c r="K52" s="3068"/>
      <c r="L52" s="3068"/>
      <c r="M52" s="1657"/>
      <c r="N52" s="1657"/>
      <c r="O52" s="1657"/>
      <c r="P52" s="1657"/>
      <c r="Q52" s="1657"/>
      <c r="R52" s="1657"/>
      <c r="S52" s="3053"/>
      <c r="T52" s="3053"/>
      <c r="U52" s="3053"/>
    </row>
    <row r="53" spans="1:21">
      <c r="A53" s="1617"/>
      <c r="B53" s="1617"/>
      <c r="C53" s="1651"/>
      <c r="D53" s="1651"/>
      <c r="E53" s="1651"/>
      <c r="F53" s="1651"/>
      <c r="G53" s="1651"/>
      <c r="H53" s="1651"/>
      <c r="I53" s="1651"/>
      <c r="J53" s="1753"/>
      <c r="K53" s="3068"/>
      <c r="L53" s="3068"/>
      <c r="M53" s="1657"/>
      <c r="N53" s="1657"/>
      <c r="O53" s="1657"/>
      <c r="P53" s="1657"/>
      <c r="Q53" s="1657"/>
      <c r="R53" s="1657"/>
      <c r="S53" s="3053"/>
      <c r="T53" s="3053"/>
      <c r="U53" s="3053"/>
    </row>
    <row r="54" spans="1:21">
      <c r="A54" s="1617"/>
      <c r="B54" s="1617"/>
      <c r="C54" s="1617"/>
      <c r="D54" s="1617"/>
      <c r="E54" s="1617"/>
      <c r="F54" s="1651"/>
      <c r="G54" s="1617"/>
      <c r="H54" s="1617"/>
      <c r="I54" s="1617"/>
      <c r="J54" s="1754"/>
      <c r="K54" s="3068"/>
      <c r="L54" s="3068"/>
      <c r="M54" s="3068"/>
      <c r="N54" s="3020"/>
      <c r="O54" s="3020"/>
      <c r="P54" s="3020"/>
      <c r="Q54" s="3020"/>
      <c r="R54" s="3020"/>
      <c r="S54" s="3053"/>
      <c r="T54" s="3053"/>
      <c r="U54" s="3053"/>
    </row>
    <row r="55" spans="1:21">
      <c r="A55" s="1617"/>
      <c r="B55" s="1617"/>
      <c r="C55" s="1617"/>
      <c r="D55" s="1617"/>
      <c r="E55" s="1617"/>
      <c r="F55" s="1651"/>
      <c r="G55" s="1617"/>
      <c r="H55" s="1617"/>
      <c r="I55" s="1617"/>
      <c r="J55" s="1754"/>
      <c r="K55" s="3068"/>
      <c r="L55" s="3068"/>
      <c r="M55" s="3068"/>
      <c r="N55" s="3020"/>
      <c r="O55" s="3020"/>
      <c r="P55" s="3020"/>
      <c r="Q55" s="3020"/>
      <c r="R55" s="3020"/>
      <c r="S55" s="3053"/>
      <c r="T55" s="3053"/>
      <c r="U55" s="3053"/>
    </row>
    <row r="56" spans="1:21">
      <c r="A56" s="1617"/>
      <c r="B56" s="1617"/>
      <c r="C56" s="1617"/>
      <c r="D56" s="1617"/>
      <c r="E56" s="1617"/>
      <c r="F56" s="1651"/>
      <c r="G56" s="1617"/>
      <c r="H56" s="1617"/>
      <c r="I56" s="1617"/>
      <c r="J56" s="1754"/>
      <c r="K56" s="3068"/>
      <c r="L56" s="3068"/>
      <c r="M56" s="3068"/>
      <c r="N56" s="3020"/>
      <c r="O56" s="3020"/>
      <c r="P56" s="3020"/>
      <c r="Q56" s="3020"/>
      <c r="R56" s="3020"/>
      <c r="S56" s="3053"/>
      <c r="T56" s="3053"/>
      <c r="U56" s="3053"/>
    </row>
    <row r="57" spans="1:21">
      <c r="A57" s="1617"/>
      <c r="B57" s="1617"/>
      <c r="C57" s="1617"/>
      <c r="D57" s="1617"/>
      <c r="E57" s="1617"/>
      <c r="F57" s="1651"/>
      <c r="G57" s="1617"/>
      <c r="H57" s="1617"/>
      <c r="I57" s="1617"/>
      <c r="J57" s="1754"/>
      <c r="K57" s="3068"/>
      <c r="L57" s="3068"/>
      <c r="M57" s="3068"/>
      <c r="N57" s="3020"/>
      <c r="O57" s="3020"/>
      <c r="P57" s="3020"/>
      <c r="Q57" s="3020"/>
      <c r="R57" s="3020"/>
      <c r="S57" s="3053"/>
      <c r="T57" s="3053"/>
      <c r="U57" s="3053"/>
    </row>
    <row r="58" spans="1:21">
      <c r="A58" s="1617"/>
      <c r="B58" s="1617"/>
      <c r="C58" s="1617"/>
      <c r="D58" s="1617"/>
      <c r="E58" s="1617"/>
      <c r="F58" s="1651"/>
      <c r="G58" s="1617"/>
      <c r="H58" s="1617"/>
      <c r="I58" s="1617"/>
      <c r="J58" s="1754"/>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13" sqref="G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2321</v>
      </c>
      <c r="BA2" s="2220" t="s">
        <v>2320</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5370+5343+2974.3</f>
        <v>13687.3</v>
      </c>
      <c r="B3" s="22">
        <f>IF(C3="否",G5-AT5,G5)</f>
        <v>27374.6</v>
      </c>
      <c r="C3" s="23" t="s">
        <v>1669</v>
      </c>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27374.6</v>
      </c>
      <c r="H5" s="27">
        <f t="shared" ref="H5:AT5" si="0">SUM(H13:H641)</f>
        <v>27374.6</v>
      </c>
      <c r="I5" s="27">
        <f t="shared" si="0"/>
        <v>27374.6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26283.599999999999</v>
      </c>
      <c r="BA5" s="29">
        <f t="shared" si="1"/>
        <v>26283.599999999999</v>
      </c>
      <c r="BB5" s="29">
        <f t="shared" si="1"/>
        <v>26283.599999999999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13687.3</v>
      </c>
      <c r="F6" s="27" t="s">
        <v>1</v>
      </c>
      <c r="G6" s="27" t="s">
        <v>2</v>
      </c>
      <c r="H6" s="33">
        <f>SUMIF(I$12:AB$12,"总值",I6:AB6)</f>
        <v>13687.3</v>
      </c>
      <c r="I6" s="27">
        <f t="shared" ref="I6:AB6" si="2">ROUND($A$3*I5/$B$3,2)</f>
        <v>13687.3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13141.8</v>
      </c>
      <c r="AZ6" s="27" t="s">
        <v>3</v>
      </c>
      <c r="BA6" s="27">
        <f>ROUND($AY$6*BA5/$AZ$5,2)</f>
        <v>13141.8</v>
      </c>
      <c r="BB6" s="27">
        <f>ROUND($AY$6*BB5/$AZ$5,2)</f>
        <v>13141.8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1" t="s">
        <v>3013</v>
      </c>
      <c r="J9" s="51"/>
      <c r="K9" s="2731"/>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1" t="s">
        <v>1668</v>
      </c>
      <c r="J10" s="51"/>
      <c r="K10" s="2733"/>
      <c r="L10" s="51"/>
      <c r="M10" s="2733"/>
      <c r="N10" s="51"/>
      <c r="O10" s="66"/>
      <c r="P10" s="51"/>
      <c r="Q10" s="66"/>
      <c r="R10" s="51"/>
      <c r="S10" s="66"/>
      <c r="T10" s="51"/>
      <c r="U10" s="66"/>
      <c r="V10" s="51"/>
      <c r="W10" s="66"/>
      <c r="X10" s="51"/>
      <c r="Y10" s="66"/>
      <c r="Z10" s="51"/>
      <c r="AA10" s="66"/>
      <c r="AB10" s="51"/>
      <c r="AC10" s="55"/>
      <c r="AD10" s="2194" t="s">
        <v>2305</v>
      </c>
      <c r="AE10" s="2216"/>
      <c r="AF10" s="2194" t="s">
        <v>2305</v>
      </c>
      <c r="AG10" s="2216"/>
      <c r="AH10" s="2194" t="s">
        <v>2306</v>
      </c>
      <c r="AI10" s="2216"/>
      <c r="AJ10" s="26" t="s">
        <v>2319</v>
      </c>
      <c r="AK10" s="2213"/>
      <c r="AL10" s="2194" t="s">
        <v>2307</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2"/>
      <c r="J11" s="71"/>
      <c r="K11" s="2732"/>
      <c r="L11" s="71"/>
      <c r="M11" s="70"/>
      <c r="N11" s="71"/>
      <c r="O11" s="70"/>
      <c r="P11" s="71"/>
      <c r="Q11" s="70"/>
      <c r="R11" s="71"/>
      <c r="S11" s="70"/>
      <c r="T11" s="71"/>
      <c r="U11" s="70"/>
      <c r="V11" s="71"/>
      <c r="W11" s="70"/>
      <c r="X11" s="71"/>
      <c r="Y11" s="70"/>
      <c r="Z11" s="71"/>
      <c r="AA11" s="70"/>
      <c r="AB11" s="71"/>
      <c r="AC11" s="55"/>
      <c r="AD11" s="2214" t="s">
        <v>2318</v>
      </c>
      <c r="AE11" s="990"/>
      <c r="AF11" s="2214" t="s">
        <v>2318</v>
      </c>
      <c r="AG11" s="990"/>
      <c r="AH11" s="2214" t="s">
        <v>2317</v>
      </c>
      <c r="AI11" s="2215"/>
      <c r="AJ11" s="2214" t="s">
        <v>2317</v>
      </c>
      <c r="AK11" s="2213"/>
      <c r="AL11" s="988"/>
      <c r="AM11" s="990"/>
      <c r="AN11" s="988"/>
      <c r="AO11" s="990"/>
      <c r="AP11" s="1171"/>
      <c r="AQ11" s="1173"/>
      <c r="AR11" s="1171"/>
      <c r="AS11" s="1173"/>
      <c r="AT11" s="991"/>
      <c r="AU11" s="45"/>
      <c r="AV11" s="55"/>
      <c r="AW11" s="991"/>
      <c r="AX11" s="55"/>
      <c r="AY11" s="62"/>
      <c r="AZ11" s="62"/>
      <c r="BA11" s="62"/>
      <c r="BB11" s="50" t="str">
        <f>I10</f>
        <v>办公</v>
      </c>
      <c r="BC11" s="50">
        <f>K10</f>
        <v>0</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6"/>
      <c r="B13" s="2726"/>
      <c r="C13" s="2726" t="s">
        <v>3010</v>
      </c>
      <c r="D13" s="2727" t="s">
        <v>1669</v>
      </c>
      <c r="E13" s="27">
        <f t="shared" ref="E13:E20" si="6">IF($C$3="是",ROUND($A$3*G13/$B$3,2),ROUND($A$3*(G13-AT13)/$B$3,2))</f>
        <v>13141.8</v>
      </c>
      <c r="F13" s="81"/>
      <c r="G13" s="82">
        <f t="shared" ref="G13:G20" si="7">H13+AC13+AT13</f>
        <v>26283.599999999999</v>
      </c>
      <c r="H13" s="33">
        <f t="shared" ref="H13:H20" si="8">SUMIF(I$12:AB$12,"总值",I13:AB13)</f>
        <v>26283.599999999999</v>
      </c>
      <c r="I13" s="2730">
        <f>A3*2-I14</f>
        <v>26283.599999999999</v>
      </c>
      <c r="J13" s="2730"/>
      <c r="K13" s="2730"/>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0</v>
      </c>
      <c r="AW13" s="17">
        <f t="shared" si="10"/>
        <v>0</v>
      </c>
      <c r="AX13" s="17" t="str">
        <f t="shared" si="10"/>
        <v>未建商业</v>
      </c>
      <c r="AY13" s="984">
        <f t="shared" ref="AY13:AY20" si="11">ROUND($AY$6*AZ13/$AZ$5,2)</f>
        <v>13141.8</v>
      </c>
      <c r="AZ13" s="27">
        <f t="shared" ref="AZ13:AZ20" si="12">BA13+BL13</f>
        <v>26283.599999999999</v>
      </c>
      <c r="BA13" s="27">
        <f t="shared" ref="BA13:BA20" si="13">SUM(BB13:BK13)</f>
        <v>26283.599999999999</v>
      </c>
      <c r="BB13" s="27">
        <f t="shared" ref="BB13:BB20" si="14">IF($D13="是",I13-J13,0)</f>
        <v>26283.599999999999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c r="B14" s="2726"/>
      <c r="C14" s="2726" t="s">
        <v>3011</v>
      </c>
      <c r="D14" s="2727" t="s">
        <v>3012</v>
      </c>
      <c r="E14" s="27">
        <f t="shared" si="6"/>
        <v>545.5</v>
      </c>
      <c r="F14" s="81"/>
      <c r="G14" s="82">
        <f t="shared" si="7"/>
        <v>1091</v>
      </c>
      <c r="H14" s="33">
        <f t="shared" si="8"/>
        <v>1091</v>
      </c>
      <c r="I14" s="2730">
        <v>1091</v>
      </c>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0</v>
      </c>
      <c r="AW14" s="17">
        <f t="shared" si="10"/>
        <v>0</v>
      </c>
      <c r="AX14" s="17" t="str">
        <f t="shared" si="10"/>
        <v>已建商业</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0" t="s">
        <v>0</v>
      </c>
      <c r="B1" s="3370" t="s">
        <v>4</v>
      </c>
      <c r="C1" s="3370" t="s">
        <v>5</v>
      </c>
      <c r="D1" s="3371" t="s">
        <v>40</v>
      </c>
      <c r="E1" s="3371" t="s">
        <v>41</v>
      </c>
      <c r="F1" s="3371"/>
      <c r="G1" s="3371"/>
      <c r="H1" s="3371"/>
      <c r="I1" s="3371"/>
      <c r="J1" s="3371"/>
      <c r="K1" s="3371"/>
      <c r="L1" s="3371"/>
      <c r="M1" s="3371"/>
    </row>
    <row r="2" spans="1:13" ht="27" customHeight="1">
      <c r="A2" s="3370"/>
      <c r="B2" s="3370"/>
      <c r="C2" s="3370"/>
      <c r="D2" s="3371"/>
      <c r="E2" s="3371" t="s">
        <v>24</v>
      </c>
      <c r="F2" s="3371" t="s">
        <v>25</v>
      </c>
      <c r="G2" s="3371"/>
      <c r="H2" s="3371"/>
      <c r="I2" s="3371"/>
      <c r="J2" s="3371" t="s">
        <v>26</v>
      </c>
      <c r="K2" s="3371"/>
      <c r="L2" s="3371"/>
      <c r="M2" s="3371"/>
    </row>
    <row r="3" spans="1:13" ht="28.5">
      <c r="A3" s="3370"/>
      <c r="B3" s="3370"/>
      <c r="C3" s="3370"/>
      <c r="D3" s="3371"/>
      <c r="E3" s="33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1" t="s">
        <v>42</v>
      </c>
      <c r="B9" s="3371"/>
      <c r="C9" s="33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19" sqref="F19"/>
    </sheetView>
  </sheetViews>
  <sheetFormatPr defaultColWidth="9.25" defaultRowHeight="14.25"/>
  <cols>
    <col min="1" max="1" width="8.25" style="1899" customWidth="1"/>
    <col min="2" max="2" width="10.25" style="1899" customWidth="1"/>
    <col min="3" max="3" width="18.5" style="1899" customWidth="1"/>
    <col min="4" max="4" width="11.125" style="1899" customWidth="1"/>
    <col min="5" max="5" width="13.375" style="1899" customWidth="1"/>
    <col min="6" max="8" width="11.5" style="1899" customWidth="1"/>
    <col min="9" max="9" width="10.375" style="1899" customWidth="1"/>
    <col min="10" max="10" width="3.125" style="1899" customWidth="1"/>
    <col min="11" max="16" width="11.625" style="1899" customWidth="1"/>
    <col min="17" max="17" width="3.375" style="1899" customWidth="1"/>
    <col min="18" max="16384" width="9.25" style="1899"/>
  </cols>
  <sheetData>
    <row r="1" spans="1:16" ht="18.75">
      <c r="A1" s="104" t="s">
        <v>202</v>
      </c>
      <c r="B1" s="1898"/>
      <c r="C1" s="1898"/>
      <c r="D1" s="1898"/>
      <c r="E1" s="1898"/>
      <c r="F1" s="1898"/>
      <c r="G1" s="1898"/>
      <c r="H1" s="1898"/>
      <c r="I1" s="1898"/>
      <c r="J1" s="1898"/>
      <c r="K1" s="1898"/>
      <c r="L1" s="1898"/>
      <c r="M1" s="1898"/>
      <c r="N1" s="1898"/>
      <c r="O1" s="1898"/>
      <c r="P1" s="1898"/>
    </row>
    <row r="2" spans="1:16" ht="15">
      <c r="A2" s="3381" t="s">
        <v>203</v>
      </c>
      <c r="B2" s="3381"/>
      <c r="C2" s="3381"/>
      <c r="D2" s="1889" t="s">
        <v>204</v>
      </c>
      <c r="E2" s="106" t="s">
        <v>205</v>
      </c>
      <c r="F2" s="3082"/>
      <c r="G2" s="1181"/>
      <c r="H2" s="1182"/>
      <c r="I2" s="1183" t="s">
        <v>849</v>
      </c>
      <c r="J2" s="3082"/>
      <c r="K2" s="3082"/>
      <c r="L2" s="3082"/>
      <c r="M2" s="3082"/>
      <c r="N2" s="3082"/>
      <c r="O2" s="3082"/>
      <c r="P2" s="3082"/>
    </row>
    <row r="3" spans="1:16" ht="15.75" thickBot="1">
      <c r="A3" s="3382" t="s">
        <v>206</v>
      </c>
      <c r="B3" s="3382"/>
      <c r="C3" s="3382"/>
      <c r="D3" s="107">
        <f>'数据-基础表'!AY6</f>
        <v>13141.8</v>
      </c>
      <c r="E3" s="107">
        <f>'数据-基础表'!AZ5</f>
        <v>26283.599999999999</v>
      </c>
      <c r="F3" s="3082"/>
      <c r="G3" s="278" t="s">
        <v>850</v>
      </c>
      <c r="H3" s="273" t="s">
        <v>851</v>
      </c>
      <c r="I3" s="1890">
        <f>ROUND('数据-基础表'!B3/'数据-基础表'!A3,2)</f>
        <v>2</v>
      </c>
      <c r="J3" s="3082"/>
      <c r="K3" s="3082"/>
      <c r="L3" s="3082"/>
      <c r="M3" s="3082"/>
      <c r="N3" s="3082"/>
      <c r="O3" s="3082"/>
      <c r="P3" s="3082"/>
    </row>
    <row r="4" spans="1:16" ht="15">
      <c r="A4" s="3383"/>
      <c r="B4" s="3384"/>
      <c r="C4" s="3385"/>
      <c r="D4" s="108" t="s">
        <v>204</v>
      </c>
      <c r="E4" s="109" t="s">
        <v>205</v>
      </c>
      <c r="F4" s="3082"/>
      <c r="G4" s="1184"/>
      <c r="H4" s="273" t="s">
        <v>852</v>
      </c>
      <c r="I4" s="1890">
        <f>ROUND(SUMIF('数据-基础表'!I9:AS9,"地上",'数据-基础表'!I5:AS5)/'数据-基础表'!A3,2)</f>
        <v>2</v>
      </c>
      <c r="J4" s="3082"/>
      <c r="K4" s="3082"/>
      <c r="L4" s="3082"/>
      <c r="M4" s="3082"/>
      <c r="N4" s="3082"/>
      <c r="O4" s="3082"/>
      <c r="P4" s="3082"/>
    </row>
    <row r="5" spans="1:16">
      <c r="A5" s="110" t="s">
        <v>207</v>
      </c>
      <c r="B5" s="3386" t="s">
        <v>230</v>
      </c>
      <c r="C5" s="3386"/>
      <c r="D5" s="111">
        <f>ROUND($D$3*E5/$E$3,2)</f>
        <v>0</v>
      </c>
      <c r="E5" s="112">
        <f>SUMIF('数据-基础表'!$11:$11,"住宅",'数据-基础表'!$5:$5)</f>
        <v>0</v>
      </c>
      <c r="F5" s="3082"/>
      <c r="G5" s="278" t="s">
        <v>853</v>
      </c>
      <c r="H5" s="273" t="s">
        <v>851</v>
      </c>
      <c r="I5" s="1890">
        <f>ROUND(E31/D31,2)</f>
        <v>2</v>
      </c>
      <c r="J5" s="3082"/>
      <c r="K5" s="3082"/>
      <c r="L5" s="3082"/>
      <c r="M5" s="3082"/>
      <c r="N5" s="3082"/>
      <c r="O5" s="3082"/>
      <c r="P5" s="3082"/>
    </row>
    <row r="6" spans="1:16" ht="15" thickBot="1">
      <c r="A6" s="113"/>
      <c r="B6" s="3386" t="s">
        <v>208</v>
      </c>
      <c r="C6" s="3386"/>
      <c r="D6" s="111">
        <f>ROUND($D$3*E6/$E$3,2)</f>
        <v>13141.8</v>
      </c>
      <c r="E6" s="112">
        <f>E3-E5</f>
        <v>26283.599999999999</v>
      </c>
      <c r="F6" s="3082"/>
      <c r="G6" s="1184"/>
      <c r="H6" s="273" t="s">
        <v>852</v>
      </c>
      <c r="I6" s="1890">
        <f>ROUND(F31/D31,2)</f>
        <v>2</v>
      </c>
      <c r="J6" s="3082"/>
      <c r="K6" s="3082"/>
      <c r="L6" s="3082"/>
      <c r="M6" s="3082"/>
      <c r="N6" s="3082"/>
      <c r="O6" s="3082"/>
      <c r="P6" s="3082"/>
    </row>
    <row r="7" spans="1:16" ht="15">
      <c r="A7" s="3378"/>
      <c r="B7" s="3379"/>
      <c r="C7" s="3380"/>
      <c r="D7" s="108" t="s">
        <v>204</v>
      </c>
      <c r="E7" s="114" t="s">
        <v>231</v>
      </c>
      <c r="F7" s="3082"/>
      <c r="G7" s="1139" t="s">
        <v>1636</v>
      </c>
      <c r="H7" s="1140"/>
      <c r="I7" s="1760">
        <v>4</v>
      </c>
      <c r="J7" s="3082"/>
      <c r="K7" s="3082"/>
      <c r="L7" s="3082"/>
      <c r="M7" s="3082"/>
      <c r="N7" s="3082"/>
      <c r="O7" s="3082"/>
      <c r="P7" s="3082"/>
    </row>
    <row r="8" spans="1:16">
      <c r="A8" s="110" t="s">
        <v>209</v>
      </c>
      <c r="B8" s="115" t="s">
        <v>210</v>
      </c>
      <c r="C8" s="111" t="s">
        <v>211</v>
      </c>
      <c r="D8" s="111">
        <f t="shared" ref="D8:D15" si="0">ROUND($D$3*E8/$E$3,2)</f>
        <v>13141.8</v>
      </c>
      <c r="E8" s="116">
        <f>SUMIF('数据-基础表'!BB10:BK10,"地上",'数据-基础表'!BB5:BK5)</f>
        <v>26283.599999999999</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1"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1"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13141.8</v>
      </c>
      <c r="E16" s="120">
        <f>SUM(E8:E15)</f>
        <v>26283.599999999999</v>
      </c>
      <c r="F16" s="3082"/>
      <c r="G16" s="3083"/>
      <c r="H16" s="956" t="s">
        <v>219</v>
      </c>
      <c r="I16" s="957"/>
      <c r="J16" s="1898"/>
      <c r="K16" s="3372" t="s">
        <v>2547</v>
      </c>
      <c r="L16" s="3373"/>
      <c r="M16" s="3373"/>
      <c r="N16" s="3373"/>
      <c r="O16" s="3373"/>
      <c r="P16" s="3374"/>
    </row>
    <row r="17" spans="1:19" ht="15">
      <c r="A17" s="121" t="s">
        <v>216</v>
      </c>
      <c r="B17" s="122" t="s">
        <v>217</v>
      </c>
      <c r="C17" s="2178" t="s">
        <v>2301</v>
      </c>
      <c r="D17" s="108" t="s">
        <v>204</v>
      </c>
      <c r="E17" s="124" t="s">
        <v>205</v>
      </c>
      <c r="F17" s="125"/>
      <c r="G17" s="1319"/>
      <c r="H17" s="958" t="s">
        <v>218</v>
      </c>
      <c r="I17" s="959" t="s">
        <v>2300</v>
      </c>
      <c r="J17" s="1898"/>
      <c r="K17" s="3375" t="s">
        <v>2548</v>
      </c>
      <c r="L17" s="3376"/>
      <c r="M17" s="3377"/>
      <c r="N17" s="3375" t="s">
        <v>2549</v>
      </c>
      <c r="O17" s="3376"/>
      <c r="P17" s="3377"/>
      <c r="R17" s="2179" t="s">
        <v>2299</v>
      </c>
      <c r="S17" s="142"/>
    </row>
    <row r="18" spans="1:19" ht="15">
      <c r="A18" s="117"/>
      <c r="B18" s="128"/>
      <c r="C18" s="129"/>
      <c r="D18" s="2484"/>
      <c r="E18" s="130" t="s">
        <v>220</v>
      </c>
      <c r="F18" s="131" t="s">
        <v>221</v>
      </c>
      <c r="G18" s="1320" t="s">
        <v>222</v>
      </c>
      <c r="H18" s="960" t="s">
        <v>223</v>
      </c>
      <c r="I18" s="961" t="s">
        <v>224</v>
      </c>
      <c r="J18" s="1898"/>
      <c r="K18" s="2449" t="s">
        <v>2550</v>
      </c>
      <c r="L18" s="2450" t="s">
        <v>2551</v>
      </c>
      <c r="M18" s="2451" t="s">
        <v>2552</v>
      </c>
      <c r="N18" s="2449" t="s">
        <v>2550</v>
      </c>
      <c r="O18" s="2450" t="s">
        <v>2551</v>
      </c>
      <c r="P18" s="2451" t="s">
        <v>2552</v>
      </c>
      <c r="R18" s="2180" t="s">
        <v>2297</v>
      </c>
      <c r="S18" s="2180" t="s">
        <v>2298</v>
      </c>
    </row>
    <row r="19" spans="1:19">
      <c r="A19" s="133"/>
      <c r="B19" s="115" t="s">
        <v>225</v>
      </c>
      <c r="C19" s="2737" t="str">
        <f>'数据-基础表'!C13</f>
        <v>未建商业</v>
      </c>
      <c r="D19" s="111">
        <f t="shared" ref="D19:D26" si="1">ROUND($D$3*E19/$E$3,2)</f>
        <v>13141.8</v>
      </c>
      <c r="E19" s="134">
        <f t="shared" ref="E19:E26" si="2">SUM(F19:G19)</f>
        <v>26283.599999999999</v>
      </c>
      <c r="F19" s="3084">
        <f>'数据-基础表'!I13</f>
        <v>26283.599999999999</v>
      </c>
      <c r="G19" s="3085"/>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13141.8</v>
      </c>
      <c r="S19" s="2181">
        <f t="shared" si="5"/>
        <v>26283.599999999999</v>
      </c>
    </row>
    <row r="20" spans="1:19">
      <c r="A20" s="137"/>
      <c r="B20" s="115" t="s">
        <v>226</v>
      </c>
      <c r="C20" s="2737"/>
      <c r="D20" s="111">
        <f t="shared" si="1"/>
        <v>0</v>
      </c>
      <c r="E20" s="134">
        <f t="shared" si="2"/>
        <v>0</v>
      </c>
      <c r="F20" s="3084"/>
      <c r="G20" s="3085"/>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0</v>
      </c>
      <c r="S20" s="2181">
        <f t="shared" si="5"/>
        <v>0</v>
      </c>
    </row>
    <row r="21" spans="1:19">
      <c r="A21" s="137"/>
      <c r="B21" s="115" t="s">
        <v>226</v>
      </c>
      <c r="C21" s="2737"/>
      <c r="D21" s="111">
        <f t="shared" si="1"/>
        <v>0</v>
      </c>
      <c r="E21" s="134">
        <f t="shared" si="2"/>
        <v>0</v>
      </c>
      <c r="F21" s="3084"/>
      <c r="G21" s="3085"/>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c r="A22" s="137"/>
      <c r="B22" s="115" t="s">
        <v>226</v>
      </c>
      <c r="C22" s="1318"/>
      <c r="D22" s="111">
        <f t="shared" si="1"/>
        <v>0</v>
      </c>
      <c r="E22" s="134">
        <f t="shared" si="2"/>
        <v>0</v>
      </c>
      <c r="F22" s="3086"/>
      <c r="G22" s="3087"/>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c r="A23" s="137"/>
      <c r="B23" s="115" t="s">
        <v>226</v>
      </c>
      <c r="C23" s="138"/>
      <c r="D23" s="111">
        <f>ROUND($D$3*E23/$E$3,2)</f>
        <v>0</v>
      </c>
      <c r="E23" s="134">
        <f>SUM(F23:G23)</f>
        <v>0</v>
      </c>
      <c r="F23" s="3086"/>
      <c r="G23" s="3087"/>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c r="A24" s="137"/>
      <c r="B24" s="115" t="s">
        <v>226</v>
      </c>
      <c r="C24" s="138"/>
      <c r="D24" s="111">
        <f>ROUND($D$3*E24/$E$3,2)</f>
        <v>0</v>
      </c>
      <c r="E24" s="134">
        <f>SUM(F24:G24)</f>
        <v>0</v>
      </c>
      <c r="F24" s="3086"/>
      <c r="G24" s="3087"/>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c r="A25" s="137"/>
      <c r="B25" s="115" t="s">
        <v>226</v>
      </c>
      <c r="C25" s="138"/>
      <c r="D25" s="111">
        <f t="shared" si="1"/>
        <v>0</v>
      </c>
      <c r="E25" s="134">
        <f t="shared" si="2"/>
        <v>0</v>
      </c>
      <c r="F25" s="3086"/>
      <c r="G25" s="3087"/>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c r="A26" s="137"/>
      <c r="B26" s="115" t="s">
        <v>226</v>
      </c>
      <c r="C26" s="140"/>
      <c r="D26" s="111">
        <f t="shared" si="1"/>
        <v>0</v>
      </c>
      <c r="E26" s="134">
        <f t="shared" si="2"/>
        <v>0</v>
      </c>
      <c r="F26" s="3086"/>
      <c r="G26" s="3087"/>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75" thickBot="1">
      <c r="A27" s="137"/>
      <c r="B27" s="111"/>
      <c r="C27" s="127" t="s">
        <v>215</v>
      </c>
      <c r="D27" s="134">
        <f>SUM(D19:D26)</f>
        <v>13141.8</v>
      </c>
      <c r="E27" s="141">
        <f>IF(SUM(E19:E26)='数据-基础表'!BA5,SUM(E19:E26),IF(F27="地上面积有误","面积有误","地下面积有误"))</f>
        <v>26283.599999999999</v>
      </c>
      <c r="F27" s="134">
        <f>IF(SUM(F19:F26)=E8,SUM(F19:F26),"地上面积有误")</f>
        <v>26283.599999999999</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13141.8</v>
      </c>
      <c r="S27" s="273">
        <f>IF(SUM(S19:S26)=$E$3,SUM(S19:S26),SUM(S19:S26)&amp;"误差"&amp;ROUND(SUM(S19:S26)-E3,2))</f>
        <v>26283.599999999999</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3"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1"/>
      <c r="B31" s="1322" t="s">
        <v>229</v>
      </c>
      <c r="C31" s="2210" t="s">
        <v>2310</v>
      </c>
      <c r="D31" s="1323">
        <f>D27+D30</f>
        <v>13141.8</v>
      </c>
      <c r="E31" s="1323">
        <f>E27+E30</f>
        <v>26283.599999999999</v>
      </c>
      <c r="F31" s="1324">
        <f>F27+F30</f>
        <v>26283.599999999999</v>
      </c>
      <c r="G31" s="1325">
        <f>G27+G30</f>
        <v>0</v>
      </c>
      <c r="H31" s="3082"/>
      <c r="I31" s="3082"/>
      <c r="J31" s="3082"/>
      <c r="K31" s="3082"/>
      <c r="L31" s="3082"/>
      <c r="M31" s="3082"/>
      <c r="N31" s="3082"/>
      <c r="O31" s="3082"/>
      <c r="P31" s="3082"/>
    </row>
    <row r="32" spans="1:19">
      <c r="A32" s="1898"/>
      <c r="B32" s="2222" t="s">
        <v>2309</v>
      </c>
      <c r="C32" s="2489"/>
      <c r="D32" s="1184"/>
      <c r="E32" s="1184">
        <f>SUMIF(C19:C26,"*住宅*",E19:E26)</f>
        <v>0</v>
      </c>
      <c r="F32" s="1184"/>
      <c r="G32" s="1184"/>
      <c r="H32" s="3082"/>
      <c r="I32" s="3082"/>
      <c r="J32" s="3082"/>
      <c r="K32" s="3082"/>
      <c r="L32" s="3082"/>
      <c r="M32" s="3082"/>
      <c r="N32" s="3082"/>
      <c r="O32" s="3082"/>
      <c r="P32" s="3082"/>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L6" activePane="bottomRight" state="frozen"/>
      <selection pane="topRight" activeCell="D1" sqref="D1"/>
      <selection pane="bottomLeft" activeCell="A4" sqref="A4"/>
      <selection pane="bottomRight" activeCell="P30" sqref="P30"/>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8"/>
    <col min="42" max="42" width="13.75" style="1908" customWidth="1"/>
    <col min="43" max="83" width="13.75" style="1908"/>
    <col min="84" max="16384" width="13.75" style="1186"/>
  </cols>
  <sheetData>
    <row r="1" spans="1:83" ht="19.5"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89"/>
      <c r="AO1" s="3089"/>
      <c r="AP1" s="3089"/>
      <c r="AQ1" s="3089"/>
      <c r="AR1" s="3089"/>
      <c r="AS1" s="3089"/>
      <c r="AT1" s="3089"/>
      <c r="AU1" s="3089"/>
      <c r="AV1" s="3089"/>
      <c r="AW1" s="3089"/>
      <c r="AX1" s="3089"/>
      <c r="AY1" s="3089"/>
      <c r="AZ1" s="3089"/>
    </row>
    <row r="2" spans="1:83" s="1189" customFormat="1" ht="15.75" thickBot="1">
      <c r="A2" s="147" t="s">
        <v>235</v>
      </c>
      <c r="B2" s="2218">
        <f>项目基本情况!D3</f>
        <v>44329</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2"/>
      <c r="AO2" s="3092"/>
      <c r="AP2" s="3092"/>
      <c r="AQ2" s="3092"/>
      <c r="AR2" s="3092"/>
      <c r="AS2" s="3092"/>
      <c r="AT2" s="3092"/>
      <c r="AU2" s="3092"/>
      <c r="AV2" s="3092"/>
      <c r="AW2" s="3092"/>
      <c r="AX2" s="3092"/>
      <c r="AY2" s="3092"/>
      <c r="AZ2" s="3092"/>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5"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2"/>
      <c r="AO3" s="3092"/>
      <c r="AP3" s="3092"/>
      <c r="AQ3" s="3092"/>
      <c r="AR3" s="3092"/>
      <c r="AS3" s="3092"/>
      <c r="AT3" s="3092"/>
      <c r="AU3" s="3092"/>
      <c r="AV3" s="3092"/>
      <c r="AW3" s="3092"/>
      <c r="AX3" s="3092"/>
      <c r="AY3" s="3092"/>
      <c r="AZ3" s="3092"/>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40.5">
      <c r="A5" s="2184"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2807</v>
      </c>
      <c r="O5" s="161" t="s">
        <v>246</v>
      </c>
      <c r="P5" s="163" t="s">
        <v>247</v>
      </c>
      <c r="Q5" s="164" t="s">
        <v>248</v>
      </c>
      <c r="R5" s="165" t="s">
        <v>249</v>
      </c>
      <c r="S5" s="2465" t="s">
        <v>2553</v>
      </c>
      <c r="T5" s="166" t="s">
        <v>250</v>
      </c>
      <c r="U5" s="167" t="s">
        <v>251</v>
      </c>
      <c r="V5" s="157" t="s">
        <v>252</v>
      </c>
      <c r="W5" s="157" t="s">
        <v>253</v>
      </c>
      <c r="X5" s="1733"/>
      <c r="Y5" s="168" t="s">
        <v>254</v>
      </c>
      <c r="Z5" s="169" t="s">
        <v>255</v>
      </c>
      <c r="AA5" s="157" t="s">
        <v>252</v>
      </c>
      <c r="AB5" s="157" t="s">
        <v>253</v>
      </c>
      <c r="AC5" s="1734"/>
      <c r="AD5" s="170" t="s">
        <v>254</v>
      </c>
      <c r="AE5" s="1" t="s">
        <v>862</v>
      </c>
      <c r="AF5" s="157" t="s">
        <v>256</v>
      </c>
      <c r="AG5" s="168" t="s">
        <v>257</v>
      </c>
      <c r="AH5" s="1734" t="s">
        <v>2311</v>
      </c>
      <c r="AI5" s="169" t="s">
        <v>2280</v>
      </c>
      <c r="AJ5" s="169" t="s">
        <v>258</v>
      </c>
      <c r="AK5" s="157" t="s">
        <v>259</v>
      </c>
      <c r="AL5" s="157" t="s">
        <v>260</v>
      </c>
      <c r="AM5" s="170" t="s">
        <v>261</v>
      </c>
      <c r="AN5" s="2246" t="s">
        <v>2358</v>
      </c>
      <c r="AO5" s="3103"/>
      <c r="AP5" s="3088" t="s">
        <v>2964</v>
      </c>
      <c r="AQ5" s="3103"/>
      <c r="AR5" s="3103"/>
      <c r="AS5" s="3103"/>
      <c r="AT5" s="3103"/>
      <c r="AU5" s="3103"/>
      <c r="AV5" s="3103"/>
      <c r="AW5" s="3103"/>
      <c r="AX5" s="3103"/>
      <c r="AY5" s="3103"/>
      <c r="AZ5" s="3103"/>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25">
      <c r="A6" s="2182" t="str">
        <f>'数据-汇总表'!C19</f>
        <v>未建商业</v>
      </c>
      <c r="B6" s="2217" t="str">
        <f>IF(A6=0,"","经营性")</f>
        <v>经营性</v>
      </c>
      <c r="C6" s="171" t="s">
        <v>1668</v>
      </c>
      <c r="D6" s="2188">
        <f>SUMIF(项目基本情况!D$15:I$15,C6,项目基本情况!D$18:I$18)</f>
        <v>50</v>
      </c>
      <c r="E6" s="2189">
        <f>IF(B6="","",SUMIF(项目基本情况!D$15:I$15,C6,项目基本情况!D$17:I$17))</f>
        <v>54725</v>
      </c>
      <c r="F6" s="172">
        <f>SUMIF(项目基本情况!D$15:I$15,C6,项目基本情况!D$19:I$19)</f>
        <v>28.48</v>
      </c>
      <c r="G6" s="173">
        <f>IF(ISERROR(ROUND(POWER(1+H6,D6-F6)*(POWER(1+H6,F6)-1)/(POWER(1+H6,D6)-1),3)),0,ROUND(POWER(1+H6,D6-F6)*(POWER(1+H6,F6)-1)/(POWER(1+H6,D6)-1),3))</f>
        <v>0.82299999999999995</v>
      </c>
      <c r="H6" s="2738">
        <v>0.05</v>
      </c>
      <c r="I6" s="2738">
        <v>5.5E-2</v>
      </c>
      <c r="J6" s="174">
        <v>8.5000000000000006E-2</v>
      </c>
      <c r="K6" s="177">
        <f>SUMIF('数据-汇总表'!C$19:C$33,'数据-取费表'!A6,'数据-汇总表'!E$19:E$33)</f>
        <v>26283.599999999999</v>
      </c>
      <c r="L6" s="2739">
        <v>4000</v>
      </c>
      <c r="M6" s="175">
        <f t="shared" ref="M6:M14" si="0">ROUND(K6*L6/10000,0)</f>
        <v>10513</v>
      </c>
      <c r="N6" s="2740">
        <v>0</v>
      </c>
      <c r="O6" s="175">
        <f>IF($N$5="成新度","——",ROUND(M6*N6,0))</f>
        <v>0</v>
      </c>
      <c r="P6" s="176">
        <f>IF($N$5="成新度","——",M6-O6)</f>
        <v>10513</v>
      </c>
      <c r="Q6" s="2741">
        <v>0.2</v>
      </c>
      <c r="R6" s="177">
        <f>SUMIF('数据-汇总表'!C$19:C$33,A6,'数据-汇总表'!R$19:R$33)</f>
        <v>13141.8</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2"/>
      <c r="AN6" s="2247"/>
      <c r="AO6" s="3092"/>
      <c r="AP6" s="1187">
        <f>ROUND(1-1/(1+H6)^F6,3)</f>
        <v>0.751</v>
      </c>
      <c r="AQ6" s="3092"/>
      <c r="AR6" s="3092"/>
      <c r="AS6" s="3092"/>
      <c r="AT6" s="3092"/>
      <c r="AU6" s="3092"/>
      <c r="AV6" s="3092"/>
      <c r="AW6" s="3092"/>
      <c r="AX6" s="3092"/>
      <c r="AY6" s="3092"/>
      <c r="AZ6" s="3092"/>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25" hidden="1">
      <c r="A7" s="2182">
        <f>'数据-汇总表'!C20</f>
        <v>0</v>
      </c>
      <c r="B7" s="2217" t="str">
        <f t="shared" ref="B7:B13" si="1">IF(A7=0,"","经营性")</f>
        <v/>
      </c>
      <c r="C7" s="171"/>
      <c r="D7" s="2188">
        <f>SUMIF(项目基本情况!D$15:I$15,C7,项目基本情况!D$18:I$18)</f>
        <v>0</v>
      </c>
      <c r="E7" s="218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8"/>
      <c r="I7" s="2738"/>
      <c r="J7" s="174"/>
      <c r="K7" s="177">
        <f>SUMIF('数据-汇总表'!C$19:C$33,'数据-取费表'!A7,'数据-汇总表'!E$19:E$33)</f>
        <v>0</v>
      </c>
      <c r="L7" s="2739"/>
      <c r="M7" s="175">
        <f t="shared" si="0"/>
        <v>0</v>
      </c>
      <c r="N7" s="2740"/>
      <c r="O7" s="175">
        <f t="shared" ref="O7:O14" si="3">IF($N$5="成新度","——",ROUND(M7*N7,0))</f>
        <v>0</v>
      </c>
      <c r="P7" s="176">
        <f t="shared" ref="P7:P14" si="4">IF($N$5="成新度","——",M7-O7)</f>
        <v>0</v>
      </c>
      <c r="Q7" s="2741"/>
      <c r="R7" s="177">
        <f>SUMIF('数据-汇总表'!C$19:C$33,A7,'数据-汇总表'!R$19:R$33)</f>
        <v>0</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c r="V7" s="179"/>
      <c r="W7" s="179"/>
      <c r="X7" s="2201"/>
      <c r="Y7" s="180"/>
      <c r="Z7" s="181"/>
      <c r="AA7" s="174"/>
      <c r="AB7" s="174"/>
      <c r="AC7" s="2204"/>
      <c r="AD7" s="182"/>
      <c r="AE7" s="960">
        <f t="shared" ref="AE7:AE13" ca="1" si="6">IF(AN7="",0,SUMIF(INDIRECT("'"&amp;AN7&amp;"'"&amp;"!E:E"),$AE$5,INDIRECT("'"&amp;AN7&amp;"'"&amp;"!F:F")))</f>
        <v>0</v>
      </c>
      <c r="AF7" s="139"/>
      <c r="AG7" s="1196">
        <f t="shared" ref="AG7:AG13" si="7">IF(AF7="",0,AE7-AF7)</f>
        <v>0</v>
      </c>
      <c r="AH7" s="139"/>
      <c r="AI7" s="185"/>
      <c r="AJ7" s="186"/>
      <c r="AK7" s="187"/>
      <c r="AL7" s="188"/>
      <c r="AM7" s="2245"/>
      <c r="AN7" s="2247"/>
      <c r="AO7" s="3092"/>
      <c r="AP7" s="1187">
        <f t="shared" ref="AP7:AP13" si="8">ROUND(1-1/(1+H7)^F7,3)</f>
        <v>0</v>
      </c>
      <c r="AQ7" s="3092"/>
      <c r="AR7" s="3092"/>
      <c r="AS7" s="3092"/>
      <c r="AT7" s="3092"/>
      <c r="AU7" s="3092"/>
      <c r="AV7" s="3092"/>
      <c r="AW7" s="3092"/>
      <c r="AX7" s="3092"/>
      <c r="AY7" s="3092"/>
      <c r="AZ7" s="3092"/>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25" hidden="1">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2"/>
      <c r="AP8" s="1187">
        <f t="shared" si="8"/>
        <v>0</v>
      </c>
      <c r="AQ8" s="3092"/>
      <c r="AR8" s="3092"/>
      <c r="AS8" s="3092"/>
      <c r="AT8" s="3092"/>
      <c r="AU8" s="3092"/>
      <c r="AV8" s="3092"/>
      <c r="AW8" s="3092"/>
      <c r="AX8" s="3092"/>
      <c r="AY8" s="3092"/>
      <c r="AZ8" s="3092"/>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25" hidden="1">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2"/>
      <c r="AP9" s="1187">
        <f t="shared" si="8"/>
        <v>0</v>
      </c>
      <c r="AQ9" s="3092"/>
      <c r="AR9" s="3092"/>
      <c r="AS9" s="3092"/>
      <c r="AT9" s="3092"/>
      <c r="AU9" s="3092"/>
      <c r="AV9" s="3092"/>
      <c r="AW9" s="3092"/>
      <c r="AX9" s="3092"/>
      <c r="AY9" s="3092"/>
      <c r="AZ9" s="3092"/>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25" hidden="1">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2"/>
      <c r="AP10" s="1187">
        <f t="shared" si="8"/>
        <v>0</v>
      </c>
      <c r="AQ10" s="3092"/>
      <c r="AR10" s="3092"/>
      <c r="AS10" s="3092"/>
      <c r="AT10" s="3092"/>
      <c r="AU10" s="3092"/>
      <c r="AV10" s="3092"/>
      <c r="AW10" s="3092"/>
      <c r="AX10" s="3092"/>
      <c r="AY10" s="3092"/>
      <c r="AZ10" s="3092"/>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25" hidden="1">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2"/>
      <c r="AP11" s="1187">
        <f t="shared" si="8"/>
        <v>0</v>
      </c>
      <c r="AQ11" s="3092"/>
      <c r="AR11" s="3092"/>
      <c r="AS11" s="3092"/>
      <c r="AT11" s="3092"/>
      <c r="AU11" s="3092"/>
      <c r="AV11" s="3092"/>
      <c r="AW11" s="3092"/>
      <c r="AX11" s="3092"/>
      <c r="AY11" s="3092"/>
      <c r="AZ11" s="3092"/>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25" hidden="1">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2"/>
      <c r="AP12" s="1187">
        <f t="shared" si="8"/>
        <v>0</v>
      </c>
      <c r="AQ12" s="3092"/>
      <c r="AR12" s="3092"/>
      <c r="AS12" s="3092"/>
      <c r="AT12" s="3092"/>
      <c r="AU12" s="3092"/>
      <c r="AV12" s="3092"/>
      <c r="AW12" s="3092"/>
      <c r="AX12" s="3092"/>
      <c r="AY12" s="3092"/>
      <c r="AZ12" s="3092"/>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25" hidden="1">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2"/>
      <c r="AP13" s="1187">
        <f t="shared" si="8"/>
        <v>0</v>
      </c>
      <c r="AQ13" s="3092"/>
      <c r="AR13" s="3092"/>
      <c r="AS13" s="3092"/>
      <c r="AT13" s="3092"/>
      <c r="AU13" s="3092"/>
      <c r="AV13" s="3092"/>
      <c r="AW13" s="3092"/>
      <c r="AX13" s="3092"/>
      <c r="AY13" s="3092"/>
      <c r="AZ13" s="3092"/>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4.25">
      <c r="A14" s="2183" t="s">
        <v>2302</v>
      </c>
      <c r="B14" s="2186" t="s">
        <v>1670</v>
      </c>
      <c r="C14" s="2187" t="s">
        <v>2302</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2"/>
      <c r="AO14" s="3092"/>
      <c r="AP14" s="3092"/>
      <c r="AQ14" s="3092"/>
      <c r="AR14" s="3092"/>
      <c r="AS14" s="3092"/>
      <c r="AT14" s="3092"/>
      <c r="AU14" s="3092"/>
      <c r="AV14" s="3092"/>
      <c r="AW14" s="3092"/>
      <c r="AX14" s="3092"/>
      <c r="AY14" s="3092"/>
      <c r="AZ14" s="3092"/>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7">
      <c r="A15" s="2192" t="s">
        <v>2304</v>
      </c>
      <c r="B15" s="2186" t="s">
        <v>1670</v>
      </c>
      <c r="C15" s="2187" t="s">
        <v>2303</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2"/>
      <c r="AO15" s="3092"/>
      <c r="AP15" s="3092"/>
      <c r="AQ15" s="3092"/>
      <c r="AR15" s="3092"/>
      <c r="AS15" s="3092"/>
      <c r="AT15" s="3092"/>
      <c r="AU15" s="3092"/>
      <c r="AV15" s="3092"/>
      <c r="AW15" s="3092"/>
      <c r="AX15" s="3092"/>
      <c r="AY15" s="3092"/>
      <c r="AZ15" s="3092"/>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75" thickBot="1">
      <c r="A16" s="196" t="s">
        <v>262</v>
      </c>
      <c r="B16" s="197"/>
      <c r="C16" s="198"/>
      <c r="D16" s="199"/>
      <c r="E16" s="197"/>
      <c r="F16" s="197"/>
      <c r="G16" s="200">
        <f>ROUND(SUMPRODUCT(G6:G13,K6:K13)/SUMPRODUCT((G6:G13&gt;0)*(K6:K13)),3)</f>
        <v>0.82299999999999995</v>
      </c>
      <c r="H16" s="201">
        <f>ROUND(SUMPRODUCT(H6:H13,K6:K13)/SUMPRODUCT((H6:H13&gt;0)*(K6:K13)),3)</f>
        <v>0.05</v>
      </c>
      <c r="I16" s="202"/>
      <c r="J16" s="202"/>
      <c r="K16" s="203">
        <f>SUM(K6:K15)</f>
        <v>26283.599999999999</v>
      </c>
      <c r="L16" s="204">
        <f>ROUND(M16*10000/SUM(K6:K14),0)</f>
        <v>4000</v>
      </c>
      <c r="M16" s="204">
        <f>SUM(M6:M14)</f>
        <v>10513</v>
      </c>
      <c r="N16" s="205">
        <f>ROUND(SUMPRODUCT(M6:M14,N6:N14)/M16,3)</f>
        <v>0</v>
      </c>
      <c r="O16" s="204">
        <f>SUM(O6:O14)</f>
        <v>0</v>
      </c>
      <c r="P16" s="204">
        <f>SUM(P6:P14)</f>
        <v>10513</v>
      </c>
      <c r="Q16" s="206">
        <f>ROUND(SUMPRODUCT(Q6:Q13,K6:K13)/SUMPRODUCT((Q6:Q13&gt;0)*(K6:K13)),2)</f>
        <v>0.2</v>
      </c>
      <c r="R16" s="2191">
        <f>SUM(R6:R13)</f>
        <v>13141.8</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7">
        <f>ROUND(SUMPRODUCT(AP6:AP13,K6:K13)/SUMPRODUCT((AP6:AP13&gt;0)*(K6:K13)),3)</f>
        <v>0.751</v>
      </c>
      <c r="AQ16" s="3092"/>
      <c r="AR16" s="3092"/>
      <c r="AS16" s="3092"/>
      <c r="AT16" s="3092"/>
      <c r="AU16" s="3092"/>
      <c r="AV16" s="3092"/>
      <c r="AW16" s="3092"/>
      <c r="AX16" s="3092"/>
      <c r="AY16" s="3092"/>
      <c r="AZ16" s="3092"/>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5" thickBot="1">
      <c r="A17" s="1197"/>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c r="L18" s="3091"/>
      <c r="M18" s="3089"/>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2976</v>
      </c>
      <c r="D19" s="3093"/>
      <c r="E19" s="3092"/>
      <c r="F19" s="3092"/>
      <c r="G19" s="3092"/>
      <c r="H19" s="3092"/>
      <c r="I19" s="3092"/>
      <c r="J19" s="3092"/>
      <c r="K19" s="3091"/>
      <c r="L19" s="3091"/>
      <c r="M19" s="3089"/>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1.5</v>
      </c>
      <c r="C20" s="3104" t="s">
        <v>2323</v>
      </c>
      <c r="D20" s="3093"/>
      <c r="E20" s="3092"/>
      <c r="F20" s="3092"/>
      <c r="G20" s="3092"/>
      <c r="H20" s="3092"/>
      <c r="I20" s="3092"/>
      <c r="J20" s="3092"/>
      <c r="K20" s="3091"/>
      <c r="L20" s="3091"/>
      <c r="M20" s="3089"/>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1.5</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1.5</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90"/>
      <c r="B25" s="1187"/>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8" customFormat="1" ht="27.75">
      <c r="A27" s="224" t="s">
        <v>2325</v>
      </c>
      <c r="B27" s="225">
        <v>0</v>
      </c>
      <c r="C27" s="3105" t="s">
        <v>2977</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7.75">
      <c r="A28" s="226" t="s">
        <v>2326</v>
      </c>
      <c r="B28" s="227">
        <v>0</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8.5" thickBot="1">
      <c r="A29" s="229" t="s">
        <v>2324</v>
      </c>
      <c r="B29" s="230">
        <v>0</v>
      </c>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7">
      <c r="A30" s="233" t="s">
        <v>273</v>
      </c>
      <c r="B30" s="966">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7">
      <c r="A31" s="226" t="s">
        <v>274</v>
      </c>
      <c r="B31" s="228">
        <f>B30-B32</f>
        <v>200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7.75" thickBot="1">
      <c r="A32" s="235" t="s">
        <v>275</v>
      </c>
      <c r="B32" s="1329">
        <v>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25">
      <c r="A33" s="224" t="s">
        <v>278</v>
      </c>
      <c r="B33" s="1330">
        <v>0.05</v>
      </c>
      <c r="C33" s="3107" t="s">
        <v>2965</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25">
      <c r="A34" s="226" t="s">
        <v>279</v>
      </c>
      <c r="B34" s="231">
        <v>0</v>
      </c>
      <c r="C34" s="3107" t="s">
        <v>2966</v>
      </c>
      <c r="D34" s="3108" t="s">
        <v>2973</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2967</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2968</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2.5000000000000001E-2</v>
      </c>
      <c r="C37" s="3107" t="s">
        <v>2969</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0.03</v>
      </c>
      <c r="C38" s="3107" t="s">
        <v>2969</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2"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2992</v>
      </c>
      <c r="B40" s="2334">
        <f ca="1">IF(A40="利息：取LPR",存贷款利率!E2,存贷款利率!E2+C40)</f>
        <v>3.85E-2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5.5000000000000007E-2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7"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7" t="s">
        <v>284</v>
      </c>
      <c r="B43" s="239">
        <f>B42*(B44+B45+B46)+B47</f>
        <v>5.000000000000001E-3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0.05</v>
      </c>
      <c r="C44" s="3107" t="s">
        <v>2974</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2970</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2971</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v>0</v>
      </c>
      <c r="C47" s="3105" t="s">
        <v>2978</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2970</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2972</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1.5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1400</v>
      </c>
      <c r="C53" s="3100" t="s">
        <v>2871</v>
      </c>
      <c r="D53" s="3111" t="s">
        <v>2975</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2872</v>
      </c>
      <c r="B54" s="184">
        <v>30</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2873</v>
      </c>
      <c r="B55" s="184">
        <v>24</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2874</v>
      </c>
      <c r="B56" s="184">
        <v>18</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2875</v>
      </c>
      <c r="B57" s="184">
        <v>12</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2876</v>
      </c>
      <c r="B58" s="184">
        <v>3</v>
      </c>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2877</v>
      </c>
      <c r="B59" s="184">
        <v>1.5</v>
      </c>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2878</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2879</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2880</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2881</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87" t="s">
        <v>1654</v>
      </c>
      <c r="B1" s="3388"/>
      <c r="C1" s="3388"/>
      <c r="D1" s="3388"/>
      <c r="E1" s="3388"/>
      <c r="F1" s="3388"/>
      <c r="G1" s="3388"/>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27">
      <c r="A3" s="3124" t="s">
        <v>1657</v>
      </c>
      <c r="B3" s="3125" t="s">
        <v>1644</v>
      </c>
      <c r="C3" s="3126"/>
      <c r="D3" s="3127"/>
      <c r="E3" s="3128" t="s">
        <v>1657</v>
      </c>
      <c r="F3" s="3129" t="s">
        <v>1645</v>
      </c>
      <c r="G3" s="3130"/>
      <c r="H3" s="3123"/>
      <c r="I3" s="3123"/>
      <c r="J3" s="3123"/>
      <c r="K3" s="3123"/>
      <c r="L3" s="3123"/>
      <c r="M3" s="3123"/>
      <c r="N3" s="3123"/>
      <c r="O3" s="3123"/>
      <c r="P3" s="3123"/>
      <c r="Q3" s="3123"/>
      <c r="R3" s="3123"/>
    </row>
    <row r="4" spans="1:18" ht="14.25">
      <c r="A4" s="3128"/>
      <c r="B4" s="3131" t="s">
        <v>1658</v>
      </c>
      <c r="C4" s="3132"/>
      <c r="D4" s="3127"/>
      <c r="E4" s="3133"/>
      <c r="F4" s="3134" t="s">
        <v>1659</v>
      </c>
      <c r="G4" s="3135"/>
      <c r="H4" s="3123"/>
      <c r="I4" s="3123"/>
      <c r="J4" s="3123"/>
      <c r="K4" s="3123"/>
      <c r="L4" s="3123"/>
      <c r="M4" s="3123"/>
      <c r="N4" s="3123"/>
      <c r="O4" s="3123"/>
      <c r="P4" s="3123"/>
      <c r="Q4" s="3123"/>
      <c r="R4" s="3123"/>
    </row>
    <row r="5" spans="1:18" ht="14.25">
      <c r="A5" s="3128"/>
      <c r="B5" s="3131" t="s">
        <v>1660</v>
      </c>
      <c r="C5" s="3132"/>
      <c r="D5" s="3127"/>
      <c r="E5" s="3133"/>
      <c r="F5" s="3131" t="s">
        <v>2527</v>
      </c>
      <c r="G5" s="3135"/>
      <c r="H5" s="3123"/>
      <c r="I5" s="3123"/>
      <c r="J5" s="3123"/>
      <c r="K5" s="3123"/>
      <c r="L5" s="3123"/>
      <c r="M5" s="3123"/>
      <c r="N5" s="3123"/>
      <c r="O5" s="3123"/>
      <c r="P5" s="3123"/>
      <c r="Q5" s="3123"/>
      <c r="R5" s="3123"/>
    </row>
    <row r="6" spans="1:18" ht="14.25">
      <c r="A6" s="3128"/>
      <c r="B6" s="3131" t="s">
        <v>1646</v>
      </c>
      <c r="C6" s="3135"/>
      <c r="D6" s="3127"/>
      <c r="E6" s="3133"/>
      <c r="F6" s="3131" t="s">
        <v>2528</v>
      </c>
      <c r="G6" s="3135"/>
      <c r="H6" s="3123"/>
      <c r="I6" s="3123"/>
      <c r="J6" s="3123"/>
      <c r="K6" s="3123"/>
      <c r="L6" s="3123"/>
      <c r="M6" s="3123"/>
      <c r="N6" s="3123"/>
      <c r="O6" s="3123"/>
      <c r="P6" s="3123"/>
      <c r="Q6" s="3123"/>
      <c r="R6" s="3123"/>
    </row>
    <row r="7" spans="1:18" ht="15" thickBot="1">
      <c r="A7" s="3128"/>
      <c r="B7" s="3131" t="s">
        <v>2527</v>
      </c>
      <c r="C7" s="3135"/>
      <c r="D7" s="3136"/>
      <c r="E7" s="3137"/>
      <c r="F7" s="3138" t="s">
        <v>1661</v>
      </c>
      <c r="G7" s="3139"/>
      <c r="H7" s="3123"/>
      <c r="I7" s="3123"/>
      <c r="J7" s="3123"/>
      <c r="K7" s="3123"/>
      <c r="L7" s="3123"/>
      <c r="M7" s="3123"/>
      <c r="N7" s="3123"/>
      <c r="O7" s="3123"/>
      <c r="P7" s="3123"/>
      <c r="Q7" s="3123"/>
      <c r="R7" s="3123"/>
    </row>
    <row r="8" spans="1:18" ht="14.25">
      <c r="A8" s="3128"/>
      <c r="B8" s="3131" t="s">
        <v>2528</v>
      </c>
      <c r="C8" s="3135"/>
      <c r="D8" s="3136"/>
      <c r="E8" s="3136"/>
      <c r="F8" s="3140"/>
      <c r="G8" s="3140"/>
      <c r="H8" s="3123"/>
      <c r="I8" s="3123"/>
      <c r="J8" s="3123"/>
      <c r="K8" s="3123"/>
      <c r="L8" s="3123"/>
      <c r="M8" s="3123"/>
      <c r="N8" s="3123"/>
      <c r="O8" s="3123"/>
      <c r="P8" s="3123"/>
      <c r="Q8" s="3123"/>
      <c r="R8" s="3123"/>
    </row>
    <row r="9" spans="1:18" ht="14.25">
      <c r="A9" s="3128"/>
      <c r="B9" s="3131" t="s">
        <v>1647</v>
      </c>
      <c r="C9" s="3132"/>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27">
      <c r="A15" s="3165" t="s">
        <v>1648</v>
      </c>
      <c r="B15" s="3166" t="s">
        <v>1644</v>
      </c>
      <c r="C15" s="3167">
        <f>C3</f>
        <v>0</v>
      </c>
      <c r="D15" s="3127"/>
      <c r="E15" s="3168" t="s">
        <v>1649</v>
      </c>
      <c r="F15" s="3166" t="s">
        <v>1664</v>
      </c>
      <c r="G15" s="3169">
        <f>G3</f>
        <v>0</v>
      </c>
    </row>
    <row r="16" spans="1:18">
      <c r="A16" s="3170"/>
      <c r="B16" s="3171" t="s">
        <v>1658</v>
      </c>
      <c r="C16" s="3172">
        <f>C4</f>
        <v>0</v>
      </c>
      <c r="D16" s="3127"/>
      <c r="E16" s="3173"/>
      <c r="F16" s="3174" t="s">
        <v>1659</v>
      </c>
      <c r="G16" s="3175">
        <f>G4</f>
        <v>0</v>
      </c>
    </row>
    <row r="17" spans="1:7" ht="14.25">
      <c r="A17" s="3170"/>
      <c r="B17" s="3171" t="s">
        <v>1660</v>
      </c>
      <c r="C17" s="3172">
        <f>C5</f>
        <v>0</v>
      </c>
      <c r="D17" s="3136"/>
      <c r="E17" s="3173"/>
      <c r="F17" s="3174" t="s">
        <v>1665</v>
      </c>
      <c r="G17" s="3176"/>
    </row>
    <row r="18" spans="1:7">
      <c r="A18" s="3170"/>
      <c r="B18" s="3174" t="s">
        <v>1646</v>
      </c>
      <c r="C18" s="3175">
        <f>C6</f>
        <v>0</v>
      </c>
      <c r="D18" s="3136"/>
      <c r="E18" s="3173"/>
      <c r="F18" s="3174" t="s">
        <v>1661</v>
      </c>
      <c r="G18" s="3175">
        <f>G7</f>
        <v>0</v>
      </c>
    </row>
    <row r="19" spans="1:7" ht="14.25">
      <c r="A19" s="3170"/>
      <c r="B19" s="3174" t="s">
        <v>1650</v>
      </c>
      <c r="C19" s="3176"/>
      <c r="D19" s="3127"/>
      <c r="E19" s="3173"/>
      <c r="F19" s="3131" t="s">
        <v>2527</v>
      </c>
      <c r="G19" s="3175">
        <f>G5</f>
        <v>0</v>
      </c>
    </row>
    <row r="20" spans="1:7">
      <c r="A20" s="3170"/>
      <c r="B20" s="3174" t="s">
        <v>1651</v>
      </c>
      <c r="C20" s="3172">
        <f>C9</f>
        <v>0</v>
      </c>
      <c r="D20" s="3136"/>
      <c r="E20" s="3173"/>
      <c r="F20" s="3131" t="s">
        <v>2528</v>
      </c>
      <c r="G20" s="3175">
        <f>G6</f>
        <v>0</v>
      </c>
    </row>
    <row r="21" spans="1:7" ht="14.25">
      <c r="A21" s="3170"/>
      <c r="B21" s="3131" t="s">
        <v>2527</v>
      </c>
      <c r="C21" s="3175">
        <f>C7</f>
        <v>0</v>
      </c>
      <c r="D21" s="3127"/>
      <c r="E21" s="3173"/>
      <c r="F21" s="3174" t="s">
        <v>1652</v>
      </c>
      <c r="G21" s="3177"/>
    </row>
    <row r="22" spans="1:7" ht="14.25">
      <c r="A22" s="3170"/>
      <c r="B22" s="3131" t="s">
        <v>2528</v>
      </c>
      <c r="C22" s="3175">
        <f>C8</f>
        <v>0</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7" sqref="G7"/>
    </sheetView>
  </sheetViews>
  <sheetFormatPr defaultColWidth="14.625" defaultRowHeight="13.5"/>
  <cols>
    <col min="1" max="1" width="24.375" style="3186" customWidth="1"/>
    <col min="2" max="16384" width="14.625" style="3186"/>
  </cols>
  <sheetData>
    <row r="1" spans="1:10" ht="16.5">
      <c r="A1" s="3185" t="s">
        <v>2823</v>
      </c>
      <c r="B1" s="3185">
        <f>SUM(B14:B23)</f>
        <v>27374.6</v>
      </c>
      <c r="C1" s="3194"/>
      <c r="D1" s="3194"/>
      <c r="E1" s="3194"/>
      <c r="F1" s="3194"/>
      <c r="G1" s="3195"/>
      <c r="H1" s="3195"/>
      <c r="I1" s="3195"/>
      <c r="J1" s="3195"/>
    </row>
    <row r="2" spans="1:10" ht="16.5">
      <c r="A2" s="3185" t="s">
        <v>2824</v>
      </c>
      <c r="B2" s="3185">
        <f>SUM(C14:C23)</f>
        <v>13687.3</v>
      </c>
      <c r="C2" s="3194"/>
      <c r="D2" s="3194"/>
      <c r="E2" s="3194"/>
      <c r="F2" s="3194"/>
      <c r="G2" s="3195"/>
      <c r="H2" s="3195"/>
      <c r="I2" s="3195"/>
      <c r="J2" s="3195"/>
    </row>
    <row r="3" spans="1:10" ht="16.5">
      <c r="A3" s="3185" t="s">
        <v>2825</v>
      </c>
      <c r="B3" s="3187">
        <f>项目基本情况!D3</f>
        <v>44329</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20571</v>
      </c>
      <c r="C5" s="3185">
        <f ca="1">ROUND(B5*10000/$B$1,0)</f>
        <v>7515</v>
      </c>
      <c r="D5" s="3185">
        <f ca="1">ROUND(B5*10000/$B$2,0)</f>
        <v>15029</v>
      </c>
      <c r="E5" s="3194"/>
      <c r="F5" s="3194"/>
      <c r="G5" s="3195"/>
      <c r="H5" s="3195"/>
      <c r="I5" s="3195"/>
      <c r="J5" s="3195"/>
    </row>
    <row r="6" spans="1:10" ht="16.5">
      <c r="A6" s="3185" t="s">
        <v>2831</v>
      </c>
      <c r="B6" s="3185">
        <f ca="1">SUM(G14:G23)</f>
        <v>20571</v>
      </c>
      <c r="C6" s="3185">
        <f t="shared" ref="C6:C8" ca="1" si="0">ROUND(B6*10000/$B$1,0)</f>
        <v>7515</v>
      </c>
      <c r="D6" s="3185">
        <f t="shared" ref="D6:D8" ca="1" si="1">ROUND(B6*10000/$B$2,0)</f>
        <v>15029</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26283.599999999999</v>
      </c>
      <c r="C14" s="3191">
        <f>结果表!K38</f>
        <v>13141.8</v>
      </c>
      <c r="D14" s="3191">
        <f ca="1">结果表!C42</f>
        <v>19467</v>
      </c>
      <c r="E14" s="3191">
        <f ca="1">ROUND(D14*10000/B14,0)</f>
        <v>7407</v>
      </c>
      <c r="F14" s="3191">
        <f ca="1">ROUND(D14*10000/C14,0)</f>
        <v>14813</v>
      </c>
      <c r="G14" s="3191">
        <f ca="1">结果表!C44</f>
        <v>19467</v>
      </c>
      <c r="H14" s="3191" t="str">
        <f>结果表!C45</f>
        <v>——</v>
      </c>
      <c r="I14" s="3191" t="str">
        <f>结果表!C46</f>
        <v>——</v>
      </c>
      <c r="J14" s="3195"/>
    </row>
    <row r="15" spans="1:10" ht="16.5">
      <c r="A15" s="3190" t="s">
        <v>2840</v>
      </c>
      <c r="B15" s="3192">
        <f>[1]系统读取表!$B$14</f>
        <v>1091</v>
      </c>
      <c r="C15" s="3192">
        <f>[1]系统读取表!$C$14</f>
        <v>545.5</v>
      </c>
      <c r="D15" s="3192">
        <f ca="1">[1]系统读取表!$D$14</f>
        <v>1104</v>
      </c>
      <c r="E15" s="3191">
        <f t="shared" ref="E15:E23" ca="1" si="2">ROUND(D15*10000/B15,0)</f>
        <v>10119</v>
      </c>
      <c r="F15" s="3191">
        <f t="shared" ref="F15:F23" ca="1" si="3">ROUND(D15*10000/C15,0)</f>
        <v>20238</v>
      </c>
      <c r="G15" s="2757">
        <f ca="1">D15</f>
        <v>1104</v>
      </c>
      <c r="H15" s="2757"/>
      <c r="I15" s="3192"/>
      <c r="J15" s="3195"/>
    </row>
    <row r="16" spans="1:10" ht="16.5">
      <c r="A16" s="3190" t="s">
        <v>2841</v>
      </c>
      <c r="B16" s="3192"/>
      <c r="C16" s="3192"/>
      <c r="D16" s="3192"/>
      <c r="E16" s="3191" t="e">
        <f t="shared" si="2"/>
        <v>#DIV/0!</v>
      </c>
      <c r="F16" s="3191" t="e">
        <f t="shared" si="3"/>
        <v>#DIV/0!</v>
      </c>
      <c r="G16" s="2757"/>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9" sqref="D19"/>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1" t="s">
        <v>2044</v>
      </c>
      <c r="B1" s="1692"/>
      <c r="C1" s="1720" t="s">
        <v>2045</v>
      </c>
      <c r="D1" s="1721" t="s">
        <v>3040</v>
      </c>
      <c r="E1" s="1720" t="s">
        <v>2046</v>
      </c>
      <c r="F1" s="1722" t="s">
        <v>3041</v>
      </c>
      <c r="G1" s="309"/>
      <c r="H1" s="309"/>
      <c r="I1" s="309"/>
      <c r="J1" s="1912"/>
      <c r="K1" s="1912"/>
      <c r="L1" s="1912"/>
      <c r="M1" s="1912"/>
      <c r="N1" s="1912"/>
      <c r="O1" s="1912"/>
      <c r="P1" s="1912"/>
      <c r="Q1" s="1912"/>
      <c r="R1" s="1912"/>
      <c r="S1" s="1912"/>
      <c r="T1" s="1912"/>
      <c r="U1" s="1912"/>
      <c r="V1" s="1912"/>
    </row>
    <row r="2" spans="1:22" ht="21.75" customHeight="1" thickBot="1">
      <c r="A2" s="3433" t="str">
        <f>项目基本情况!K2</f>
        <v>北京市出让国有建设用地使用权</v>
      </c>
      <c r="B2" s="3434"/>
      <c r="C2" s="3435"/>
      <c r="D2" s="3435"/>
      <c r="E2" s="3435"/>
      <c r="F2" s="3435"/>
      <c r="G2" s="3434"/>
      <c r="H2" s="3434"/>
      <c r="I2" s="3436"/>
      <c r="J2" s="1913"/>
      <c r="K2" s="1912"/>
      <c r="L2" s="1912"/>
      <c r="M2" s="1912"/>
      <c r="N2" s="1912"/>
      <c r="O2" s="1912"/>
      <c r="P2" s="1912"/>
      <c r="Q2" s="1912"/>
      <c r="R2" s="1912"/>
      <c r="S2" s="1912"/>
      <c r="T2" s="1912"/>
      <c r="U2" s="1912"/>
      <c r="V2" s="1912"/>
    </row>
    <row r="3" spans="1:22" ht="14.25">
      <c r="A3" s="3444" t="s">
        <v>298</v>
      </c>
      <c r="B3" s="3445"/>
      <c r="C3" s="3445"/>
      <c r="D3" s="3445"/>
      <c r="E3" s="3445"/>
      <c r="F3" s="3445"/>
      <c r="G3" s="3445"/>
      <c r="H3" s="3445"/>
      <c r="I3" s="3445"/>
      <c r="J3" s="1913"/>
      <c r="K3" s="1912"/>
      <c r="L3" s="1912"/>
      <c r="M3" s="1912"/>
      <c r="N3" s="1912"/>
      <c r="O3" s="1912"/>
      <c r="P3" s="1912"/>
      <c r="Q3" s="1912"/>
      <c r="R3" s="1912"/>
      <c r="S3" s="1912"/>
      <c r="T3" s="1912"/>
      <c r="U3" s="1912"/>
      <c r="V3" s="1912"/>
    </row>
    <row r="4" spans="1:22" ht="14.25">
      <c r="A4" s="256" t="s">
        <v>299</v>
      </c>
      <c r="B4" s="257" t="s">
        <v>300</v>
      </c>
      <c r="C4" s="258" t="s">
        <v>3038</v>
      </c>
      <c r="D4" s="258" t="s">
        <v>3039</v>
      </c>
      <c r="E4" s="3408" t="s">
        <v>301</v>
      </c>
      <c r="F4" s="3450"/>
      <c r="G4" s="3450"/>
      <c r="H4" s="3450"/>
      <c r="I4" s="3409"/>
      <c r="J4" s="1913"/>
      <c r="K4" s="1912"/>
      <c r="L4" s="3196" t="str">
        <f>IF(ISNUMBER(FIND("比较法",C4)),"比较法",IF(ISNUMBER(FIND("成本法",C4)),"成本法",IF(ISNUMBER(FIND("剩余法",C4)),"剩余法",IF(ISNUMBER(FIND("收益法",C4)),"收益法","基准地价系数修正法"))))</f>
        <v>基准地价系数修正法</v>
      </c>
      <c r="M4" s="937" t="str">
        <f>IF(ISNUMBER(FIND("比较法",D4)),"比较法",IF(ISNUMBER(FIND("成本法",D4)),"成本法",IF(ISNUMBER(FIND("剩余法",D4)),"剩余法",IF(ISNUMBER(FIND("收益法",D4)),"收益法","基准地价系数修正法"))))</f>
        <v>比较法</v>
      </c>
      <c r="N4" s="1912"/>
      <c r="O4" s="1912"/>
      <c r="P4" s="1912"/>
      <c r="Q4" s="1912"/>
      <c r="R4" s="1912"/>
      <c r="S4" s="1912"/>
      <c r="T4" s="1912"/>
      <c r="U4" s="1912"/>
      <c r="V4" s="1912"/>
    </row>
    <row r="5" spans="1:22" ht="14.25">
      <c r="A5" s="3437" t="s">
        <v>302</v>
      </c>
      <c r="B5" s="3438">
        <v>25</v>
      </c>
      <c r="C5" s="3446">
        <v>20</v>
      </c>
      <c r="D5" s="3449">
        <v>10</v>
      </c>
      <c r="E5" s="259" t="s">
        <v>303</v>
      </c>
      <c r="F5" s="260"/>
      <c r="G5" s="260"/>
      <c r="H5" s="260"/>
      <c r="I5" s="261"/>
      <c r="J5" s="1913"/>
      <c r="K5" s="1912"/>
      <c r="L5" s="1912"/>
      <c r="M5" s="1912"/>
      <c r="N5" s="1912"/>
      <c r="O5" s="1912"/>
      <c r="P5" s="1912"/>
      <c r="Q5" s="1912"/>
      <c r="R5" s="1912"/>
      <c r="S5" s="1912"/>
      <c r="T5" s="1912"/>
      <c r="U5" s="1912"/>
      <c r="V5" s="1912"/>
    </row>
    <row r="6" spans="1:22" ht="14.25">
      <c r="A6" s="3437"/>
      <c r="B6" s="3438"/>
      <c r="C6" s="3447"/>
      <c r="D6" s="3449"/>
      <c r="E6" s="259" t="s">
        <v>304</v>
      </c>
      <c r="F6" s="260"/>
      <c r="G6" s="260"/>
      <c r="H6" s="260"/>
      <c r="I6" s="261"/>
      <c r="J6" s="1913"/>
      <c r="K6" s="1912"/>
      <c r="L6" s="1912"/>
      <c r="M6" s="1912"/>
      <c r="N6" s="1912"/>
      <c r="O6" s="1912"/>
      <c r="P6" s="1912"/>
      <c r="Q6" s="1912"/>
      <c r="R6" s="1912"/>
      <c r="S6" s="1912"/>
      <c r="T6" s="1912"/>
      <c r="U6" s="1912"/>
      <c r="V6" s="1912"/>
    </row>
    <row r="7" spans="1:22" ht="14.25">
      <c r="A7" s="3437"/>
      <c r="B7" s="3438"/>
      <c r="C7" s="3448"/>
      <c r="D7" s="3449"/>
      <c r="E7" s="259" t="s">
        <v>305</v>
      </c>
      <c r="F7" s="260"/>
      <c r="G7" s="260"/>
      <c r="H7" s="260"/>
      <c r="I7" s="261"/>
      <c r="J7" s="1913"/>
      <c r="K7" s="1912"/>
      <c r="L7" s="1912"/>
      <c r="M7" s="1912"/>
      <c r="N7" s="1912"/>
      <c r="O7" s="1912"/>
      <c r="P7" s="1912"/>
      <c r="Q7" s="1912"/>
      <c r="R7" s="1912"/>
      <c r="S7" s="1912"/>
      <c r="T7" s="1912"/>
      <c r="U7" s="1912"/>
      <c r="V7" s="1912"/>
    </row>
    <row r="8" spans="1:22" ht="14.25">
      <c r="A8" s="3437" t="s">
        <v>306</v>
      </c>
      <c r="B8" s="3438">
        <v>15</v>
      </c>
      <c r="C8" s="3446">
        <v>14</v>
      </c>
      <c r="D8" s="3449">
        <v>7</v>
      </c>
      <c r="E8" s="259" t="s">
        <v>307</v>
      </c>
      <c r="F8" s="260"/>
      <c r="G8" s="260"/>
      <c r="H8" s="260"/>
      <c r="I8" s="261"/>
      <c r="J8" s="1913"/>
      <c r="K8" s="1912"/>
      <c r="L8" s="1912"/>
      <c r="M8" s="1912"/>
      <c r="N8" s="1912"/>
      <c r="O8" s="1912"/>
      <c r="P8" s="1912"/>
      <c r="Q8" s="1912"/>
      <c r="R8" s="1912"/>
      <c r="S8" s="1912"/>
      <c r="T8" s="1912"/>
      <c r="U8" s="1912"/>
      <c r="V8" s="1912"/>
    </row>
    <row r="9" spans="1:22" ht="14.25">
      <c r="A9" s="3437"/>
      <c r="B9" s="3438"/>
      <c r="C9" s="3448"/>
      <c r="D9" s="3449"/>
      <c r="E9" s="259" t="s">
        <v>308</v>
      </c>
      <c r="F9" s="260"/>
      <c r="G9" s="260"/>
      <c r="H9" s="260"/>
      <c r="I9" s="261"/>
      <c r="J9" s="1913"/>
      <c r="K9" s="1912"/>
      <c r="L9" s="1912"/>
      <c r="M9" s="1912"/>
      <c r="N9" s="1912"/>
      <c r="O9" s="1912"/>
      <c r="P9" s="1912"/>
      <c r="Q9" s="1912"/>
      <c r="R9" s="1912"/>
      <c r="S9" s="1912"/>
      <c r="T9" s="1912"/>
      <c r="U9" s="1912"/>
      <c r="V9" s="1912"/>
    </row>
    <row r="10" spans="1:22" ht="14.25">
      <c r="A10" s="3437" t="s">
        <v>309</v>
      </c>
      <c r="B10" s="3438">
        <v>15</v>
      </c>
      <c r="C10" s="3446">
        <v>14</v>
      </c>
      <c r="D10" s="3449">
        <v>7</v>
      </c>
      <c r="E10" s="259" t="s">
        <v>310</v>
      </c>
      <c r="F10" s="260"/>
      <c r="G10" s="260"/>
      <c r="H10" s="260"/>
      <c r="I10" s="261"/>
      <c r="J10" s="1913"/>
      <c r="K10" s="1912"/>
      <c r="L10" s="1912"/>
      <c r="M10" s="1912"/>
      <c r="N10" s="1912"/>
      <c r="O10" s="1912"/>
      <c r="P10" s="1912"/>
      <c r="Q10" s="1912"/>
      <c r="R10" s="1912"/>
      <c r="S10" s="1912"/>
      <c r="T10" s="1912"/>
      <c r="U10" s="1912"/>
      <c r="V10" s="1912"/>
    </row>
    <row r="11" spans="1:22" ht="14.25">
      <c r="A11" s="3437"/>
      <c r="B11" s="3438"/>
      <c r="C11" s="3448"/>
      <c r="D11" s="3449"/>
      <c r="E11" s="259" t="s">
        <v>311</v>
      </c>
      <c r="F11" s="260"/>
      <c r="G11" s="260"/>
      <c r="H11" s="260"/>
      <c r="I11" s="261"/>
      <c r="J11" s="1913"/>
      <c r="K11" s="1912"/>
      <c r="L11" s="1912"/>
      <c r="M11" s="1912"/>
      <c r="N11" s="1912"/>
      <c r="O11" s="1912"/>
      <c r="P11" s="1912"/>
      <c r="Q11" s="1912"/>
      <c r="R11" s="1912"/>
      <c r="S11" s="1912"/>
      <c r="T11" s="1912"/>
      <c r="U11" s="1912"/>
      <c r="V11" s="1912"/>
    </row>
    <row r="12" spans="1:22" ht="14.25">
      <c r="A12" s="3437" t="s">
        <v>312</v>
      </c>
      <c r="B12" s="3438">
        <v>15</v>
      </c>
      <c r="C12" s="3446">
        <v>14</v>
      </c>
      <c r="D12" s="3449">
        <v>7</v>
      </c>
      <c r="E12" s="259" t="s">
        <v>313</v>
      </c>
      <c r="F12" s="260"/>
      <c r="G12" s="260"/>
      <c r="H12" s="260"/>
      <c r="I12" s="261"/>
      <c r="J12" s="1913"/>
      <c r="K12" s="1912"/>
      <c r="L12" s="1912"/>
      <c r="M12" s="1912"/>
      <c r="N12" s="1912"/>
      <c r="O12" s="1912"/>
      <c r="P12" s="1912"/>
      <c r="Q12" s="1912"/>
      <c r="R12" s="1912"/>
      <c r="S12" s="1912"/>
      <c r="T12" s="1912"/>
      <c r="U12" s="1912"/>
      <c r="V12" s="1912"/>
    </row>
    <row r="13" spans="1:22" ht="14.25">
      <c r="A13" s="3437"/>
      <c r="B13" s="3438"/>
      <c r="C13" s="3448"/>
      <c r="D13" s="3449"/>
      <c r="E13" s="259" t="s">
        <v>314</v>
      </c>
      <c r="F13" s="260"/>
      <c r="G13" s="260"/>
      <c r="H13" s="260"/>
      <c r="I13" s="261"/>
      <c r="J13" s="1913"/>
      <c r="K13" s="1912"/>
      <c r="L13" s="1912"/>
      <c r="M13" s="1912"/>
      <c r="N13" s="1912"/>
      <c r="O13" s="1912"/>
      <c r="P13" s="1912"/>
      <c r="Q13" s="1912"/>
      <c r="R13" s="1912"/>
      <c r="S13" s="1912"/>
      <c r="T13" s="1912"/>
      <c r="U13" s="1912"/>
      <c r="V13" s="1912"/>
    </row>
    <row r="14" spans="1:22" ht="14.25">
      <c r="A14" s="3437" t="s">
        <v>315</v>
      </c>
      <c r="B14" s="3438">
        <v>30</v>
      </c>
      <c r="C14" s="3446">
        <v>25</v>
      </c>
      <c r="D14" s="3449">
        <v>7</v>
      </c>
      <c r="E14" s="259" t="s">
        <v>316</v>
      </c>
      <c r="F14" s="260"/>
      <c r="G14" s="260"/>
      <c r="H14" s="260"/>
      <c r="I14" s="261"/>
      <c r="J14" s="1913"/>
      <c r="K14" s="1912"/>
      <c r="L14" s="1912"/>
      <c r="M14" s="1912"/>
      <c r="N14" s="1912"/>
      <c r="O14" s="1912"/>
      <c r="P14" s="1912"/>
      <c r="Q14" s="1912"/>
      <c r="R14" s="1912"/>
      <c r="S14" s="1912"/>
      <c r="T14" s="1912"/>
      <c r="U14" s="1912"/>
      <c r="V14" s="1912"/>
    </row>
    <row r="15" spans="1:22" ht="14.25">
      <c r="A15" s="3437"/>
      <c r="B15" s="3438"/>
      <c r="C15" s="3447"/>
      <c r="D15" s="3449"/>
      <c r="E15" s="259" t="s">
        <v>317</v>
      </c>
      <c r="F15" s="260"/>
      <c r="G15" s="260"/>
      <c r="H15" s="260"/>
      <c r="I15" s="261"/>
      <c r="J15" s="1913"/>
      <c r="K15" s="1912"/>
      <c r="L15" s="1912"/>
      <c r="M15" s="1912"/>
      <c r="N15" s="1912"/>
      <c r="O15" s="1912"/>
      <c r="P15" s="1912"/>
      <c r="Q15" s="1912"/>
      <c r="R15" s="1912"/>
      <c r="S15" s="1912"/>
      <c r="T15" s="1912"/>
      <c r="U15" s="1912"/>
      <c r="V15" s="1912"/>
    </row>
    <row r="16" spans="1:22" ht="14.25">
      <c r="A16" s="3437"/>
      <c r="B16" s="3438"/>
      <c r="C16" s="3448"/>
      <c r="D16" s="3449"/>
      <c r="E16" s="259" t="s">
        <v>318</v>
      </c>
      <c r="F16" s="260"/>
      <c r="G16" s="260"/>
      <c r="H16" s="260"/>
      <c r="I16" s="261"/>
      <c r="J16" s="1913"/>
      <c r="K16" s="1912"/>
      <c r="L16" s="1912"/>
      <c r="M16" s="1912"/>
      <c r="N16" s="1912"/>
      <c r="O16" s="1912"/>
      <c r="P16" s="1912"/>
      <c r="Q16" s="1912"/>
      <c r="R16" s="1912"/>
      <c r="S16" s="1912"/>
      <c r="T16" s="1912"/>
      <c r="U16" s="1912"/>
      <c r="V16" s="1912"/>
    </row>
    <row r="17" spans="1:26" ht="15">
      <c r="A17" s="262" t="s">
        <v>319</v>
      </c>
      <c r="B17" s="142"/>
      <c r="C17" s="263">
        <f>SUM(C5:C16)</f>
        <v>87</v>
      </c>
      <c r="D17" s="263">
        <f>SUM(D5:D16)</f>
        <v>38</v>
      </c>
      <c r="E17" s="309"/>
      <c r="F17" s="309"/>
      <c r="G17" s="309"/>
      <c r="H17" s="309"/>
      <c r="I17" s="309"/>
      <c r="J17" s="1913"/>
      <c r="K17" s="1912"/>
      <c r="L17" s="1912"/>
      <c r="M17" s="1912"/>
      <c r="N17" s="1912"/>
      <c r="O17" s="1912"/>
      <c r="P17" s="1912"/>
      <c r="Q17" s="1912"/>
      <c r="R17" s="1912"/>
      <c r="S17" s="1912"/>
      <c r="T17" s="1912"/>
      <c r="U17" s="1912"/>
      <c r="V17" s="1912"/>
    </row>
    <row r="18" spans="1:26" ht="32.450000000000003" customHeight="1" thickBot="1">
      <c r="A18" s="264" t="s">
        <v>320</v>
      </c>
      <c r="B18" s="105"/>
      <c r="C18" s="265">
        <f>ROUND(C17/SUM(C17:D17),2)</f>
        <v>0.7</v>
      </c>
      <c r="D18" s="265">
        <f>1-C18</f>
        <v>0.30000000000000004</v>
      </c>
      <c r="E18" s="3451" t="s">
        <v>2953</v>
      </c>
      <c r="F18" s="3452"/>
      <c r="G18" s="3452"/>
      <c r="H18" s="3452"/>
      <c r="I18" s="3452"/>
      <c r="J18" s="1912"/>
      <c r="K18" s="1912"/>
      <c r="L18" s="1912"/>
      <c r="M18" s="1912"/>
      <c r="N18" s="1912"/>
      <c r="O18" s="1912"/>
      <c r="P18" s="1912"/>
      <c r="Q18" s="1912"/>
      <c r="R18" s="1912"/>
      <c r="S18" s="1912"/>
      <c r="T18" s="1912"/>
      <c r="U18" s="1912"/>
      <c r="V18" s="1912"/>
    </row>
    <row r="19" spans="1:26" ht="15">
      <c r="A19" s="266" t="s">
        <v>321</v>
      </c>
      <c r="B19" s="267" t="s">
        <v>322</v>
      </c>
      <c r="C19" s="268">
        <f ca="1">SUMIF(INDIRECT("'"&amp;C4&amp;"'"&amp;"!A:A"),结果表!B19,INDIRECT("'"&amp;C4&amp;"'"&amp;"!B:B"))</f>
        <v>15867</v>
      </c>
      <c r="D19" s="269">
        <f ca="1">SUMIF(INDIRECT("'"&amp;D4&amp;"'"&amp;"!A:A"),结果表!B19,INDIRECT("'"&amp;D4&amp;"'"&amp;"!B:B"))</f>
        <v>27866</v>
      </c>
      <c r="E19" s="266" t="s">
        <v>323</v>
      </c>
      <c r="F19" s="267" t="s">
        <v>322</v>
      </c>
      <c r="G19" s="270">
        <f ca="1">ROUND(C19*$C$18+D19*$D$18,0)</f>
        <v>19467</v>
      </c>
      <c r="H19" s="271" t="s">
        <v>324</v>
      </c>
      <c r="I19" s="309"/>
      <c r="J19" s="1912"/>
      <c r="K19" s="1912"/>
      <c r="L19" s="1912"/>
      <c r="M19" s="1912"/>
      <c r="N19" s="1912"/>
      <c r="O19" s="1912"/>
      <c r="P19" s="1912"/>
      <c r="Q19" s="1912"/>
      <c r="R19" s="1912"/>
      <c r="S19" s="1912"/>
      <c r="T19" s="1912"/>
      <c r="U19" s="1912"/>
      <c r="V19" s="1912"/>
    </row>
    <row r="20" spans="1:26" ht="15">
      <c r="A20" s="272"/>
      <c r="B20" s="273" t="s">
        <v>325</v>
      </c>
      <c r="C20" s="274">
        <f ca="1">SUMIF(INDIRECT("'"&amp;C4&amp;"'"&amp;"!A:A"),结果表!B20,INDIRECT("'"&amp;C4&amp;"'"&amp;"!B:B"))</f>
        <v>6037</v>
      </c>
      <c r="D20" s="275">
        <f ca="1">SUMIF(INDIRECT("'"&amp;D4&amp;"'"&amp;"!A:A"),结果表!B20,INDIRECT("'"&amp;D4&amp;"'"&amp;"!B:B"))</f>
        <v>10602</v>
      </c>
      <c r="E20" s="272"/>
      <c r="F20" s="273" t="s">
        <v>325</v>
      </c>
      <c r="G20" s="276">
        <f ca="1">ROUND(C20*$C$18+D20*$D$18,0)</f>
        <v>7407</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12074</v>
      </c>
      <c r="D21" s="149">
        <f ca="1">SUMIF(INDIRECT("'"&amp;D4&amp;"'"&amp;"!A:A"),结果表!B21,INDIRECT("'"&amp;D4&amp;"'"&amp;"!B:B"))</f>
        <v>21204</v>
      </c>
      <c r="E21" s="272"/>
      <c r="F21" s="278" t="s">
        <v>327</v>
      </c>
      <c r="G21" s="280">
        <f ca="1">ROUND(C21*$C$18+D21*$D$18,0)</f>
        <v>14813</v>
      </c>
      <c r="H21" s="1205" t="s">
        <v>326</v>
      </c>
      <c r="I21" s="309"/>
      <c r="J21" s="1912"/>
      <c r="K21" s="1912"/>
      <c r="L21" s="1912"/>
      <c r="M21" s="1912"/>
      <c r="N21" s="1912"/>
      <c r="O21" s="1912"/>
      <c r="P21" s="1912"/>
      <c r="Q21" s="1912"/>
      <c r="R21" s="1912"/>
      <c r="S21" s="1912"/>
      <c r="T21" s="1912"/>
      <c r="U21" s="1912"/>
      <c r="V21" s="1912"/>
    </row>
    <row r="22" spans="1:26" ht="15.75" thickBot="1">
      <c r="A22" s="126" t="s">
        <v>328</v>
      </c>
      <c r="B22" s="1206"/>
      <c r="C22" s="1207"/>
      <c r="D22" s="281">
        <f ca="1">IF(C19&lt;D19,D19/C19-1,C19/D19-1)</f>
        <v>0.75622360874771544</v>
      </c>
      <c r="E22" s="282"/>
      <c r="F22" s="283"/>
      <c r="G22" s="284">
        <f ca="1">ROUND(G19/('数据-汇总表'!D3/666.67),0)</f>
        <v>988</v>
      </c>
      <c r="H22" s="285" t="s">
        <v>329</v>
      </c>
      <c r="I22" s="309"/>
      <c r="J22" s="1912"/>
      <c r="K22" s="1912"/>
      <c r="L22" s="1912"/>
      <c r="M22" s="1912"/>
      <c r="N22" s="1912"/>
      <c r="O22" s="1912"/>
      <c r="P22" s="1912"/>
      <c r="Q22" s="1912"/>
      <c r="R22" s="1912"/>
      <c r="S22" s="1912"/>
      <c r="T22" s="1912"/>
      <c r="U22" s="1912"/>
      <c r="V22" s="1912"/>
    </row>
    <row r="23" spans="1:26" ht="13.5"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10"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8">
      <c r="A25" s="3457"/>
      <c r="B25" s="1275" t="s">
        <v>331</v>
      </c>
      <c r="C25" s="288">
        <f>IF(B30=0,0,C30)</f>
        <v>0</v>
      </c>
      <c r="D25" s="289"/>
      <c r="E25" s="309"/>
      <c r="F25" s="309"/>
      <c r="G25" s="309"/>
      <c r="H25" s="309"/>
      <c r="I25" s="309"/>
      <c r="J25" s="1912"/>
      <c r="K25" s="1209" t="str">
        <f ca="1">项目基本情况!B16&amp;"国有建设用地使用权价格："&amp;O38&amp;"万元"</f>
        <v>出让国有建设用地使用权价格：19467万元</v>
      </c>
      <c r="L25" s="1210"/>
      <c r="M25" s="1210"/>
      <c r="N25" s="1210"/>
      <c r="O25" s="1211"/>
      <c r="P25" s="1912"/>
      <c r="Q25" s="1912"/>
      <c r="R25" s="1912"/>
      <c r="S25" s="1912"/>
      <c r="T25" s="1912"/>
      <c r="U25" s="1912"/>
      <c r="V25" s="1912"/>
    </row>
    <row r="26" spans="1:26" s="1208" customFormat="1" ht="18">
      <c r="A26" s="291" t="s">
        <v>332</v>
      </c>
      <c r="B26" s="292" t="s">
        <v>333</v>
      </c>
      <c r="C26" s="292" t="s">
        <v>334</v>
      </c>
      <c r="D26" s="293" t="s">
        <v>335</v>
      </c>
      <c r="E26" s="309"/>
      <c r="F26" s="309"/>
      <c r="G26" s="309"/>
      <c r="H26" s="309"/>
      <c r="I26" s="309"/>
      <c r="J26" s="1912"/>
      <c r="K26" s="1212" t="str">
        <f ca="1">"大写金额：人民币"&amp;NUMBERSTRING(INT(O38*10000),2)&amp;"元整"</f>
        <v>大写金额：人民币壹亿玖仟肆佰陆拾柒万元整</v>
      </c>
      <c r="L26" s="1206"/>
      <c r="M26" s="1206"/>
      <c r="N26" s="1206"/>
      <c r="O26" s="1205"/>
      <c r="P26" s="1912"/>
      <c r="Q26" s="1912"/>
      <c r="R26" s="1912"/>
      <c r="S26" s="1912"/>
      <c r="T26" s="1912"/>
      <c r="U26" s="1912"/>
      <c r="V26" s="1912"/>
      <c r="W26" s="290"/>
      <c r="X26" s="290"/>
      <c r="Y26" s="290"/>
      <c r="Z26" s="290"/>
    </row>
    <row r="27" spans="1:26" ht="18">
      <c r="A27" s="291"/>
      <c r="B27" s="292"/>
      <c r="C27" s="292"/>
      <c r="D27" s="293"/>
      <c r="E27" s="309"/>
      <c r="F27" s="309"/>
      <c r="G27" s="309"/>
      <c r="H27" s="309"/>
      <c r="I27" s="309"/>
      <c r="J27" s="1912"/>
      <c r="K27" s="1212" t="str">
        <f ca="1">"单位面积地价："&amp;M38&amp;"元/平方米"</f>
        <v>单位面积地价：14813元/平方米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楼面地价：7407元/平方米</v>
      </c>
      <c r="L28" s="1206"/>
      <c r="M28" s="1206"/>
      <c r="N28" s="1206"/>
      <c r="O28" s="1205"/>
      <c r="P28" s="1912"/>
      <c r="V28" s="1912"/>
    </row>
    <row r="29" spans="1:26" ht="18">
      <c r="A29" s="291"/>
      <c r="B29" s="292"/>
      <c r="C29" s="292"/>
      <c r="D29" s="293"/>
      <c r="E29" s="309"/>
      <c r="F29" s="309"/>
      <c r="G29" s="309"/>
      <c r="H29" s="309"/>
      <c r="I29" s="309"/>
      <c r="J29" s="1912"/>
      <c r="K29" s="1212" t="str">
        <f ca="1">IF(OR(项目基本情况!E8="抵押价格",项目基本情况!E8="已注销及未注销"),"抵押价格："&amp;O39&amp;"万元","——")</f>
        <v>抵押价格：19467万元</v>
      </c>
      <c r="L29" s="1206"/>
      <c r="M29" s="1206"/>
      <c r="N29" s="1206"/>
      <c r="O29" s="1205"/>
      <c r="P29" s="1912"/>
      <c r="V29" s="1912"/>
    </row>
    <row r="30" spans="1:26" ht="18.75" thickBot="1">
      <c r="A30" s="2800" t="s">
        <v>336</v>
      </c>
      <c r="B30" s="307"/>
      <c r="C30" s="307"/>
      <c r="D30" s="308"/>
      <c r="E30" s="3003" t="s">
        <v>2954</v>
      </c>
      <c r="F30" s="309"/>
      <c r="G30" s="309"/>
      <c r="H30" s="309"/>
      <c r="I30" s="309"/>
      <c r="J30" s="1912"/>
      <c r="K30" s="1212" t="str">
        <f ca="1">IF(K29="——","——","大写金额：人民币"&amp;NUMBERSTRING(INT(O39*10000),2)&amp;"元整")</f>
        <v>大写金额：人民币壹亿玖仟肆佰陆拾柒万元整</v>
      </c>
      <c r="L30" s="1206"/>
      <c r="M30" s="1206"/>
      <c r="N30" s="1206"/>
      <c r="O30" s="1205"/>
      <c r="P30" s="1912"/>
      <c r="V30" s="1912"/>
    </row>
    <row r="31" spans="1:26" ht="24" customHeight="1" thickBot="1">
      <c r="A31" s="3453" t="s">
        <v>2955</v>
      </c>
      <c r="B31" s="3453"/>
      <c r="C31" s="3453"/>
      <c r="D31" s="3453"/>
      <c r="E31" s="3453"/>
      <c r="F31" s="3453"/>
      <c r="G31" s="3453"/>
      <c r="H31" s="3453"/>
      <c r="I31" s="3453"/>
      <c r="J31" s="1912"/>
      <c r="K31" s="2323" t="str">
        <f>IF(项目基本情况!E8="抵押价格","——","抵押担保权已注销时的抵押价格："&amp;O40&amp;"万元")</f>
        <v>——</v>
      </c>
      <c r="L31" s="2319"/>
      <c r="M31" s="2319"/>
      <c r="N31" s="2319"/>
      <c r="O31" s="2320"/>
      <c r="P31" s="1912"/>
      <c r="V31" s="1912"/>
    </row>
    <row r="32" spans="1:26" ht="19.5" thickTop="1" thickBot="1">
      <c r="A32" s="272" t="s">
        <v>337</v>
      </c>
      <c r="B32" s="3004" t="s">
        <v>1679</v>
      </c>
      <c r="C32" s="264">
        <f ca="1">G19-C24</f>
        <v>19467</v>
      </c>
      <c r="D32" s="3005" t="s">
        <v>1680</v>
      </c>
      <c r="E32" s="309"/>
      <c r="F32" s="309"/>
      <c r="G32" s="309"/>
      <c r="H32" s="309"/>
      <c r="I32" s="309"/>
      <c r="J32" s="1912"/>
      <c r="K32" s="2318" t="str">
        <f>IF(K31="——","——","大写金额：人民币"&amp;NUMBERSTRING(INT(O40*10000),2)&amp;"元整")</f>
        <v>——</v>
      </c>
      <c r="L32" s="2321"/>
      <c r="M32" s="2321"/>
      <c r="N32" s="2321"/>
      <c r="O32" s="2322"/>
      <c r="P32" s="1912"/>
      <c r="V32" s="1912"/>
    </row>
    <row r="33" spans="1:26" ht="18.75" thickBot="1">
      <c r="A33" s="296" t="s">
        <v>340</v>
      </c>
      <c r="B33" s="1333" t="s">
        <v>1681</v>
      </c>
      <c r="C33" s="262">
        <f ca="1">ROUND(C32*10000/'数据-汇总表'!E3,0)</f>
        <v>7407</v>
      </c>
      <c r="D33" s="1334" t="s">
        <v>1682</v>
      </c>
      <c r="E33" s="3410"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75" thickBot="1">
      <c r="A34" s="298"/>
      <c r="B34" s="1335" t="s">
        <v>1683</v>
      </c>
      <c r="C34" s="262">
        <f ca="1">ROUND(C32*10000/'数据-汇总表'!D3,0)</f>
        <v>14813</v>
      </c>
      <c r="D34" s="1336" t="s">
        <v>1682</v>
      </c>
      <c r="E34" s="3411"/>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75" thickBot="1">
      <c r="A35" s="282"/>
      <c r="B35" s="1337"/>
      <c r="C35" s="1338">
        <f ca="1">ROUND(C32/('数据-汇总表'!D3/666.67),0)</f>
        <v>988</v>
      </c>
      <c r="D35" s="1339" t="s">
        <v>1684</v>
      </c>
      <c r="E35" s="3412"/>
      <c r="F35" s="299" t="s">
        <v>342</v>
      </c>
      <c r="G35" s="970"/>
      <c r="H35" s="969" t="s">
        <v>343</v>
      </c>
      <c r="I35" s="309"/>
      <c r="J35" s="1912"/>
      <c r="K35" s="3416" t="s">
        <v>350</v>
      </c>
      <c r="L35" s="3416" t="s">
        <v>351</v>
      </c>
      <c r="M35" s="1218" t="s">
        <v>352</v>
      </c>
      <c r="N35" s="3416" t="s">
        <v>353</v>
      </c>
      <c r="O35" s="3416" t="s">
        <v>354</v>
      </c>
      <c r="P35" s="1912"/>
      <c r="V35" s="1912"/>
    </row>
    <row r="36" spans="1:26" ht="16.5" customHeight="1">
      <c r="A36" s="301" t="s">
        <v>344</v>
      </c>
      <c r="B36" s="302" t="s">
        <v>333</v>
      </c>
      <c r="C36" s="303" t="s">
        <v>345</v>
      </c>
      <c r="D36" s="303" t="s">
        <v>346</v>
      </c>
      <c r="E36" s="304" t="s">
        <v>347</v>
      </c>
      <c r="F36" s="309"/>
      <c r="G36" s="309"/>
      <c r="H36" s="309"/>
      <c r="I36" s="309"/>
      <c r="J36" s="1914"/>
      <c r="K36" s="3417"/>
      <c r="L36" s="3417"/>
      <c r="M36" s="1220" t="s">
        <v>355</v>
      </c>
      <c r="N36" s="3417"/>
      <c r="O36" s="3417"/>
      <c r="P36" s="1912"/>
      <c r="V36" s="1912"/>
    </row>
    <row r="37" spans="1:26" ht="16.5" customHeight="1" thickBot="1">
      <c r="A37" s="1214" t="s">
        <v>348</v>
      </c>
      <c r="B37" s="305"/>
      <c r="C37" s="292"/>
      <c r="D37" s="292"/>
      <c r="E37" s="293"/>
      <c r="F37" s="309"/>
      <c r="G37" s="309"/>
      <c r="H37" s="309"/>
      <c r="I37" s="309"/>
      <c r="J37" s="1914"/>
      <c r="K37" s="3418"/>
      <c r="L37" s="3418"/>
      <c r="M37" s="1221"/>
      <c r="N37" s="3418"/>
      <c r="O37" s="3418"/>
      <c r="P37" s="1912"/>
      <c r="V37" s="1912"/>
    </row>
    <row r="38" spans="1:26" ht="16.5" customHeight="1" thickBot="1">
      <c r="A38" s="1214" t="s">
        <v>349</v>
      </c>
      <c r="B38" s="305"/>
      <c r="C38" s="292"/>
      <c r="D38" s="292"/>
      <c r="E38" s="293"/>
      <c r="F38" s="309"/>
      <c r="G38" s="309"/>
      <c r="H38" s="309"/>
      <c r="I38" s="309"/>
      <c r="J38" s="1914"/>
      <c r="K38" s="1222">
        <f>'数据-汇总表'!D3</f>
        <v>13141.8</v>
      </c>
      <c r="L38" s="1223">
        <f>'数据-汇总表'!E3</f>
        <v>26283.599999999999</v>
      </c>
      <c r="M38" s="1223">
        <f ca="1">C34</f>
        <v>14813</v>
      </c>
      <c r="N38" s="1223">
        <f ca="1">C33</f>
        <v>7407</v>
      </c>
      <c r="O38" s="1224">
        <f ca="1">C32</f>
        <v>19467</v>
      </c>
      <c r="P38" s="1912"/>
      <c r="V38" s="1912"/>
    </row>
    <row r="39" spans="1:26" ht="16.5" customHeight="1" thickBot="1">
      <c r="A39" s="1219"/>
      <c r="B39" s="306"/>
      <c r="C39" s="307"/>
      <c r="D39" s="307"/>
      <c r="E39" s="308"/>
      <c r="F39" s="309"/>
      <c r="G39" s="309"/>
      <c r="H39" s="309"/>
      <c r="I39" s="309"/>
      <c r="J39" s="1914"/>
      <c r="K39" s="3429" t="str">
        <f>MID(A44,3,LEN(A44)-2)</f>
        <v>抵押价格</v>
      </c>
      <c r="L39" s="3430"/>
      <c r="M39" s="3430"/>
      <c r="N39" s="3431"/>
      <c r="O39" s="1341">
        <f ca="1">C44</f>
        <v>19467</v>
      </c>
      <c r="P39" s="1912"/>
      <c r="V39" s="1912"/>
    </row>
    <row r="40" spans="1:26" ht="19.5" thickBot="1">
      <c r="A40" s="104" t="s">
        <v>864</v>
      </c>
      <c r="B40" s="309"/>
      <c r="C40" s="309"/>
      <c r="D40" s="309"/>
      <c r="E40" s="309"/>
      <c r="F40" s="309"/>
      <c r="G40" s="309"/>
      <c r="H40" s="309"/>
      <c r="I40" s="309"/>
      <c r="J40" s="1914"/>
      <c r="K40" s="3429" t="str">
        <f t="shared" ref="K40:K41" si="0">MID(A45,3,LEN(A45)-2)</f>
        <v/>
      </c>
      <c r="L40" s="3430"/>
      <c r="M40" s="3430"/>
      <c r="N40" s="3431"/>
      <c r="O40" s="1341" t="str">
        <f>C45</f>
        <v>——</v>
      </c>
      <c r="P40" s="1912"/>
      <c r="V40" s="1912"/>
    </row>
    <row r="41" spans="1:26" ht="16.5" thickBot="1">
      <c r="A41" s="310" t="s">
        <v>356</v>
      </c>
      <c r="B41" s="311"/>
      <c r="C41" s="312" t="s">
        <v>357</v>
      </c>
      <c r="D41" s="313" t="s">
        <v>358</v>
      </c>
      <c r="E41" s="313" t="s">
        <v>359</v>
      </c>
      <c r="F41" s="314" t="s">
        <v>360</v>
      </c>
      <c r="G41" s="309"/>
      <c r="H41" s="309"/>
      <c r="I41" s="309"/>
      <c r="J41" s="1914"/>
      <c r="K41" s="3429" t="str">
        <f t="shared" si="0"/>
        <v/>
      </c>
      <c r="L41" s="3430"/>
      <c r="M41" s="3430"/>
      <c r="N41" s="3431"/>
      <c r="O41" s="1341" t="str">
        <f>C46</f>
        <v>——</v>
      </c>
      <c r="P41" s="1912"/>
      <c r="V41" s="1912"/>
    </row>
    <row r="42" spans="1:26" ht="29.25">
      <c r="A42" s="3458" t="s">
        <v>2056</v>
      </c>
      <c r="B42" s="3459"/>
      <c r="C42" s="262">
        <f ca="1">C32</f>
        <v>19467</v>
      </c>
      <c r="D42" s="315">
        <f ca="1">C33</f>
        <v>7407</v>
      </c>
      <c r="E42" s="315">
        <f ca="1">C34</f>
        <v>14813</v>
      </c>
      <c r="F42" s="316">
        <f ca="1">C35</f>
        <v>988</v>
      </c>
      <c r="G42" s="309"/>
      <c r="H42" s="309"/>
      <c r="I42" s="317"/>
      <c r="J42" s="1914"/>
      <c r="K42" s="1225" t="s">
        <v>361</v>
      </c>
      <c r="L42" s="1931" t="s">
        <v>362</v>
      </c>
      <c r="M42" s="1226" t="s">
        <v>363</v>
      </c>
      <c r="N42" s="1932" t="s">
        <v>364</v>
      </c>
      <c r="O42" s="1933" t="s">
        <v>365</v>
      </c>
      <c r="P42" s="1912"/>
      <c r="V42" s="1912"/>
    </row>
    <row r="43" spans="1:26" ht="18">
      <c r="A43" s="3468" t="s">
        <v>2710</v>
      </c>
      <c r="B43" s="3469"/>
      <c r="C43" s="262">
        <f>IF(H33="正常操作",G33+G34+G35,G34+G35)</f>
        <v>0</v>
      </c>
      <c r="D43" s="315" t="s">
        <v>43</v>
      </c>
      <c r="E43" s="315" t="s">
        <v>44</v>
      </c>
      <c r="F43" s="316" t="s">
        <v>44</v>
      </c>
      <c r="G43" s="2584" t="s">
        <v>943</v>
      </c>
      <c r="H43" s="309"/>
      <c r="I43" s="317"/>
      <c r="J43" s="1914"/>
      <c r="K43" s="1227" t="str">
        <f>C4</f>
        <v>基准地价</v>
      </c>
      <c r="L43" s="1228">
        <f ca="1">IF(L42="估价结果/万元",C19,C20)</f>
        <v>15867</v>
      </c>
      <c r="M43" s="1229">
        <f>C18</f>
        <v>0.7</v>
      </c>
      <c r="N43" s="1230">
        <f ca="1">IF(N42="测算结果/万元",G19,G20)</f>
        <v>19467</v>
      </c>
      <c r="O43" s="1231">
        <f ca="1">IF(O42="最终结果/万元",C32,C33)</f>
        <v>19467</v>
      </c>
      <c r="P43" s="1912"/>
      <c r="V43" s="1912"/>
    </row>
    <row r="44" spans="1:26" ht="30.75" thickBot="1">
      <c r="A44" s="3458" t="str">
        <f>IF(OR(项目基本情况!E8="抵押价格",项目基本情况!E8="已注销及未注销"),"3.抵押价格","——")</f>
        <v>3.抵押价格</v>
      </c>
      <c r="B44" s="3459"/>
      <c r="C44" s="262">
        <f ca="1">IF(A44="——","——",C42-C43)</f>
        <v>19467</v>
      </c>
      <c r="D44" s="315">
        <f ca="1">ROUND(C44*10000/'数据-汇总表'!E3,0)</f>
        <v>7407</v>
      </c>
      <c r="E44" s="315">
        <f ca="1">ROUND(C44*10000/'数据-汇总表'!D3,0)</f>
        <v>14813</v>
      </c>
      <c r="F44" s="316">
        <f ca="1">ROUND(C44/('数据-汇总表'!D3/666.67),0)</f>
        <v>988</v>
      </c>
      <c r="G44" s="309"/>
      <c r="H44" s="309"/>
      <c r="I44" s="317"/>
      <c r="J44" s="1914"/>
      <c r="K44" s="1232" t="str">
        <f>D4</f>
        <v>比较法-住宅、综合</v>
      </c>
      <c r="L44" s="1233">
        <f ca="1">IF(L42="估价结果/万元",D19,D20)</f>
        <v>27866</v>
      </c>
      <c r="M44" s="1234">
        <f>D18</f>
        <v>0.30000000000000004</v>
      </c>
      <c r="N44" s="1235"/>
      <c r="O44" s="1236"/>
      <c r="P44" s="1912"/>
      <c r="V44" s="1912"/>
    </row>
    <row r="45" spans="1:26" ht="15">
      <c r="A45" s="3463" t="str">
        <f>IF(项目基本情况!E8="已注销及未注销","4.抵押担保权已注销时的抵押价格",IF(项目基本情况!E8="已注销","3.抵押担保权已注销时的抵押价格","——"))</f>
        <v>——</v>
      </c>
      <c r="B45" s="3464"/>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5.75" thickBot="1">
      <c r="A46" s="3460" t="str">
        <f>IF(项目基本情况!E9="抵押净值",IF(A45="——","4.抵押净值","5.抵押净值"),"——")</f>
        <v>——</v>
      </c>
      <c r="B46" s="3461"/>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75">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2.75">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2.75">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2.75">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2.75">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2.75">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2.75">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2.75">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2.75">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2.75">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2.75">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2.75">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2.75">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2.75">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2.75">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8.75">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21" t="s">
        <v>374</v>
      </c>
      <c r="B63" s="3422"/>
      <c r="C63" s="3423"/>
      <c r="D63" s="339">
        <f ca="1">ROUND(C42*F63,0)</f>
        <v>19467</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65" t="s">
        <v>378</v>
      </c>
      <c r="B64" s="3466"/>
      <c r="C64" s="3466"/>
      <c r="D64" s="3466"/>
      <c r="E64" s="3466"/>
      <c r="F64" s="3466"/>
      <c r="G64" s="3467"/>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5.5">
      <c r="A66" s="3462" t="s">
        <v>386</v>
      </c>
      <c r="B66" s="3428"/>
      <c r="C66" s="3428"/>
      <c r="D66" s="259" t="b">
        <f>IF(H66="情况1",0,IF(H66="情况2",D70,IF(H66="情况3",D71,IF(H66="情况4",D72))))</f>
        <v>0</v>
      </c>
      <c r="E66" s="981" t="str">
        <f>IF(H66="情况4","(销售额-原购置价)×税（费）率","销售额×税（费）率")</f>
        <v>销售额×税（费）率</v>
      </c>
      <c r="F66" s="348">
        <f>IF(H66="情况1","免征",'数据-取费表'!B41)</f>
        <v>5.5000000000000007E-2</v>
      </c>
      <c r="G66" s="349" t="s">
        <v>387</v>
      </c>
      <c r="H66" s="189"/>
      <c r="I66" s="1242"/>
      <c r="J66" s="1918"/>
      <c r="K66" s="1245">
        <v>1</v>
      </c>
      <c r="L66" s="3389" t="s">
        <v>385</v>
      </c>
      <c r="M66" s="3390"/>
      <c r="N66" s="2313"/>
      <c r="O66" s="2314"/>
      <c r="P66" s="2315"/>
      <c r="Q66" s="1912"/>
      <c r="R66" s="1912"/>
      <c r="S66" s="1912"/>
      <c r="T66" s="1912"/>
      <c r="U66" s="1912"/>
      <c r="V66" s="1912"/>
    </row>
    <row r="67" spans="1:22" ht="25.5" customHeight="1">
      <c r="A67" s="350" t="s">
        <v>389</v>
      </c>
      <c r="B67" s="3440" t="s">
        <v>390</v>
      </c>
      <c r="C67" s="3440"/>
      <c r="D67" s="351">
        <v>0</v>
      </c>
      <c r="E67" s="41" t="s">
        <v>391</v>
      </c>
      <c r="F67" s="62" t="s">
        <v>21</v>
      </c>
      <c r="G67" s="3424"/>
      <c r="H67" s="3006" t="s">
        <v>2956</v>
      </c>
      <c r="I67" s="3008"/>
      <c r="J67" s="1919"/>
      <c r="K67" s="1891">
        <v>2</v>
      </c>
      <c r="L67" s="3394" t="s">
        <v>388</v>
      </c>
      <c r="M67" s="3394"/>
      <c r="N67" s="1279">
        <f>'数据-取费表'!B2</f>
        <v>44329</v>
      </c>
      <c r="O67" s="1279"/>
      <c r="P67" s="1279"/>
      <c r="Q67" s="1912"/>
      <c r="R67" s="1912"/>
      <c r="S67" s="1912"/>
      <c r="T67" s="1912"/>
      <c r="U67" s="1912"/>
      <c r="V67" s="1912"/>
    </row>
    <row r="68" spans="1:22" ht="25.5" customHeight="1">
      <c r="A68" s="352"/>
      <c r="B68" s="3440" t="s">
        <v>393</v>
      </c>
      <c r="C68" s="3440"/>
      <c r="D68" s="353"/>
      <c r="E68" s="77"/>
      <c r="F68" s="354"/>
      <c r="G68" s="3425"/>
      <c r="H68" s="3007" t="s">
        <v>2957</v>
      </c>
      <c r="I68" s="3008"/>
      <c r="J68" s="1919"/>
      <c r="K68" s="1891">
        <v>3</v>
      </c>
      <c r="L68" s="3394" t="s">
        <v>392</v>
      </c>
      <c r="M68" s="3394"/>
      <c r="N68" s="1247">
        <f ca="1">C42</f>
        <v>19467</v>
      </c>
      <c r="O68" s="1247"/>
      <c r="P68" s="1247"/>
      <c r="Q68" s="1912"/>
      <c r="R68" s="1912"/>
      <c r="S68" s="1912"/>
      <c r="T68" s="1912"/>
      <c r="U68" s="1912"/>
      <c r="V68" s="1912"/>
    </row>
    <row r="69" spans="1:22" ht="23.45" customHeight="1">
      <c r="A69" s="355"/>
      <c r="B69" s="3440" t="s">
        <v>394</v>
      </c>
      <c r="C69" s="3440"/>
      <c r="D69" s="356"/>
      <c r="E69" s="73"/>
      <c r="F69" s="354"/>
      <c r="G69" s="3426"/>
      <c r="H69" s="3007" t="s">
        <v>2958</v>
      </c>
      <c r="I69" s="3008"/>
      <c r="J69" s="1919"/>
      <c r="K69" s="1248">
        <v>4</v>
      </c>
      <c r="L69" s="3395" t="s">
        <v>2862</v>
      </c>
      <c r="M69" s="3396"/>
      <c r="N69" s="1249">
        <f ca="1">C44</f>
        <v>19467</v>
      </c>
      <c r="O69" s="1249"/>
      <c r="P69" s="1249"/>
      <c r="Q69" s="1912"/>
      <c r="R69" s="1912"/>
      <c r="S69" s="1912"/>
      <c r="T69" s="1912"/>
      <c r="U69" s="1912"/>
      <c r="V69" s="1912"/>
    </row>
    <row r="70" spans="1:22" ht="24" customHeight="1">
      <c r="A70" s="357" t="s">
        <v>395</v>
      </c>
      <c r="B70" s="3440" t="s">
        <v>396</v>
      </c>
      <c r="C70" s="3440"/>
      <c r="D70" s="356">
        <f ca="1">ROUND(D63*'数据-取费表'!B41/(1+'数据-取费表'!C42),0)</f>
        <v>1020</v>
      </c>
      <c r="E70" s="17" t="s">
        <v>397</v>
      </c>
      <c r="F70" s="358">
        <f>'数据-取费表'!B41</f>
        <v>5.5000000000000007E-2</v>
      </c>
      <c r="G70" s="359"/>
      <c r="H70" s="309"/>
      <c r="I70" s="1246"/>
      <c r="J70" s="1919"/>
      <c r="K70" s="2765"/>
      <c r="L70" s="2766"/>
      <c r="M70" s="2766"/>
      <c r="N70" s="2767" t="s">
        <v>2866</v>
      </c>
      <c r="O70" s="2766"/>
      <c r="P70" s="2768"/>
      <c r="Q70" s="1912"/>
      <c r="R70" s="1912"/>
      <c r="S70" s="1912"/>
      <c r="T70" s="1912"/>
      <c r="U70" s="1912"/>
      <c r="V70" s="1912"/>
    </row>
    <row r="71" spans="1:22" ht="12" customHeight="1">
      <c r="A71" s="357" t="s">
        <v>403</v>
      </c>
      <c r="B71" s="3439" t="s">
        <v>2987</v>
      </c>
      <c r="C71" s="3456"/>
      <c r="D71" s="356">
        <f ca="1">ROUND(D63*'数据-取费表'!B41/(1+'数据-取费表'!C42),0)</f>
        <v>1020</v>
      </c>
      <c r="E71" s="17" t="s">
        <v>397</v>
      </c>
      <c r="F71" s="358">
        <f>'数据-取费表'!B41</f>
        <v>5.5000000000000007E-2</v>
      </c>
      <c r="G71" s="359"/>
      <c r="H71" s="309"/>
      <c r="I71" s="1246"/>
      <c r="J71" s="1919"/>
      <c r="K71" s="2764" t="s">
        <v>398</v>
      </c>
      <c r="L71" s="3397" t="s">
        <v>399</v>
      </c>
      <c r="M71" s="3397"/>
      <c r="N71" s="2764" t="s">
        <v>400</v>
      </c>
      <c r="O71" s="2764" t="s">
        <v>401</v>
      </c>
      <c r="P71" s="2764" t="s">
        <v>402</v>
      </c>
      <c r="Q71" s="1912"/>
      <c r="R71" s="1912"/>
      <c r="S71" s="1912"/>
      <c r="T71" s="1912"/>
      <c r="U71" s="1912"/>
      <c r="V71" s="1912"/>
    </row>
    <row r="72" spans="1:22" ht="12" customHeight="1">
      <c r="A72" s="357" t="s">
        <v>405</v>
      </c>
      <c r="B72" s="3439" t="s">
        <v>2988</v>
      </c>
      <c r="C72" s="3456"/>
      <c r="D72" s="356">
        <f ca="1">C86</f>
        <v>1020</v>
      </c>
      <c r="E72" s="73" t="s">
        <v>406</v>
      </c>
      <c r="F72" s="358">
        <f>'数据-取费表'!B41</f>
        <v>5.5000000000000007E-2</v>
      </c>
      <c r="G72" s="359"/>
      <c r="H72" s="1252"/>
      <c r="I72" s="1246"/>
      <c r="J72" s="1919"/>
      <c r="K72" s="1891">
        <v>1</v>
      </c>
      <c r="L72" s="3393" t="s">
        <v>404</v>
      </c>
      <c r="M72" s="3393"/>
      <c r="N72" s="1250" t="b">
        <f>D66</f>
        <v>0</v>
      </c>
      <c r="O72" s="1774" t="str">
        <f>E66</f>
        <v>销售额×税（费）率</v>
      </c>
      <c r="P72" s="1251">
        <f>F66</f>
        <v>5.5000000000000007E-2</v>
      </c>
      <c r="Q72" s="1912"/>
      <c r="R72" s="1912"/>
      <c r="S72" s="1912"/>
      <c r="T72" s="1912"/>
      <c r="U72" s="1912"/>
      <c r="V72" s="1912"/>
    </row>
    <row r="73" spans="1:22" ht="24" customHeight="1">
      <c r="A73" s="3427" t="s">
        <v>408</v>
      </c>
      <c r="B73" s="3428"/>
      <c r="C73" s="3428"/>
      <c r="D73" s="360">
        <f ca="1">IF(H73="个人住宅",0,ROUND(D63*I73,0))</f>
        <v>10</v>
      </c>
      <c r="E73" s="17" t="s">
        <v>409</v>
      </c>
      <c r="F73" s="358" t="str">
        <f>IF(H73="正常",I73,"免征")</f>
        <v>免征</v>
      </c>
      <c r="G73" s="359"/>
      <c r="H73" s="189"/>
      <c r="I73" s="358">
        <f>'数据-取费表'!B49</f>
        <v>5.0000000000000001E-4</v>
      </c>
      <c r="J73" s="1919"/>
      <c r="K73" s="1891">
        <v>2</v>
      </c>
      <c r="L73" s="3393" t="s">
        <v>407</v>
      </c>
      <c r="M73" s="3393"/>
      <c r="N73" s="1250">
        <f t="shared" ref="N73:P74" ca="1" si="1">D73</f>
        <v>10</v>
      </c>
      <c r="O73" s="1774" t="str">
        <f t="shared" si="1"/>
        <v>销售额×税（费）率</v>
      </c>
      <c r="P73" s="1251" t="str">
        <f t="shared" si="1"/>
        <v>免征</v>
      </c>
      <c r="Q73" s="1912"/>
      <c r="R73" s="1912"/>
      <c r="S73" s="1912"/>
      <c r="T73" s="1912"/>
      <c r="U73" s="1912"/>
      <c r="V73" s="1912"/>
    </row>
    <row r="74" spans="1:22" ht="24.75">
      <c r="A74" s="3427" t="s">
        <v>411</v>
      </c>
      <c r="B74" s="3428"/>
      <c r="C74" s="3428"/>
      <c r="D74" s="360">
        <f ca="1">IF(H74="个人住宅",D75,D76)</f>
        <v>11036</v>
      </c>
      <c r="E74" s="17" t="s">
        <v>412</v>
      </c>
      <c r="F74" s="358" t="str">
        <f>IF(H74="正常",F76,"免征")</f>
        <v>免征</v>
      </c>
      <c r="G74" s="971" t="s">
        <v>413</v>
      </c>
      <c r="H74" s="361"/>
      <c r="I74" s="42"/>
      <c r="J74" s="1919"/>
      <c r="K74" s="1891">
        <v>3</v>
      </c>
      <c r="L74" s="3393" t="s">
        <v>410</v>
      </c>
      <c r="M74" s="3393"/>
      <c r="N74" s="1250">
        <f t="shared" ca="1" si="1"/>
        <v>11036</v>
      </c>
      <c r="O74" s="1774" t="str">
        <f t="shared" si="1"/>
        <v>增值额×税（费）率</v>
      </c>
      <c r="P74" s="1253" t="str">
        <f t="shared" si="1"/>
        <v>免征</v>
      </c>
      <c r="Q74" s="1912"/>
      <c r="R74" s="1912"/>
      <c r="S74" s="1912"/>
      <c r="T74" s="1912"/>
      <c r="U74" s="1912"/>
      <c r="V74" s="1912"/>
    </row>
    <row r="75" spans="1:22" ht="12.75">
      <c r="A75" s="357" t="s">
        <v>414</v>
      </c>
      <c r="B75" s="3408" t="s">
        <v>415</v>
      </c>
      <c r="C75" s="3409"/>
      <c r="D75" s="362">
        <v>0</v>
      </c>
      <c r="E75" s="41" t="s">
        <v>416</v>
      </c>
      <c r="F75" s="363"/>
      <c r="G75" s="359"/>
      <c r="H75" s="42"/>
      <c r="I75" s="42"/>
      <c r="J75" s="1919"/>
      <c r="K75" s="2758">
        <f>IF(H77="非个人房产","",4)</f>
        <v>4</v>
      </c>
      <c r="L75" s="3393" t="str">
        <f>IF(H77="非个人房产","——","个人所得税")</f>
        <v>个人所得税</v>
      </c>
      <c r="M75" s="3393"/>
      <c r="N75" s="1254">
        <f>D77</f>
        <v>0</v>
      </c>
      <c r="O75" s="1787" t="str">
        <f>E77</f>
        <v>差额计税</v>
      </c>
      <c r="P75" s="1255">
        <f>F77</f>
        <v>0.01</v>
      </c>
      <c r="Q75" s="1912"/>
      <c r="R75" s="1912"/>
      <c r="S75" s="1912"/>
      <c r="T75" s="1912"/>
      <c r="U75" s="1912"/>
      <c r="V75" s="1912"/>
    </row>
    <row r="76" spans="1:22" ht="24.75">
      <c r="A76" s="357" t="s">
        <v>395</v>
      </c>
      <c r="B76" s="3408" t="s">
        <v>418</v>
      </c>
      <c r="C76" s="3450"/>
      <c r="D76" s="360">
        <f ca="1">IF(H76="转让取得",C99,C115)</f>
        <v>11036</v>
      </c>
      <c r="E76" s="17" t="s">
        <v>419</v>
      </c>
      <c r="F76" s="53" t="s">
        <v>21</v>
      </c>
      <c r="G76" s="359"/>
      <c r="H76" s="361"/>
      <c r="I76" s="42"/>
      <c r="J76" s="1919"/>
      <c r="K76" s="2758" t="str">
        <f>IF(项目基本情况!K6="上海银行",IF(K75="",4,K75+1),"")</f>
        <v/>
      </c>
      <c r="L76" s="3404" t="str">
        <f>IF(项目基本情况!K6="上海银行","其他处置费用","")</f>
        <v/>
      </c>
      <c r="M76" s="3405"/>
      <c r="N76" s="1250" t="str">
        <f>IF(项目基本情况!K6="上海银行",N89,"")</f>
        <v/>
      </c>
      <c r="O76" s="3406" t="str">
        <f>IF(项目基本情况!K6="上海银行","包含处置中涉及的律师、诉讼、拍卖、评估等费用","")</f>
        <v/>
      </c>
      <c r="P76" s="3407"/>
      <c r="Q76" s="1912"/>
      <c r="R76" s="1912"/>
      <c r="S76" s="1912"/>
      <c r="T76" s="1912"/>
      <c r="U76" s="1912"/>
      <c r="V76" s="1912"/>
    </row>
    <row r="77" spans="1:22" ht="24.75" thickBot="1">
      <c r="A77" s="3419" t="s">
        <v>421</v>
      </c>
      <c r="B77" s="3420"/>
      <c r="C77" s="3420"/>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2" t="s">
        <v>413</v>
      </c>
      <c r="H77" s="3010"/>
      <c r="I77" s="3009" t="s">
        <v>2959</v>
      </c>
      <c r="J77" s="1919"/>
      <c r="K77" s="3415">
        <f>IF(AND(K75="",K76=""),4,IF(项目基本情况!K6="上海银行",K76+1,K75+1))</f>
        <v>5</v>
      </c>
      <c r="L77" s="3393" t="s">
        <v>2863</v>
      </c>
      <c r="M77" s="2763" t="s">
        <v>417</v>
      </c>
      <c r="N77" s="1256"/>
      <c r="O77" s="1257">
        <f ca="1">SUMIF(N72:N76,"&lt;9e307")</f>
        <v>11046</v>
      </c>
      <c r="P77" s="1258"/>
      <c r="Q77" s="2761">
        <f ca="1">O77/N69</f>
        <v>0.56742179072276155</v>
      </c>
      <c r="R77" s="1912"/>
      <c r="S77" s="1912"/>
      <c r="T77" s="1912"/>
      <c r="U77" s="1912"/>
      <c r="V77" s="1912"/>
    </row>
    <row r="78" spans="1:22" ht="12" customHeight="1">
      <c r="A78" s="1259"/>
      <c r="B78" s="309"/>
      <c r="C78" s="309"/>
      <c r="D78" s="309"/>
      <c r="E78" s="42"/>
      <c r="F78" s="42"/>
      <c r="G78" s="42"/>
      <c r="H78" s="991"/>
      <c r="I78" s="309"/>
      <c r="J78" s="1919"/>
      <c r="K78" s="3415"/>
      <c r="L78" s="3393"/>
      <c r="M78" s="2763" t="s">
        <v>420</v>
      </c>
      <c r="N78" s="1256"/>
      <c r="O78" s="1257" t="str">
        <f ca="1">NUMBERSTRING(INT(O77*10000),2)&amp;"元整"</f>
        <v>壹亿壹仟零肆拾陆万元整</v>
      </c>
      <c r="P78" s="1258"/>
      <c r="Q78" s="1912"/>
      <c r="R78" s="1912"/>
      <c r="S78" s="1912"/>
      <c r="T78" s="1912"/>
      <c r="U78" s="1912"/>
      <c r="V78" s="1912"/>
    </row>
    <row r="79" spans="1:22" ht="13.5" thickBot="1">
      <c r="A79" s="3470" t="s">
        <v>422</v>
      </c>
      <c r="B79" s="3470"/>
      <c r="C79" s="3470"/>
      <c r="D79" s="3470"/>
      <c r="E79" s="3470"/>
      <c r="F79" s="42"/>
      <c r="G79" s="42"/>
      <c r="H79" s="991"/>
      <c r="I79" s="309"/>
      <c r="J79" s="1919"/>
      <c r="K79" s="3391">
        <f>K77+1</f>
        <v>6</v>
      </c>
      <c r="L79" s="3393" t="s">
        <v>2864</v>
      </c>
      <c r="M79" s="2763" t="s">
        <v>417</v>
      </c>
      <c r="N79" s="1256"/>
      <c r="O79" s="1257">
        <f ca="1">N69-O77</f>
        <v>8421</v>
      </c>
      <c r="P79" s="1258"/>
      <c r="Q79" s="1912"/>
      <c r="R79" s="1912"/>
      <c r="S79" s="1912"/>
      <c r="T79" s="1912"/>
      <c r="U79" s="1912"/>
      <c r="V79" s="1912"/>
    </row>
    <row r="80" spans="1:22" ht="25.5">
      <c r="A80" s="3401" t="s">
        <v>423</v>
      </c>
      <c r="B80" s="3402"/>
      <c r="C80" s="982"/>
      <c r="D80" s="982" t="s">
        <v>424</v>
      </c>
      <c r="E80" s="364" t="s">
        <v>425</v>
      </c>
      <c r="F80" s="42"/>
      <c r="G80" s="42"/>
      <c r="H80" s="991"/>
      <c r="I80" s="309"/>
      <c r="J80" s="1912"/>
      <c r="K80" s="3392"/>
      <c r="L80" s="3393"/>
      <c r="M80" s="2763" t="s">
        <v>420</v>
      </c>
      <c r="N80" s="1256"/>
      <c r="O80" s="1257" t="str">
        <f ca="1">NUMBERSTRING(INT(O79*10000),2)&amp;"元整"</f>
        <v>捌仟肆佰贰拾壹万元整</v>
      </c>
      <c r="P80" s="1258"/>
      <c r="Q80" s="1912"/>
      <c r="R80" s="1912"/>
      <c r="S80" s="1912"/>
      <c r="T80" s="1912"/>
      <c r="U80" s="1912"/>
      <c r="V80" s="1912"/>
    </row>
    <row r="81" spans="1:26" ht="13.5" thickBot="1">
      <c r="A81" s="375" t="s">
        <v>1814</v>
      </c>
      <c r="B81" s="365" t="s">
        <v>426</v>
      </c>
      <c r="C81" s="366">
        <f ca="1">ROUND((C82+C83)/(1+'数据-取费表'!C42),0)</f>
        <v>18540</v>
      </c>
      <c r="D81" s="367"/>
      <c r="E81" s="368"/>
      <c r="F81" s="42"/>
      <c r="G81" s="42"/>
      <c r="H81" s="991"/>
      <c r="I81" s="309"/>
      <c r="J81" s="1912"/>
      <c r="K81" s="2758">
        <f>K79+1</f>
        <v>7</v>
      </c>
      <c r="L81" s="3413" t="s">
        <v>2865</v>
      </c>
      <c r="M81" s="3414"/>
      <c r="N81" s="1260"/>
      <c r="O81" s="1261">
        <f ca="1">ROUND(O79*10000/'数据-汇总表'!E3,0)</f>
        <v>3204</v>
      </c>
      <c r="P81" s="1262"/>
      <c r="Q81" s="1912"/>
      <c r="R81" s="1912"/>
      <c r="S81" s="1912"/>
      <c r="T81" s="1912"/>
      <c r="U81" s="1912"/>
      <c r="V81" s="1912"/>
    </row>
    <row r="82" spans="1:26" ht="13.5" thickTop="1">
      <c r="A82" s="369" t="s">
        <v>1815</v>
      </c>
      <c r="B82" s="370" t="s">
        <v>427</v>
      </c>
      <c r="C82" s="371">
        <f ca="1">D63</f>
        <v>19467</v>
      </c>
      <c r="D82" s="372" t="s">
        <v>19</v>
      </c>
      <c r="E82" s="373"/>
      <c r="F82" s="42"/>
      <c r="G82" s="42"/>
      <c r="H82" s="991"/>
      <c r="I82" s="309"/>
      <c r="J82" s="1912"/>
      <c r="K82" s="1912"/>
      <c r="L82" s="1912"/>
      <c r="M82" s="1912"/>
      <c r="N82" s="1912"/>
      <c r="O82" s="1912"/>
      <c r="P82" s="1912"/>
      <c r="Q82" s="1912"/>
      <c r="R82" s="1912"/>
      <c r="S82" s="1912"/>
      <c r="T82" s="1912"/>
      <c r="U82" s="1912"/>
      <c r="V82" s="1912"/>
    </row>
    <row r="83" spans="1:26" ht="12.75">
      <c r="A83" s="369" t="s">
        <v>1816</v>
      </c>
      <c r="B83" s="370" t="s">
        <v>428</v>
      </c>
      <c r="C83" s="374"/>
      <c r="D83" s="372"/>
      <c r="E83" s="373"/>
      <c r="F83" s="42"/>
      <c r="G83" s="42"/>
      <c r="H83" s="991"/>
      <c r="I83" s="309"/>
      <c r="J83" s="1912"/>
      <c r="K83" s="3403" t="s">
        <v>2853</v>
      </c>
      <c r="L83" s="2769" t="s">
        <v>2854</v>
      </c>
      <c r="M83" s="2759">
        <f ca="1">IF(N69&gt;10000,N69*0.5%,IF(AND(N69&gt;1000,N69&lt;=10000),N69*1%,IF(AND(N69&gt;100,N69&lt;=1000),N69*3%,IF(AND(N69&gt;10,N69&lt;=100),N69*5%,N69*8%))))</f>
        <v>97.335000000000008</v>
      </c>
      <c r="N83" s="53">
        <f ca="1">ROUND(M83,1)</f>
        <v>97.3</v>
      </c>
      <c r="O83" s="2762"/>
      <c r="P83" s="1912"/>
      <c r="Q83" s="1912"/>
      <c r="R83" s="1912"/>
      <c r="S83" s="1912"/>
      <c r="T83" s="1912"/>
      <c r="U83" s="1912"/>
      <c r="V83" s="1912"/>
    </row>
    <row r="84" spans="1:26" ht="12.75">
      <c r="A84" s="375" t="s">
        <v>1817</v>
      </c>
      <c r="B84" s="376" t="s">
        <v>429</v>
      </c>
      <c r="C84" s="377"/>
      <c r="D84" s="378" t="s">
        <v>19</v>
      </c>
      <c r="E84" s="2787" t="s">
        <v>2897</v>
      </c>
      <c r="F84" s="42"/>
      <c r="G84" s="42"/>
      <c r="H84" s="991"/>
      <c r="I84" s="309"/>
      <c r="J84" s="1912"/>
      <c r="K84" s="3403"/>
      <c r="L84" s="2769" t="s">
        <v>2855</v>
      </c>
      <c r="M84" s="2759">
        <f ca="1">IF(N69&gt;2000,N69*0.5%,IF(AND(N69&gt;1000,N69&lt;=2000),N69*0.6%,IF(AND(N69&gt;500,N69&lt;=1000),N69*0.7%,IF(AND(N69&gt;200,N69&lt;=500),N69*0.8%,IF(AND(N69&gt;100,N69&lt;=200),N69*0.9%,IF(AND(N69&gt;50,N69&lt;=100),N69*1%,IF(AND(N69&gt;20,N69&lt;=50),N69*1.5%,IF(AND(N69&gt;10,N69&lt;=20),N69*2%,IF(AND(N69&gt;1,N69&lt;=10),N69*2.5%)))))))))</f>
        <v>97.335000000000008</v>
      </c>
      <c r="N84" s="53">
        <f t="shared" ref="N84:N85" ca="1" si="2">ROUND(M84,1)</f>
        <v>97.3</v>
      </c>
      <c r="O84" s="1912" t="s">
        <v>2856</v>
      </c>
      <c r="P84" s="1912"/>
      <c r="Q84" s="1912"/>
      <c r="R84" s="1912"/>
      <c r="S84" s="1912"/>
      <c r="T84" s="1912"/>
      <c r="U84" s="1912"/>
      <c r="V84" s="1912"/>
    </row>
    <row r="85" spans="1:26" ht="12.75">
      <c r="A85" s="375" t="s">
        <v>1818</v>
      </c>
      <c r="B85" s="376" t="s">
        <v>430</v>
      </c>
      <c r="C85" s="379">
        <f ca="1">C81-C84</f>
        <v>18540</v>
      </c>
      <c r="D85" s="372" t="s">
        <v>19</v>
      </c>
      <c r="E85" s="373"/>
      <c r="F85" s="42"/>
      <c r="G85" s="42"/>
      <c r="H85" s="991"/>
      <c r="I85" s="309"/>
      <c r="J85" s="1912"/>
      <c r="K85" s="3403"/>
      <c r="L85" s="2769" t="s">
        <v>2857</v>
      </c>
      <c r="M85" s="2759">
        <f ca="1">IF(N69&gt;1000,N69*0.1%,IF(AND(N69&gt;500,N69&lt;=1000),N69*0.5%,IF(AND(N69&gt;50,N69&lt;=500),N69*1%,IF(AND(N69&gt;1,N69&lt;=50),N69*1.5%))))</f>
        <v>19.466999999999999</v>
      </c>
      <c r="N85" s="53">
        <f t="shared" ca="1" si="2"/>
        <v>19.5</v>
      </c>
      <c r="O85" s="1912" t="s">
        <v>2856</v>
      </c>
      <c r="P85" s="1912"/>
      <c r="Q85" s="1912"/>
      <c r="R85" s="1912"/>
      <c r="S85" s="1912"/>
      <c r="T85" s="1912"/>
      <c r="U85" s="1912"/>
      <c r="V85" s="1912"/>
    </row>
    <row r="86" spans="1:26" ht="13.5" thickBot="1">
      <c r="A86" s="380" t="s">
        <v>1819</v>
      </c>
      <c r="B86" s="381" t="s">
        <v>431</v>
      </c>
      <c r="C86" s="382">
        <f ca="1">IF(C85&lt;=0,0,ROUND(C85*D86,0))</f>
        <v>1020</v>
      </c>
      <c r="D86" s="383">
        <f>'数据-取费表'!B41</f>
        <v>5.5000000000000007E-2</v>
      </c>
      <c r="E86" s="384"/>
      <c r="F86" s="42"/>
      <c r="G86" s="42"/>
      <c r="H86" s="991"/>
      <c r="I86" s="309"/>
      <c r="J86" s="1912"/>
      <c r="K86" s="3403"/>
      <c r="L86" s="2769" t="s">
        <v>2858</v>
      </c>
      <c r="M86" s="2759">
        <f ca="1">N69*0.5%</f>
        <v>97.335000000000008</v>
      </c>
      <c r="N86" s="53">
        <f ca="1">IF(M86&gt;0.5,0.5,ROUND(M86,0))</f>
        <v>0.5</v>
      </c>
      <c r="O86" s="1912" t="s">
        <v>2859</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03"/>
      <c r="L87" s="2769" t="s">
        <v>2860</v>
      </c>
      <c r="M87" s="2759">
        <f ca="1">IF(N69&gt;=10000,(8.25+(N69-10000)*0.01%),IF(AND(N69&gt;=8000,N69&lt;10000),(7.85+(N69-8000)*0.02%),IF(AND(N69&gt;=5000,N69&lt;8000),(6.65+(N69-5000)*0.04%),IF(AND(N69&gt;=2000,N69&lt;5000),(4.25+(PN69-2000)*0.08%),IF(AND(N69&gt;=1000,N69&lt;2000),(2.75+(N69-1000)*0.15%),IF(AND(N69&gt;=100,N69&lt;1000),(0.5+(N69-100)*0.25%),IF(AND(N69&gt;0,N69&lt;100),N69*0.5%)))))))</f>
        <v>9.1966999999999999</v>
      </c>
      <c r="N87" s="53">
        <f ca="1">ROUND(M87*0.9,1)</f>
        <v>8.3000000000000007</v>
      </c>
      <c r="O87" s="2762"/>
      <c r="P87" s="1912"/>
      <c r="Q87" s="1912"/>
      <c r="R87" s="1912"/>
      <c r="S87" s="1912"/>
      <c r="T87" s="1912"/>
      <c r="U87" s="1912"/>
      <c r="V87" s="1912"/>
      <c r="W87" s="290"/>
      <c r="X87" s="290"/>
      <c r="Y87" s="290"/>
      <c r="Z87" s="290"/>
    </row>
    <row r="88" spans="1:26" s="1268" customFormat="1" ht="15" thickBot="1">
      <c r="A88" s="3442" t="s">
        <v>432</v>
      </c>
      <c r="B88" s="3443"/>
      <c r="C88" s="3443"/>
      <c r="D88" s="3443"/>
      <c r="E88" s="3443"/>
      <c r="F88" s="3443"/>
      <c r="G88" s="3443"/>
      <c r="H88" s="3443"/>
      <c r="I88" s="1269"/>
      <c r="J88" s="1920"/>
      <c r="K88" s="3403"/>
      <c r="L88" s="2769" t="s">
        <v>2861</v>
      </c>
      <c r="M88" s="2759">
        <f ca="1">IF(N69&gt;10000,N69*0.5%,IF(AND(N69&gt;5000,N69&lt;=10000),N69*1%,IF(AND(N69&gt;1000,N69&lt;=5000),N69*2%,IF(AND(N69&gt;200,N69&lt;=1000),N69*3%,N69*5%))))</f>
        <v>97.335000000000008</v>
      </c>
      <c r="N88" s="53">
        <f ca="1">ROUND(M88,1)</f>
        <v>97.3</v>
      </c>
      <c r="O88" s="2762"/>
      <c r="P88" s="1917"/>
      <c r="Q88" s="1917"/>
      <c r="R88" s="1917"/>
      <c r="S88" s="1917"/>
      <c r="T88" s="1917"/>
      <c r="U88" s="1917"/>
      <c r="V88" s="1917"/>
      <c r="W88" s="1921"/>
      <c r="X88" s="1921"/>
      <c r="Y88" s="1921"/>
      <c r="Z88" s="1921"/>
    </row>
    <row r="89" spans="1:26" s="1268" customFormat="1" ht="14.25">
      <c r="A89" s="3401" t="s">
        <v>423</v>
      </c>
      <c r="B89" s="3402"/>
      <c r="C89" s="982"/>
      <c r="D89" s="982" t="s">
        <v>424</v>
      </c>
      <c r="E89" s="385" t="s">
        <v>433</v>
      </c>
      <c r="F89" s="386"/>
      <c r="G89" s="386"/>
      <c r="H89" s="387"/>
      <c r="I89" s="1270"/>
      <c r="J89" s="1922"/>
      <c r="K89" s="3403"/>
      <c r="L89" s="2769" t="s">
        <v>27</v>
      </c>
      <c r="M89" s="2760"/>
      <c r="N89" s="53">
        <f ca="1">ROUND(SUM(N83:N88),0)</f>
        <v>320</v>
      </c>
      <c r="O89" s="2770">
        <f ca="1">N89/N69</f>
        <v>1.6438074690501875E-2</v>
      </c>
      <c r="P89" s="1917"/>
      <c r="Q89" s="1917"/>
      <c r="R89" s="1917"/>
      <c r="S89" s="1917"/>
      <c r="T89" s="1917"/>
      <c r="U89" s="1917"/>
      <c r="V89" s="1917"/>
      <c r="W89" s="1921"/>
      <c r="X89" s="1921"/>
      <c r="Y89" s="1921"/>
      <c r="Z89" s="1921"/>
    </row>
    <row r="90" spans="1:26" s="1268" customFormat="1" ht="14.25">
      <c r="A90" s="375" t="s">
        <v>1814</v>
      </c>
      <c r="B90" s="376" t="s">
        <v>434</v>
      </c>
      <c r="C90" s="379">
        <f ca="1">ROUND(D63/(1+'数据-取费表'!C42),0)</f>
        <v>18540</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4.25">
      <c r="A91" s="375" t="s">
        <v>1820</v>
      </c>
      <c r="B91" s="346" t="s">
        <v>435</v>
      </c>
      <c r="C91" s="379">
        <f ca="1">C92+C96</f>
        <v>93</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25">
      <c r="A93" s="389" t="s">
        <v>1822</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1823</v>
      </c>
      <c r="B94" s="394" t="s">
        <v>440</v>
      </c>
      <c r="C94" s="372">
        <f>IF(F93="购房发票",ROUND(C93*H93*5%,0),0)</f>
        <v>0</v>
      </c>
      <c r="D94" s="395">
        <v>0.05</v>
      </c>
      <c r="E94" s="3439" t="s">
        <v>441</v>
      </c>
      <c r="F94" s="3440"/>
      <c r="G94" s="3440"/>
      <c r="H94" s="3441"/>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1825</v>
      </c>
      <c r="B96" s="370" t="s">
        <v>444</v>
      </c>
      <c r="C96" s="399">
        <f ca="1">ROUND(D63*D96/(1+'数据-取费表'!C42),0)</f>
        <v>93</v>
      </c>
      <c r="D96" s="400">
        <f>'数据-取费表'!B43</f>
        <v>5.000000000000001E-3</v>
      </c>
      <c r="E96" s="3398" t="s">
        <v>2413</v>
      </c>
      <c r="F96" s="3399"/>
      <c r="G96" s="3399"/>
      <c r="H96" s="3400"/>
      <c r="I96" s="1271"/>
      <c r="J96" s="1923"/>
      <c r="K96" s="1917"/>
      <c r="L96" s="1917"/>
      <c r="M96" s="1917"/>
      <c r="N96" s="1917"/>
      <c r="O96" s="1917"/>
      <c r="P96" s="1917"/>
      <c r="Q96" s="1917"/>
      <c r="R96" s="1917"/>
      <c r="S96" s="1917"/>
      <c r="T96" s="1917"/>
      <c r="U96" s="1917"/>
      <c r="V96" s="1917"/>
      <c r="W96" s="1921"/>
      <c r="X96" s="1921"/>
      <c r="Y96" s="1921"/>
      <c r="Z96" s="1921"/>
    </row>
    <row r="97" spans="1:26" s="1268" customFormat="1" ht="14.25">
      <c r="A97" s="1546" t="s">
        <v>1826</v>
      </c>
      <c r="B97" s="376" t="s">
        <v>445</v>
      </c>
      <c r="C97" s="379">
        <f ca="1">C90-C91</f>
        <v>18447</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1827</v>
      </c>
      <c r="B98" s="376" t="s">
        <v>446</v>
      </c>
      <c r="C98" s="401">
        <f ca="1">IF(C97&lt;=0,0,C97/C91)</f>
        <v>198.35483870967741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75" thickBot="1">
      <c r="A99" s="1547" t="s">
        <v>1828</v>
      </c>
      <c r="B99" s="381" t="s">
        <v>447</v>
      </c>
      <c r="C99" s="402">
        <f ca="1">ROUND(IF(C97&lt;=0,0,IF(C98&gt;=200%,C97*60%-C91*35%,IF(C98&gt;=100%,C97*50%-C91*15%,IF(C98&gt;=50%,C97*40%-C91*5%,IF(C98&lt;50%,C97*30%,0))))),0)</f>
        <v>11036</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5" thickBot="1">
      <c r="A101" s="3442" t="s">
        <v>448</v>
      </c>
      <c r="B101" s="3443"/>
      <c r="C101" s="3443"/>
      <c r="D101" s="3443"/>
      <c r="E101" s="3443"/>
      <c r="F101" s="3443"/>
      <c r="G101" s="3443"/>
      <c r="H101" s="3443"/>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4.25">
      <c r="A102" s="3401" t="s">
        <v>423</v>
      </c>
      <c r="B102" s="3402"/>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4.25">
      <c r="A103" s="375" t="s">
        <v>1814</v>
      </c>
      <c r="B103" s="376" t="s">
        <v>434</v>
      </c>
      <c r="C103" s="379">
        <f ca="1">ROUND(D63/(1+'数据-取费表'!C42),0)</f>
        <v>18540</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4.25">
      <c r="A104" s="375" t="s">
        <v>1820</v>
      </c>
      <c r="B104" s="346" t="s">
        <v>435</v>
      </c>
      <c r="C104" s="379">
        <f ca="1">IF(H106="仅含出让金",C105+C108+C109+C110+C111+C112,C105+C109+C110+C111+C112)</f>
        <v>93</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4.25">
      <c r="A105" s="389" t="s">
        <v>1821</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25">
      <c r="A106" s="389" t="s">
        <v>1822</v>
      </c>
      <c r="B106" s="370" t="s">
        <v>450</v>
      </c>
      <c r="C106" s="410"/>
      <c r="D106" s="400"/>
      <c r="E106" s="411" t="s">
        <v>451</v>
      </c>
      <c r="F106" s="974"/>
      <c r="G106" s="412" t="s">
        <v>452</v>
      </c>
      <c r="H106" s="413"/>
      <c r="I106" s="11"/>
      <c r="J106" s="1917"/>
      <c r="K106" s="3244" t="s">
        <v>2980</v>
      </c>
      <c r="L106" s="1917"/>
      <c r="M106" s="1917"/>
      <c r="N106" s="1917"/>
      <c r="O106" s="1917"/>
      <c r="P106" s="1917"/>
      <c r="Q106" s="1917"/>
      <c r="R106" s="1917"/>
      <c r="S106" s="1917"/>
      <c r="T106" s="1917"/>
      <c r="U106" s="1917"/>
      <c r="V106" s="1917"/>
      <c r="W106" s="1921"/>
      <c r="X106" s="1921"/>
      <c r="Y106" s="1921"/>
      <c r="Z106" s="1921"/>
    </row>
    <row r="107" spans="1:26" s="1268" customFormat="1" ht="14.25">
      <c r="A107" s="389" t="s">
        <v>1823</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25">
      <c r="A108" s="389" t="s">
        <v>1825</v>
      </c>
      <c r="B108" s="370" t="s">
        <v>454</v>
      </c>
      <c r="C108" s="410"/>
      <c r="D108" s="400"/>
      <c r="E108" s="411" t="str">
        <f>IF(H106="-","土地取得成本中已包含该笔费用"," ")</f>
        <v xml:space="preserve"> </v>
      </c>
      <c r="F108" s="974"/>
      <c r="G108" s="3454" t="s">
        <v>2951</v>
      </c>
      <c r="H108" s="3455"/>
      <c r="I108" s="2859"/>
      <c r="J108" s="1917"/>
      <c r="K108" s="3244" t="s">
        <v>2981</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1829</v>
      </c>
      <c r="B109" s="370" t="s">
        <v>455</v>
      </c>
      <c r="C109" s="399">
        <f>IF(H109="——",IF(F1="现房",'剩余法-现房'!C18,0),I109)</f>
        <v>0</v>
      </c>
      <c r="D109" s="400"/>
      <c r="E109" s="3432" t="s">
        <v>456</v>
      </c>
      <c r="F109" s="3399"/>
      <c r="G109" s="3399"/>
      <c r="H109" s="1856" t="s">
        <v>943</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1830</v>
      </c>
      <c r="B110" s="370" t="s">
        <v>457</v>
      </c>
      <c r="C110" s="399">
        <f>ROUND((C105+C108+C109)*D110,0)</f>
        <v>0</v>
      </c>
      <c r="D110" s="3275">
        <v>0</v>
      </c>
      <c r="E110" s="3432" t="s">
        <v>458</v>
      </c>
      <c r="F110" s="3399"/>
      <c r="G110" s="3399"/>
      <c r="H110" s="3400"/>
      <c r="I110" s="11"/>
      <c r="J110" s="1917"/>
      <c r="K110" s="3245" t="s">
        <v>2982</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1831</v>
      </c>
      <c r="B111" s="370" t="s">
        <v>444</v>
      </c>
      <c r="C111" s="399">
        <f ca="1">ROUND(D63*D111/(1+'数据-取费表'!C42),0)</f>
        <v>93</v>
      </c>
      <c r="D111" s="400">
        <f>'数据-取费表'!B43</f>
        <v>5.000000000000001E-3</v>
      </c>
      <c r="E111" s="3398" t="s">
        <v>2413</v>
      </c>
      <c r="F111" s="3399"/>
      <c r="G111" s="3399"/>
      <c r="H111" s="3400"/>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1832</v>
      </c>
      <c r="B112" s="370" t="s">
        <v>459</v>
      </c>
      <c r="C112" s="399">
        <f>ROUND(C108*D112,0)</f>
        <v>0</v>
      </c>
      <c r="D112" s="400">
        <v>0.2</v>
      </c>
      <c r="E112" s="3432" t="s">
        <v>2436</v>
      </c>
      <c r="F112" s="3399"/>
      <c r="G112" s="3399"/>
      <c r="H112" s="3400"/>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4.25">
      <c r="A113" s="1546" t="s">
        <v>1826</v>
      </c>
      <c r="B113" s="376" t="s">
        <v>445</v>
      </c>
      <c r="C113" s="379">
        <f ca="1">ROUND(C103-C104,0)</f>
        <v>18447</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1827</v>
      </c>
      <c r="B114" s="376" t="s">
        <v>446</v>
      </c>
      <c r="C114" s="401">
        <f ca="1">IF(C113&lt;=0,0,C113/C104)</f>
        <v>198.35483870967741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75" thickBot="1">
      <c r="A115" s="1547" t="s">
        <v>1828</v>
      </c>
      <c r="B115" s="381" t="s">
        <v>447</v>
      </c>
      <c r="C115" s="402">
        <f ca="1">ROUND(IF(C113&lt;=0,0,IF(C114&gt;=200%,C113*60%-C104*35%,IF(C114&gt;=100%,C113*50%-C104*15%,IF(C114&gt;=50%,C113*40%-C104*5%,IF(C114&lt;50%,C113*30%,0))))),0)</f>
        <v>11036</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51" zoomScaleNormal="60" zoomScaleSheetLayoutView="100" workbookViewId="0">
      <selection activeCell="B65" sqref="B65:G65"/>
    </sheetView>
  </sheetViews>
  <sheetFormatPr defaultColWidth="12" defaultRowHeight="12"/>
  <cols>
    <col min="1" max="1" width="9.75" style="1353" customWidth="1"/>
    <col min="2" max="2" width="20.875" style="1468" customWidth="1"/>
    <col min="3" max="4" width="12" style="1354"/>
    <col min="5" max="5" width="14.625" style="1354" customWidth="1"/>
    <col min="6" max="8" width="12" style="1354"/>
    <col min="9" max="9" width="12.25" style="1354" bestFit="1" customWidth="1"/>
    <col min="10" max="10" width="12" style="1354"/>
    <col min="11" max="11" width="9.625" style="1351" customWidth="1"/>
    <col min="12" max="12" width="12" style="1354"/>
    <col min="13" max="14" width="10.625" style="1354" customWidth="1"/>
    <col min="15" max="17" width="12" style="1354"/>
    <col min="18" max="18" width="12" style="1353"/>
    <col min="19" max="22" width="15.5" style="1353" customWidth="1"/>
    <col min="23" max="28" width="12" style="1354"/>
    <col min="29" max="29" width="9.375" style="1353" customWidth="1"/>
    <col min="30" max="35" width="9.375" style="1352" customWidth="1"/>
    <col min="36" max="39" width="9.375" style="1353" customWidth="1"/>
    <col min="40" max="41" width="9.375" style="1354" customWidth="1"/>
    <col min="42" max="16384" width="12" style="1354"/>
  </cols>
  <sheetData>
    <row r="1" spans="1:39" ht="20.25">
      <c r="A1" s="1348" t="s">
        <v>1685</v>
      </c>
      <c r="B1" s="1349"/>
      <c r="C1" s="1355" t="s">
        <v>2411</v>
      </c>
      <c r="D1" s="1461">
        <f>SUM(D29:D30,D33:D39)</f>
        <v>26283.599999999999</v>
      </c>
      <c r="E1" s="1355" t="s">
        <v>2412</v>
      </c>
      <c r="F1" s="2308">
        <f>'数据-汇总表'!D3</f>
        <v>13141.8</v>
      </c>
      <c r="G1" s="1350"/>
      <c r="H1" s="1350"/>
      <c r="I1" s="1350"/>
      <c r="J1" s="1350"/>
      <c r="K1" s="2071"/>
      <c r="L1" s="1797" t="s">
        <v>2227</v>
      </c>
      <c r="M1" s="1798">
        <f>SUMPRODUCT((区片价!B5:B9=I2)*(区片价!C3:F3=E2)*(区片价!C5:F9))</f>
        <v>0</v>
      </c>
      <c r="N1" s="1799">
        <f>SUMPRODUCT((因素修正幅度!B5:B9=I2)*(因素修正幅度!C3:F3=E2)*(因素修正幅度!C5:F9))</f>
        <v>0</v>
      </c>
      <c r="O1" s="2071"/>
      <c r="P1" s="2071"/>
      <c r="Q1" s="2071"/>
      <c r="R1" s="2654" t="s">
        <v>2741</v>
      </c>
      <c r="S1" s="2654" t="s">
        <v>2742</v>
      </c>
      <c r="T1" s="2654" t="s">
        <v>2763</v>
      </c>
      <c r="U1" s="2654" t="s">
        <v>2764</v>
      </c>
      <c r="V1" s="2654" t="s">
        <v>2765</v>
      </c>
      <c r="W1" s="2071"/>
      <c r="X1" s="2071"/>
      <c r="Y1" s="2071"/>
      <c r="Z1" s="2071"/>
      <c r="AA1" s="2071"/>
      <c r="AB1" s="2071"/>
      <c r="AC1" s="2072"/>
    </row>
    <row r="2" spans="1:39" ht="15.75">
      <c r="A2" s="1355" t="s">
        <v>911</v>
      </c>
      <c r="B2" s="1025">
        <f>C26</f>
        <v>15867</v>
      </c>
      <c r="C2" s="1356" t="s">
        <v>912</v>
      </c>
      <c r="D2" s="1357" t="s">
        <v>913</v>
      </c>
      <c r="E2" s="1358" t="s">
        <v>1668</v>
      </c>
      <c r="F2" s="1357" t="s">
        <v>915</v>
      </c>
      <c r="G2" s="1581" t="str">
        <f>IF(E2="商业",项目基本情况!B43,IF(E2="办公",项目基本情况!C43,IF(E2="住宅",项目基本情况!D43,项目基本情况!E43)))</f>
        <v>八级</v>
      </c>
      <c r="H2" s="1357" t="s">
        <v>917</v>
      </c>
      <c r="I2" s="1582" t="str">
        <f>IF(E2="商业",项目基本情况!B44,IF(E2="办公",项目基本情况!C44,IF(E2="住宅",项目基本情况!D44,项目基本情况!E44)))</f>
        <v>Ⅷ-顺1</v>
      </c>
      <c r="J2" s="1359"/>
      <c r="K2" s="3232"/>
      <c r="L2" s="1800" t="s">
        <v>2228</v>
      </c>
      <c r="M2" s="1801">
        <f>SUMPRODUCT((区片价!B10:B28=I2)*(区片价!C3:F3=E2)*(区片价!C10:F28))</f>
        <v>0</v>
      </c>
      <c r="N2" s="1802">
        <f>SUMPRODUCT((因素修正幅度!B10:B28=I2)*(因素修正幅度!C3:F3=E2)*(因素修正幅度!C10:F28))</f>
        <v>0</v>
      </c>
      <c r="O2" s="3232"/>
      <c r="P2" s="2071"/>
      <c r="Q2" s="2071"/>
      <c r="R2" s="2655">
        <v>1</v>
      </c>
      <c r="S2" s="2655">
        <f>ROUND(IF(G3&gt;1,IF(R2&lt;7,SUMPRODUCT((B93:B98=R2)*(C92:N92=G2)*(C93:N98)),SUMIF(C92:N92,G2,C100:N100)),IF(R2&lt;7,SUMPRODUCT((B102:B107=R2)*(C92:N92=G2)*(C102:N107)),SUMIF(C92:N92,G2,C109:N109))),4)</f>
        <v>1.9419999999999999</v>
      </c>
      <c r="T2" s="2655">
        <f>ROUND($C$5*$C$18*$C$19*$C$20*S2*$C$24,0)</f>
        <v>11724</v>
      </c>
      <c r="U2" s="2644"/>
      <c r="V2" s="2655">
        <f>ROUND(T2*U2/10000,0)</f>
        <v>0</v>
      </c>
      <c r="W2" s="2071"/>
      <c r="X2" s="2071"/>
      <c r="Y2" s="2071"/>
      <c r="Z2" s="2071"/>
      <c r="AA2" s="2071"/>
      <c r="AB2" s="2071"/>
      <c r="AC2" s="2072"/>
    </row>
    <row r="3" spans="1:39" ht="24">
      <c r="A3" s="1360" t="s">
        <v>1678</v>
      </c>
      <c r="B3" s="1025">
        <f>ROUND(B2*10000/D1,0)</f>
        <v>6037</v>
      </c>
      <c r="C3" s="1356" t="s">
        <v>918</v>
      </c>
      <c r="D3" s="1357" t="s">
        <v>919</v>
      </c>
      <c r="E3" s="1361" t="s">
        <v>3014</v>
      </c>
      <c r="F3" s="1362" t="s">
        <v>3015</v>
      </c>
      <c r="G3" s="1026">
        <f>IF(F3="宗地容积率",'数据-汇总表'!I4,IF(F3="估价对象容积率",'数据-汇总表'!I6,'数据-汇总表'!I7))</f>
        <v>2</v>
      </c>
      <c r="H3" s="1363" t="s">
        <v>920</v>
      </c>
      <c r="I3" s="1027">
        <v>0</v>
      </c>
      <c r="J3" s="1359" t="s">
        <v>921</v>
      </c>
      <c r="K3" s="3232"/>
      <c r="L3" s="1800" t="s">
        <v>2229</v>
      </c>
      <c r="M3" s="1801">
        <f>SUMPRODUCT((区片价!B29:B48=I2)*(区片价!C3:F3=E2)*(区片价!C29:F48))</f>
        <v>0</v>
      </c>
      <c r="N3" s="1802">
        <f>SUMPRODUCT((因素修正幅度!B29:B48=I2)*(因素修正幅度!C3:F3=E2)*(因素修正幅度!C29:F48))</f>
        <v>0</v>
      </c>
      <c r="O3" s="3232"/>
      <c r="P3" s="2071"/>
      <c r="Q3" s="2071"/>
      <c r="R3" s="2655">
        <v>2</v>
      </c>
      <c r="S3" s="2655">
        <f>ROUND(IF(G3&gt;1,IF(R3&lt;7,SUMPRODUCT((B93:B98=R3)*(C92:N92=G2)*(C93:N98)),SUMIF(C92:N92,G2,C100:N100)),IF(R3&lt;7,SUMPRODUCT((B102:B107=R3)*(C92:N92=G2)*(C102:N107)),SUMIF(C92:N92,G2,C109:N109))),4)</f>
        <v>1.2799</v>
      </c>
      <c r="T3" s="2655">
        <f t="shared" ref="T3:T16" si="0">ROUND($C$5*$C$18*$C$19*$C$20*S3*$C$24,0)</f>
        <v>7727</v>
      </c>
      <c r="U3" s="2644"/>
      <c r="V3" s="2655">
        <f t="shared" ref="V3:V16" si="1">ROUND(T3*U3/10000,0)</f>
        <v>0</v>
      </c>
      <c r="W3" s="2071"/>
      <c r="X3" s="2071"/>
      <c r="Y3" s="2071"/>
      <c r="Z3" s="2071"/>
      <c r="AA3" s="2071"/>
      <c r="AB3" s="2071"/>
      <c r="AC3" s="2072"/>
    </row>
    <row r="4" spans="1:39" ht="28.5">
      <c r="A4" s="1806" t="s">
        <v>2268</v>
      </c>
      <c r="B4" s="2309">
        <f>ROUND(B2*10000/F1,0)</f>
        <v>12074</v>
      </c>
      <c r="C4" s="1809" t="s">
        <v>2243</v>
      </c>
      <c r="D4" s="1809">
        <f>ROUND(B2/(F1/666.67),0)</f>
        <v>805</v>
      </c>
      <c r="E4" s="1809" t="s">
        <v>2244</v>
      </c>
      <c r="F4" s="1807"/>
      <c r="G4" s="1807"/>
      <c r="H4" s="1807"/>
      <c r="I4" s="1807"/>
      <c r="J4" s="1808"/>
      <c r="K4" s="3233"/>
      <c r="L4" s="1800" t="s">
        <v>2230</v>
      </c>
      <c r="M4" s="1801">
        <f>SUMPRODUCT((区片价!B49:B75=I2)*(区片价!C3:F3=E2)*(区片价!C49:F75))</f>
        <v>0</v>
      </c>
      <c r="N4" s="1802">
        <f>SUMPRODUCT((因素修正幅度!B49:B75=I2)*(因素修正幅度!C3:F3=E2)*(因素修正幅度!C49:F75))</f>
        <v>0</v>
      </c>
      <c r="O4" s="3233"/>
      <c r="P4" s="2071"/>
      <c r="Q4" s="2071"/>
      <c r="R4" s="2655">
        <v>3</v>
      </c>
      <c r="S4" s="2655">
        <f>ROUND(IF(G3&gt;1,IF(R4&lt;7,SUMPRODUCT((B93:B98=R4)*(C92:N92=G2)*(C93:N98)),SUMIF(C92:N92,G2,C100:N100)),IF(R4&lt;7,SUMPRODUCT((B102:B107=R4)*(C92:N92=G2)*(C102:N107)),SUMIF(C92:N92,G2,C109:N109))),4)</f>
        <v>1.0072000000000001</v>
      </c>
      <c r="T4" s="2655">
        <f t="shared" si="0"/>
        <v>6081</v>
      </c>
      <c r="U4" s="2644"/>
      <c r="V4" s="2655">
        <f t="shared" si="1"/>
        <v>0</v>
      </c>
      <c r="W4" s="2071"/>
      <c r="X4" s="2071"/>
      <c r="Y4" s="2071"/>
      <c r="Z4" s="2071"/>
      <c r="AA4" s="2071"/>
      <c r="AB4" s="2071"/>
      <c r="AC4" s="2072"/>
    </row>
    <row r="5" spans="1:39" s="1370" customFormat="1" ht="15.75" thickBot="1">
      <c r="A5" s="1567" t="s">
        <v>1814</v>
      </c>
      <c r="B5" s="1364" t="s">
        <v>922</v>
      </c>
      <c r="C5" s="1028">
        <f>ROUND(IF(E2="商业",C6*C7+C16,(IF(E2="住宅",C6*C12+C16,C6+C16))),0)</f>
        <v>5480</v>
      </c>
      <c r="D5" s="2793">
        <f>ROUND(C6+C16,0)</f>
        <v>5480</v>
      </c>
      <c r="E5" s="2793"/>
      <c r="F5" s="1365"/>
      <c r="G5" s="1366"/>
      <c r="H5" s="1366"/>
      <c r="I5" s="1366"/>
      <c r="J5" s="1367"/>
      <c r="K5" s="3234"/>
      <c r="L5" s="1800" t="s">
        <v>2231</v>
      </c>
      <c r="M5" s="1801">
        <f>SUMPRODUCT((区片价!B76:B109=I2)*(区片价!C3:F3=E2)*(区片价!C76:F109))</f>
        <v>0</v>
      </c>
      <c r="N5" s="1802">
        <f>SUMPRODUCT((因素修正幅度!B76:B109=I2)*(因素修正幅度!C3:F3=E2)*(因素修正幅度!C76:F109))</f>
        <v>0</v>
      </c>
      <c r="O5" s="3234"/>
      <c r="P5" s="3237"/>
      <c r="Q5" s="2071"/>
      <c r="R5" s="2655">
        <v>4</v>
      </c>
      <c r="S5" s="2655">
        <f>ROUND(IF(G3&gt;1,IF(R5&lt;7,SUMPRODUCT((B93:B98=R5)*(C92:N92=G2)*(C93:N98)),SUMIF(C92:N92,G2,C100:N100)),IF(R5&lt;7,SUMPRODUCT((B102:B107=R5)*(C92:N92=G2)*(C102:N107)),SUMIF(C92:N92,G2,C109:N109))),4)</f>
        <v>0.75249999999999995</v>
      </c>
      <c r="T5" s="2655">
        <f t="shared" si="0"/>
        <v>4543</v>
      </c>
      <c r="U5" s="2644"/>
      <c r="V5" s="2655">
        <f t="shared" si="1"/>
        <v>0</v>
      </c>
      <c r="W5" s="2071"/>
      <c r="X5" s="2071"/>
      <c r="Y5" s="2071"/>
      <c r="Z5" s="2071"/>
      <c r="AA5" s="2071"/>
      <c r="AB5" s="2071"/>
      <c r="AC5" s="2073"/>
      <c r="AD5" s="1368"/>
      <c r="AE5" s="1368"/>
      <c r="AF5" s="1368"/>
      <c r="AG5" s="1368"/>
      <c r="AH5" s="1368"/>
      <c r="AI5" s="1368"/>
      <c r="AJ5" s="1369"/>
      <c r="AK5" s="1369"/>
      <c r="AL5" s="1369"/>
      <c r="AM5" s="1369"/>
    </row>
    <row r="6" spans="1:39" ht="15.75" thickBot="1">
      <c r="A6" s="1568" t="s">
        <v>1861</v>
      </c>
      <c r="B6" s="1371" t="s">
        <v>922</v>
      </c>
      <c r="C6" s="1029">
        <f>SUMIF(L1:L12,基准地价!G2,M1:M12)</f>
        <v>5480</v>
      </c>
      <c r="D6" s="1372" t="s">
        <v>1686</v>
      </c>
      <c r="E6" s="1373"/>
      <c r="F6" s="1373"/>
      <c r="G6" s="1374"/>
      <c r="H6" s="1374"/>
      <c r="I6" s="1374"/>
      <c r="J6" s="1375"/>
      <c r="K6" s="3235"/>
      <c r="L6" s="1800" t="s">
        <v>2232</v>
      </c>
      <c r="M6" s="1801">
        <f>SUMPRODUCT((区片价!B110:B157=I2)*(区片价!C3:F3=E2)*(区片价!C110:F157))</f>
        <v>0</v>
      </c>
      <c r="N6" s="1802">
        <f>SUMPRODUCT((因素修正幅度!B110:B157=I2)*(因素修正幅度!C3:F3=E2)*(因素修正幅度!C110:F157))</f>
        <v>0</v>
      </c>
      <c r="O6" s="3235"/>
      <c r="P6" s="3238"/>
      <c r="Q6" s="2071"/>
      <c r="R6" s="2655">
        <v>5</v>
      </c>
      <c r="S6" s="2655">
        <f>ROUND(IF(G3&gt;1,IF(R6&lt;7,SUMPRODUCT((B93:B98=R6)*(C92:N92=G2)*(C93:N98)),SUMIF(C92:N92,G2,C100:N100)),IF(R6&lt;7,SUMPRODUCT((B102:B107=R6)*(C92:N92=G2)*(C102:N107)),SUMIF(C92:N92,G2,C109:N109))),4)</f>
        <v>0.56589999999999996</v>
      </c>
      <c r="T6" s="2655">
        <f t="shared" si="0"/>
        <v>3416</v>
      </c>
      <c r="U6" s="2644"/>
      <c r="V6" s="2655">
        <f t="shared" si="1"/>
        <v>0</v>
      </c>
      <c r="W6" s="2071"/>
      <c r="X6" s="2071"/>
      <c r="Y6" s="2071"/>
      <c r="Z6" s="2071"/>
      <c r="AA6" s="2071"/>
      <c r="AB6" s="2071"/>
      <c r="AC6" s="2073"/>
      <c r="AD6" s="1368"/>
      <c r="AE6" s="1368"/>
      <c r="AF6" s="1368"/>
      <c r="AG6" s="1368"/>
      <c r="AH6" s="1368"/>
      <c r="AI6" s="1368"/>
      <c r="AJ6" s="1369"/>
    </row>
    <row r="7" spans="1:39" ht="24">
      <c r="A7" s="3472" t="str">
        <f>IF(E2="商业",IF(C8="不临58条商业街","",2),"")</f>
        <v/>
      </c>
      <c r="B7" s="1376" t="s">
        <v>923</v>
      </c>
      <c r="C7" s="1030">
        <f>IF(C8="不临58条商业街",1,ROUND(1+(1.6*E8+1.2*E9+0.8*E10+0.4*E11)*C9,4))</f>
        <v>1</v>
      </c>
      <c r="D7" s="1377" t="s">
        <v>924</v>
      </c>
      <c r="E7" s="1031">
        <v>60</v>
      </c>
      <c r="F7" s="1378"/>
      <c r="G7" s="1379"/>
      <c r="H7" s="1379"/>
      <c r="I7" s="1379"/>
      <c r="J7" s="1380"/>
      <c r="K7" s="3235"/>
      <c r="L7" s="1800" t="s">
        <v>2233</v>
      </c>
      <c r="M7" s="1801">
        <f>SUMPRODUCT((区片价!B158:B205=I2)*(区片价!C3:F3=E2)*(区片价!C158:F205))</f>
        <v>0</v>
      </c>
      <c r="N7" s="1802">
        <f>SUMPRODUCT((因素修正幅度!B158:B205=I2)*(因素修正幅度!C3:F3=E2)*(因素修正幅度!C158:F205))</f>
        <v>0</v>
      </c>
      <c r="O7" s="3235"/>
      <c r="P7" s="3238"/>
      <c r="Q7" s="2071"/>
      <c r="R7" s="2655">
        <v>6</v>
      </c>
      <c r="S7" s="2655">
        <f>ROUND(IF(G3&gt;1,IF(R7&lt;7,SUMPRODUCT((B93:B98=R7)*(C92:N92=G2)*(C93:N98)),SUMIF(C92:N92,G2,C100:N100)),IF(R7&lt;7,SUMPRODUCT((B102:B107=R7)*(C92:N92=G2)*(C102:N107)),SUMIF(C92:N92,G2,C109:N109))),4)</f>
        <v>0.45250000000000001</v>
      </c>
      <c r="T7" s="2655">
        <f t="shared" si="0"/>
        <v>2732</v>
      </c>
      <c r="U7" s="2644"/>
      <c r="V7" s="2655">
        <f t="shared" si="1"/>
        <v>0</v>
      </c>
      <c r="W7" s="2653" t="s">
        <v>2744</v>
      </c>
      <c r="X7" s="2645" t="str">
        <f>G2</f>
        <v>八级</v>
      </c>
      <c r="Y7" s="2645" t="s">
        <v>2745</v>
      </c>
      <c r="Z7" s="2646">
        <f>G3</f>
        <v>2</v>
      </c>
      <c r="AA7" s="2074"/>
      <c r="AB7" s="2074"/>
      <c r="AC7" s="2075"/>
      <c r="AD7" s="2647"/>
      <c r="AE7" s="2647"/>
      <c r="AF7" s="2647"/>
      <c r="AG7" s="2647"/>
      <c r="AH7" s="2647"/>
      <c r="AI7" s="2647"/>
      <c r="AJ7" s="2648"/>
    </row>
    <row r="8" spans="1:39" ht="25.5">
      <c r="A8" s="3473"/>
      <c r="B8" s="1363" t="s">
        <v>925</v>
      </c>
      <c r="C8" s="1469" t="s">
        <v>3016</v>
      </c>
      <c r="D8" s="1032" t="s">
        <v>926</v>
      </c>
      <c r="E8" s="1033">
        <f>ROUND(C11/E7,4)</f>
        <v>0</v>
      </c>
      <c r="F8" s="1381" t="s">
        <v>927</v>
      </c>
      <c r="G8" s="1382"/>
      <c r="H8" s="1382"/>
      <c r="I8" s="1382"/>
      <c r="J8" s="1383"/>
      <c r="K8" s="3235"/>
      <c r="L8" s="1800" t="s">
        <v>2234</v>
      </c>
      <c r="M8" s="1801">
        <f>SUMPRODUCT((区片价!B206:B244=I2)*(区片价!C3:F3=E2)*(区片价!C206:F244))</f>
        <v>5480</v>
      </c>
      <c r="N8" s="1802">
        <f>SUMPRODUCT((因素修正幅度!B206:B244=I2)*(因素修正幅度!C3:F3=E2)*(因素修正幅度!C206:F244))</f>
        <v>0.15</v>
      </c>
      <c r="O8" s="3235"/>
      <c r="P8" s="2071"/>
      <c r="Q8" s="2071"/>
      <c r="R8" s="2655">
        <v>7</v>
      </c>
      <c r="S8" s="2644"/>
      <c r="T8" s="2655">
        <f t="shared" si="0"/>
        <v>0</v>
      </c>
      <c r="U8" s="2644"/>
      <c r="V8" s="2655">
        <f t="shared" si="1"/>
        <v>0</v>
      </c>
      <c r="W8" s="3483" t="s">
        <v>2762</v>
      </c>
      <c r="X8" s="3484"/>
      <c r="Y8" s="1764" t="s">
        <v>2746</v>
      </c>
      <c r="Z8" s="1764" t="s">
        <v>2747</v>
      </c>
      <c r="AA8" s="1764" t="s">
        <v>2748</v>
      </c>
      <c r="AB8" s="1764" t="s">
        <v>2749</v>
      </c>
      <c r="AC8" s="1764" t="s">
        <v>2750</v>
      </c>
      <c r="AD8" s="1764" t="s">
        <v>2751</v>
      </c>
      <c r="AE8" s="1764" t="s">
        <v>2752</v>
      </c>
      <c r="AF8" s="1764" t="s">
        <v>2753</v>
      </c>
      <c r="AG8" s="1764" t="s">
        <v>2754</v>
      </c>
      <c r="AH8" s="1764" t="s">
        <v>2755</v>
      </c>
      <c r="AI8" s="1764" t="s">
        <v>2756</v>
      </c>
      <c r="AJ8" s="1764" t="s">
        <v>2757</v>
      </c>
    </row>
    <row r="9" spans="1:39" ht="15">
      <c r="A9" s="3473"/>
      <c r="B9" s="1363" t="s">
        <v>928</v>
      </c>
      <c r="C9" s="1034">
        <f>SUMIF(修正!C59:C119,C8,修正!E59:E119)</f>
        <v>0</v>
      </c>
      <c r="D9" s="1035" t="s">
        <v>929</v>
      </c>
      <c r="E9" s="1035">
        <f>ROUND(C11/E7,4)</f>
        <v>0</v>
      </c>
      <c r="F9" s="1381" t="s">
        <v>930</v>
      </c>
      <c r="G9" s="1382"/>
      <c r="H9" s="1382"/>
      <c r="I9" s="1382"/>
      <c r="J9" s="1383"/>
      <c r="K9" s="3235"/>
      <c r="L9" s="1800" t="s">
        <v>2235</v>
      </c>
      <c r="M9" s="1801">
        <f>SUMPRODUCT((区片价!B245:B289=I2)*(区片价!C3:F3=E2)*(区片价!C245:F289))</f>
        <v>0</v>
      </c>
      <c r="N9" s="1802">
        <f>SUMPRODUCT((因素修正幅度!B245:B289=I2)*(因素修正幅度!C3:F3=E2)*(因素修正幅度!C245:F289))</f>
        <v>0</v>
      </c>
      <c r="O9" s="3235"/>
      <c r="P9" s="2071"/>
      <c r="Q9" s="2071"/>
      <c r="R9" s="2655">
        <v>8</v>
      </c>
      <c r="S9" s="2644"/>
      <c r="T9" s="2655">
        <f t="shared" si="0"/>
        <v>0</v>
      </c>
      <c r="U9" s="2644"/>
      <c r="V9" s="2655">
        <f t="shared" si="1"/>
        <v>0</v>
      </c>
      <c r="W9" s="3482" t="s">
        <v>2758</v>
      </c>
      <c r="X9" s="2649" t="s">
        <v>2759</v>
      </c>
      <c r="Y9" s="2786"/>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473"/>
      <c r="B10" s="1363" t="s">
        <v>931</v>
      </c>
      <c r="C10" s="1035">
        <f>SUMIF(修正!C59:C119,C8,修正!F59:F119)</f>
        <v>0</v>
      </c>
      <c r="D10" s="1035" t="s">
        <v>932</v>
      </c>
      <c r="E10" s="1035">
        <f>ROUND(C11/E7,4)</f>
        <v>0</v>
      </c>
      <c r="F10" s="1381" t="s">
        <v>933</v>
      </c>
      <c r="G10" s="1382"/>
      <c r="H10" s="1382"/>
      <c r="I10" s="1382"/>
      <c r="J10" s="1383"/>
      <c r="K10" s="3235"/>
      <c r="L10" s="1800" t="s">
        <v>2236</v>
      </c>
      <c r="M10" s="1801">
        <f>SUMPRODUCT((区片价!B290:B316=I2)*(区片价!C3:F3=E2)*(区片价!C290:F316))</f>
        <v>0</v>
      </c>
      <c r="N10" s="1802">
        <f>SUMPRODUCT((因素修正幅度!B290:B316=I2)*(因素修正幅度!C3:F3=E2)*(因素修正幅度!C290:F316))</f>
        <v>0</v>
      </c>
      <c r="O10" s="3235"/>
      <c r="P10" s="2071"/>
      <c r="Q10" s="2071"/>
      <c r="R10" s="2655">
        <v>9</v>
      </c>
      <c r="S10" s="2644"/>
      <c r="T10" s="2655">
        <f t="shared" si="0"/>
        <v>0</v>
      </c>
      <c r="U10" s="2644"/>
      <c r="V10" s="2655">
        <f t="shared" si="1"/>
        <v>0</v>
      </c>
      <c r="W10" s="3482"/>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473"/>
      <c r="B11" s="1384" t="s">
        <v>934</v>
      </c>
      <c r="C11" s="1036">
        <f>C10/4</f>
        <v>0</v>
      </c>
      <c r="D11" s="1036" t="s">
        <v>935</v>
      </c>
      <c r="E11" s="1036">
        <f>ROUND(C11/E7,4)</f>
        <v>0</v>
      </c>
      <c r="F11" s="1385" t="s">
        <v>936</v>
      </c>
      <c r="G11" s="1386"/>
      <c r="H11" s="1386"/>
      <c r="I11" s="1386"/>
      <c r="J11" s="1387"/>
      <c r="K11" s="3235"/>
      <c r="L11" s="1800" t="s">
        <v>2237</v>
      </c>
      <c r="M11" s="1801">
        <f>SUMPRODUCT((区片价!B317:B337=I2)*(区片价!C3:F3=E2)*(区片价!C317:F337))</f>
        <v>0</v>
      </c>
      <c r="N11" s="1802">
        <f>SUMPRODUCT((因素修正幅度!B317:B337=I2)*(因素修正幅度!C3:F3=E2)*(因素修正幅度!C317:F337))</f>
        <v>0</v>
      </c>
      <c r="O11" s="3235"/>
      <c r="P11" s="2071"/>
      <c r="Q11" s="2071"/>
      <c r="R11" s="2655">
        <v>10</v>
      </c>
      <c r="S11" s="2644"/>
      <c r="T11" s="2655">
        <f t="shared" si="0"/>
        <v>0</v>
      </c>
      <c r="U11" s="2644"/>
      <c r="V11" s="2655">
        <f t="shared" si="1"/>
        <v>0</v>
      </c>
      <c r="W11" s="3482" t="s">
        <v>2760</v>
      </c>
      <c r="X11" s="1035" t="s">
        <v>2745</v>
      </c>
      <c r="Y11" s="1582">
        <f>$G$3</f>
        <v>2</v>
      </c>
      <c r="Z11" s="1582">
        <f t="shared" ref="Z11:AJ11" si="3">$G$3</f>
        <v>2</v>
      </c>
      <c r="AA11" s="1582">
        <f t="shared" si="3"/>
        <v>2</v>
      </c>
      <c r="AB11" s="1582">
        <f t="shared" si="3"/>
        <v>2</v>
      </c>
      <c r="AC11" s="1582">
        <f t="shared" si="3"/>
        <v>2</v>
      </c>
      <c r="AD11" s="1582">
        <f t="shared" si="3"/>
        <v>2</v>
      </c>
      <c r="AE11" s="1582">
        <f t="shared" si="3"/>
        <v>2</v>
      </c>
      <c r="AF11" s="1582">
        <f t="shared" si="3"/>
        <v>2</v>
      </c>
      <c r="AG11" s="1582">
        <f t="shared" si="3"/>
        <v>2</v>
      </c>
      <c r="AH11" s="1582">
        <f t="shared" si="3"/>
        <v>2</v>
      </c>
      <c r="AI11" s="1582">
        <f t="shared" si="3"/>
        <v>2</v>
      </c>
      <c r="AJ11" s="1582">
        <f t="shared" si="3"/>
        <v>2</v>
      </c>
    </row>
    <row r="12" spans="1:39" ht="25.5" thickBot="1">
      <c r="A12" s="3472" t="s">
        <v>1862</v>
      </c>
      <c r="B12" s="1388" t="s">
        <v>937</v>
      </c>
      <c r="C12" s="1030">
        <f>ROUND(C15*D15*E15*F15*G15*H15*I15*J15,4)</f>
        <v>1</v>
      </c>
      <c r="D12" s="1389" t="s">
        <v>938</v>
      </c>
      <c r="E12" s="1390"/>
      <c r="F12" s="1390"/>
      <c r="G12" s="1391"/>
      <c r="H12" s="1391"/>
      <c r="I12" s="1391"/>
      <c r="J12" s="1392"/>
      <c r="K12" s="3235"/>
      <c r="L12" s="1803" t="s">
        <v>2238</v>
      </c>
      <c r="M12" s="1804">
        <f>SUMPRODUCT((区片价!B338:B344=I2)*(区片价!C3:F3=E2)*(区片价!C338:F344))</f>
        <v>0</v>
      </c>
      <c r="N12" s="1805">
        <f>SUMPRODUCT((因素修正幅度!B338:B344=I2)*(因素修正幅度!C3:F3=E2)*(因素修正幅度!C338:F344))</f>
        <v>0</v>
      </c>
      <c r="O12" s="3235"/>
      <c r="P12" s="2071"/>
      <c r="Q12" s="2071"/>
      <c r="R12" s="2655">
        <v>11</v>
      </c>
      <c r="S12" s="2644"/>
      <c r="T12" s="2655">
        <f t="shared" si="0"/>
        <v>0</v>
      </c>
      <c r="U12" s="2644"/>
      <c r="V12" s="2655">
        <f t="shared" si="1"/>
        <v>0</v>
      </c>
      <c r="W12" s="3482"/>
      <c r="X12" s="2652" t="s">
        <v>2761</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474"/>
      <c r="B13" s="1393" t="s">
        <v>1687</v>
      </c>
      <c r="C13" s="1394" t="s">
        <v>1688</v>
      </c>
      <c r="D13" s="1072" t="s">
        <v>1689</v>
      </c>
      <c r="E13" s="1072" t="s">
        <v>1690</v>
      </c>
      <c r="F13" s="1395" t="s">
        <v>939</v>
      </c>
      <c r="G13" s="1396" t="s">
        <v>1633</v>
      </c>
      <c r="H13" s="1397" t="s">
        <v>1633</v>
      </c>
      <c r="I13" s="1398" t="s">
        <v>1633</v>
      </c>
      <c r="J13" s="1399" t="s">
        <v>1633</v>
      </c>
      <c r="K13" s="2843"/>
      <c r="L13" s="2843"/>
      <c r="M13" s="2843"/>
      <c r="N13" s="2843"/>
      <c r="O13" s="2843"/>
      <c r="P13" s="2071"/>
      <c r="Q13" s="2071"/>
      <c r="R13" s="2655">
        <v>12</v>
      </c>
      <c r="S13" s="2644"/>
      <c r="T13" s="2655">
        <f t="shared" si="0"/>
        <v>0</v>
      </c>
      <c r="U13" s="2644"/>
      <c r="V13" s="2655">
        <f t="shared" si="1"/>
        <v>0</v>
      </c>
      <c r="W13" s="3482"/>
      <c r="X13" s="2652"/>
      <c r="Y13" s="2651">
        <f>(-0.163*(Y12^2)-0.59*Y12+7617)*(10^(-4))/Y11</f>
        <v>0.38085000000000002</v>
      </c>
      <c r="Z13" s="2651">
        <f t="shared" ref="Z13:AJ13" si="5">(-0.163*(Z12^2)-0.59*Z12+7617)*(10^(-4))/Z11</f>
        <v>0.38085000000000002</v>
      </c>
      <c r="AA13" s="2651">
        <f t="shared" si="5"/>
        <v>0.38085000000000002</v>
      </c>
      <c r="AB13" s="2651">
        <f t="shared" si="5"/>
        <v>0.38085000000000002</v>
      </c>
      <c r="AC13" s="2651">
        <f t="shared" si="5"/>
        <v>0.38085000000000002</v>
      </c>
      <c r="AD13" s="2651">
        <f t="shared" si="5"/>
        <v>0.38085000000000002</v>
      </c>
      <c r="AE13" s="2651">
        <f t="shared" si="5"/>
        <v>0.38085000000000002</v>
      </c>
      <c r="AF13" s="2651">
        <f t="shared" si="5"/>
        <v>0.38085000000000002</v>
      </c>
      <c r="AG13" s="2651">
        <f t="shared" si="5"/>
        <v>0.38085000000000002</v>
      </c>
      <c r="AH13" s="2651">
        <f t="shared" si="5"/>
        <v>0.38085000000000002</v>
      </c>
      <c r="AI13" s="2651">
        <f t="shared" si="5"/>
        <v>0.38085000000000002</v>
      </c>
      <c r="AJ13" s="2651">
        <f t="shared" si="5"/>
        <v>0.38085000000000002</v>
      </c>
    </row>
    <row r="14" spans="1:39" ht="12.75" customHeight="1">
      <c r="A14" s="3474"/>
      <c r="B14" s="1400"/>
      <c r="C14" s="1401"/>
      <c r="D14" s="1402"/>
      <c r="E14" s="1402"/>
      <c r="F14" s="1403"/>
      <c r="G14" s="1404" t="s">
        <v>940</v>
      </c>
      <c r="H14" s="1405"/>
      <c r="I14" s="1406"/>
      <c r="J14" s="1407"/>
      <c r="K14" s="3236"/>
      <c r="L14" s="3236"/>
      <c r="M14" s="3236"/>
      <c r="N14" s="3236"/>
      <c r="O14" s="3236"/>
      <c r="P14" s="2071"/>
      <c r="Q14" s="2071"/>
      <c r="R14" s="2655">
        <v>13</v>
      </c>
      <c r="S14" s="2644"/>
      <c r="T14" s="2655">
        <f t="shared" si="0"/>
        <v>0</v>
      </c>
      <c r="U14" s="2644"/>
      <c r="V14" s="2655">
        <f t="shared" si="1"/>
        <v>0</v>
      </c>
      <c r="W14" s="2071"/>
      <c r="X14" s="2071"/>
      <c r="Y14" s="2071"/>
      <c r="Z14" s="2071"/>
      <c r="AA14" s="2071"/>
      <c r="AB14" s="2071"/>
      <c r="AC14" s="2072"/>
    </row>
    <row r="15" spans="1:39" ht="13.5" customHeight="1" thickBot="1">
      <c r="A15" s="3475"/>
      <c r="B15" s="2848" t="s">
        <v>1691</v>
      </c>
      <c r="C15" s="1036">
        <f>IF(C14="有",1.1,1)</f>
        <v>1</v>
      </c>
      <c r="D15" s="1036">
        <f>IF(D14="有",1.1,1)</f>
        <v>1</v>
      </c>
      <c r="E15" s="1036">
        <f>IF(E14="有",1.1,1)</f>
        <v>1</v>
      </c>
      <c r="F15" s="1036">
        <f>IF(F14="500米范围内",1.2,IF(F14="500-1000米",1.1,1))</f>
        <v>1</v>
      </c>
      <c r="G15" s="2840">
        <v>1</v>
      </c>
      <c r="H15" s="2840">
        <v>1</v>
      </c>
      <c r="I15" s="2840">
        <v>1</v>
      </c>
      <c r="J15" s="2841">
        <v>1</v>
      </c>
      <c r="K15" s="2844"/>
      <c r="L15" s="2844"/>
      <c r="M15" s="2844"/>
      <c r="N15" s="2844"/>
      <c r="O15" s="2844"/>
      <c r="P15" s="2071"/>
      <c r="Q15" s="2071"/>
      <c r="R15" s="2655">
        <v>14</v>
      </c>
      <c r="S15" s="2644"/>
      <c r="T15" s="2655">
        <f t="shared" si="0"/>
        <v>0</v>
      </c>
      <c r="U15" s="2644"/>
      <c r="V15" s="2655">
        <f t="shared" si="1"/>
        <v>0</v>
      </c>
      <c r="W15" s="2071"/>
      <c r="X15" s="2071"/>
      <c r="Y15" s="2071"/>
      <c r="Z15" s="2071"/>
      <c r="AA15" s="2071"/>
      <c r="AB15" s="2071"/>
      <c r="AC15" s="2072"/>
    </row>
    <row r="16" spans="1:39" ht="24.6" customHeight="1">
      <c r="A16" s="3472" t="s">
        <v>1829</v>
      </c>
      <c r="B16" s="1376" t="s">
        <v>941</v>
      </c>
      <c r="C16" s="1039">
        <f>ROUND(IF(F17="与级别开发程度一致",0,(G17-E17)/C17),0)</f>
        <v>0</v>
      </c>
      <c r="D16" s="3490" t="s">
        <v>945</v>
      </c>
      <c r="E16" s="3491"/>
      <c r="F16" s="3490" t="s">
        <v>942</v>
      </c>
      <c r="G16" s="3491"/>
      <c r="H16" s="1408"/>
      <c r="I16" s="1408"/>
      <c r="J16" s="1408"/>
      <c r="K16" s="1408"/>
      <c r="L16" s="1408"/>
      <c r="M16" s="1408"/>
      <c r="N16" s="1408"/>
      <c r="O16" s="2853"/>
      <c r="P16" s="2071"/>
      <c r="Q16" s="2074"/>
      <c r="R16" s="2655">
        <v>15</v>
      </c>
      <c r="S16" s="2644"/>
      <c r="T16" s="2655">
        <f t="shared" si="0"/>
        <v>0</v>
      </c>
      <c r="U16" s="2644"/>
      <c r="V16" s="2655">
        <f t="shared" si="1"/>
        <v>0</v>
      </c>
      <c r="W16" s="2074"/>
      <c r="X16" s="2074"/>
      <c r="Y16" s="2074"/>
      <c r="Z16" s="2074"/>
      <c r="AA16" s="2074"/>
      <c r="AB16" s="2074"/>
      <c r="AC16" s="2075"/>
    </row>
    <row r="17" spans="1:40" ht="24.75" thickBot="1">
      <c r="A17" s="3476"/>
      <c r="B17" s="2854" t="s">
        <v>944</v>
      </c>
      <c r="C17" s="2855">
        <f>SUMPRODUCT((修正!A2:A5=E2)*(修正!B1:M1=G2)*(修正!B2:M5))</f>
        <v>2</v>
      </c>
      <c r="D17" s="2856" t="str">
        <f>IF(OR(G2="八级",G2="九级",G2="十级",G2="十一级",G2="十二级"),"五通一平","七通一平")</f>
        <v>五通一平</v>
      </c>
      <c r="E17" s="2846">
        <f>SUMPRODUCT((修正!B1:M1=G2)*(修正!B15:M15))</f>
        <v>155</v>
      </c>
      <c r="F17" s="2847" t="s">
        <v>3017</v>
      </c>
      <c r="G17" s="2846">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7">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75" thickBot="1">
      <c r="A18" s="2498" t="s">
        <v>1820</v>
      </c>
      <c r="B18" s="2849" t="s">
        <v>946</v>
      </c>
      <c r="C18" s="2850">
        <f>SUMIF(修正!C18:C39,E3,修正!E18:E39)</f>
        <v>1</v>
      </c>
      <c r="D18" s="2851"/>
      <c r="E18" s="2852"/>
      <c r="F18" s="2835"/>
      <c r="G18" s="2834"/>
      <c r="H18" s="2834"/>
      <c r="I18" s="2834"/>
      <c r="J18" s="2842"/>
      <c r="K18" s="3234"/>
      <c r="L18" s="2834"/>
      <c r="M18" s="2834"/>
      <c r="N18" s="2834"/>
      <c r="O18" s="2834"/>
      <c r="P18" s="3239"/>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7.75" thickBot="1">
      <c r="A19" s="1569" t="s">
        <v>1826</v>
      </c>
      <c r="B19" s="1411" t="s">
        <v>947</v>
      </c>
      <c r="C19" s="1040">
        <f>ROUND(IF(H19="按公示增长率计算",SUMPRODUCT((地价!A3:A34=YEAR(G19)&amp;"-"&amp;ROUNDUP(MONTH(G19)/3,0))*(地价!X2:AB2=E2)*(地价!X3:AB34)),IF(H19="地价指数",M20/M19,(1+I19)^O19)),4)</f>
        <v>1.3491</v>
      </c>
      <c r="D19" s="1415" t="s">
        <v>948</v>
      </c>
      <c r="E19" s="1041">
        <v>41640</v>
      </c>
      <c r="F19" s="1415" t="s">
        <v>949</v>
      </c>
      <c r="G19" s="1042">
        <f>'数据-取费表'!B2</f>
        <v>44329</v>
      </c>
      <c r="H19" s="1416" t="s">
        <v>2944</v>
      </c>
      <c r="I19" s="2504" t="str">
        <f>IF(H19="季度增幅（自定义）",SUMIF(N21:N24,E2,O21:O24),"")</f>
        <v/>
      </c>
      <c r="J19" s="1412"/>
      <c r="K19" s="3234"/>
      <c r="L19" s="2753" t="s">
        <v>2820</v>
      </c>
      <c r="M19" s="2754">
        <f>ROUND(SUMIF(地价!B2:F2,E2,地价!B34:F34),0)</f>
        <v>258</v>
      </c>
      <c r="N19" s="2506" t="s">
        <v>1667</v>
      </c>
      <c r="O19" s="2505">
        <f>ROUNDDOWN(DATEDIF(E19,G19,"M")/3,0)</f>
        <v>29</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7.75" thickBot="1">
      <c r="A20" s="2498" t="s">
        <v>1827</v>
      </c>
      <c r="B20" s="2499" t="s">
        <v>962</v>
      </c>
      <c r="C20" s="2500">
        <f>ROUND(POWER(1+G20,J20-I20)*(POWER(1+G20,I20)-1)/(POWER(1+G20,J20)-1),4)</f>
        <v>0.82969999999999999</v>
      </c>
      <c r="D20" s="2501" t="s">
        <v>963</v>
      </c>
      <c r="E20" s="2783">
        <f>存贷款利率!E18/100</f>
        <v>4.3499999999999997E-2</v>
      </c>
      <c r="F20" s="2501" t="s">
        <v>964</v>
      </c>
      <c r="G20" s="2502">
        <f>SUMIF(M26:P26,E2,M28:P28)</f>
        <v>5.1999999999999998E-2</v>
      </c>
      <c r="H20" s="2501" t="s">
        <v>965</v>
      </c>
      <c r="I20" s="2497">
        <f>SUMIF('数据-取费表'!C6:C15,E2,'数据-取费表'!F6:F15)/COUNTIF('数据-取费表'!C6:C15,E2)</f>
        <v>28.48</v>
      </c>
      <c r="J20" s="2503">
        <f>IF(E2="住宅",70,IF(E2="商业",40,50))</f>
        <v>50</v>
      </c>
      <c r="K20" s="2844"/>
      <c r="L20" s="2755" t="s">
        <v>2821</v>
      </c>
      <c r="M20" s="2837">
        <f>ROUND(SUMPRODUCT((地价!A4:A34=YEAR(G19)&amp;"-"&amp;ROUNDUP(MONTH(G19)/3,0))*(地价!B2:F2=E2)*(地价!B4:F34)),0)</f>
        <v>348</v>
      </c>
      <c r="N20" s="2509" t="s">
        <v>2625</v>
      </c>
      <c r="O20" s="2507" t="s">
        <v>2624</v>
      </c>
      <c r="P20" s="2508" t="s">
        <v>2630</v>
      </c>
      <c r="Q20" s="2643"/>
      <c r="R20" s="2077"/>
      <c r="S20" s="2077"/>
      <c r="T20" s="2077"/>
      <c r="U20" s="2077"/>
      <c r="V20" s="2077"/>
      <c r="W20" s="2077"/>
      <c r="X20" s="2077"/>
      <c r="Y20" s="1413"/>
      <c r="Z20" s="1413"/>
      <c r="AA20" s="1413"/>
      <c r="AB20" s="1413"/>
      <c r="AC20" s="1413"/>
      <c r="AD20" s="1413"/>
    </row>
    <row r="21" spans="1:40" s="1370" customFormat="1" ht="14.25">
      <c r="A21" s="1571" t="s">
        <v>1828</v>
      </c>
      <c r="B21" s="1421" t="s">
        <v>2979</v>
      </c>
      <c r="C21" s="1141">
        <f>IF(B21="容积率修正",IF(G3&lt;=10,D22,J22),C23)</f>
        <v>1</v>
      </c>
      <c r="D21" s="1422"/>
      <c r="E21" s="1422"/>
      <c r="F21" s="1422"/>
      <c r="G21" s="1422"/>
      <c r="H21" s="1422"/>
      <c r="I21" s="1422"/>
      <c r="J21" s="1423"/>
      <c r="K21" s="3234"/>
      <c r="L21" s="1422"/>
      <c r="M21" s="1422"/>
      <c r="N21" s="1419" t="s">
        <v>966</v>
      </c>
      <c r="O21" s="1482"/>
      <c r="P21" s="2496">
        <f>SUMPRODUCT((地价!A3:A34=YEAR(G19)&amp;"-"&amp;ROUNDUP(MONTH(G19)/3,0))*(地价!AD2:AH2=N21)*(地价!AD3:AH34))</f>
        <v>1.09E-2</v>
      </c>
      <c r="Q21" s="2643"/>
      <c r="R21" s="2077"/>
      <c r="S21" s="2077"/>
      <c r="T21" s="2077"/>
      <c r="U21" s="2077"/>
      <c r="V21" s="2077"/>
      <c r="W21" s="2077"/>
      <c r="X21" s="2077"/>
      <c r="Y21" s="1352"/>
      <c r="Z21" s="1352"/>
      <c r="AA21" s="1352"/>
      <c r="AB21" s="1352"/>
      <c r="AC21" s="1413"/>
      <c r="AD21" s="1413"/>
    </row>
    <row r="22" spans="1:40" s="1370" customFormat="1" ht="14.25">
      <c r="A22" s="1572" t="s">
        <v>1861</v>
      </c>
      <c r="B22" s="1424" t="s">
        <v>967</v>
      </c>
      <c r="C22" s="1043" t="s">
        <v>1693</v>
      </c>
      <c r="D22" s="1043">
        <f>IF(E22=G22,F22,IF(G3&lt;=10,ROUND(F22+(H22-F22)*(G3-E22)/(G22-E22),4),"——"))</f>
        <v>1</v>
      </c>
      <c r="E22" s="1026">
        <f>ROUNDDOWN(G3,1)</f>
        <v>2</v>
      </c>
      <c r="F22" s="104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1026">
        <f>ROUNDUP(G3,1)</f>
        <v>2</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043" t="s">
        <v>968</v>
      </c>
      <c r="J22" s="1043" t="str">
        <f>IF(G3&gt;10,D113,"——")</f>
        <v>——</v>
      </c>
      <c r="K22" s="3240"/>
      <c r="L22" s="1422"/>
      <c r="M22" s="1422"/>
      <c r="N22" s="1419" t="s">
        <v>969</v>
      </c>
      <c r="O22" s="1482"/>
      <c r="P22" s="2496">
        <f>SUMPRODUCT((地价!A3:A34=YEAR(G19)&amp;"-"&amp;ROUNDUP(MONTH(G19)/3,0))*(地价!AD2:AH2=N22)*(地价!AD3:AH34))</f>
        <v>1.09E-2</v>
      </c>
      <c r="Q22" s="2643"/>
      <c r="R22" s="2077"/>
      <c r="S22" s="2077"/>
      <c r="T22" s="2077"/>
      <c r="U22" s="2077"/>
      <c r="V22" s="2077"/>
      <c r="W22" s="2077"/>
      <c r="X22" s="2077"/>
      <c r="Y22" s="1413"/>
      <c r="Z22" s="1413"/>
      <c r="AA22" s="1413"/>
      <c r="AB22" s="1413"/>
      <c r="AC22" s="1413"/>
      <c r="AD22" s="1413"/>
    </row>
    <row r="23" spans="1:40" ht="15.75" thickBot="1">
      <c r="A23" s="1572" t="s">
        <v>1862</v>
      </c>
      <c r="B23" s="1424" t="s">
        <v>970</v>
      </c>
      <c r="C23" s="1044">
        <f>ROUND(IF(G3&gt;1,IF(I3&lt;7,SUMPRODUCT((B93:B98=I3)*(C92:N92=G2)*(C93:N98)),SUMIF(C92:N92,G2,C100:N100)),IF(I3&lt;7,SUMPRODUCT((B102:B107=I3)*(C92:N92=G2)*(C102:N107)),SUMIF(C92:N92,G2,C109:N109))),4)</f>
        <v>0</v>
      </c>
      <c r="D23" s="1470"/>
      <c r="E23" s="1470"/>
      <c r="F23" s="1471"/>
      <c r="G23" s="1472"/>
      <c r="H23" s="1473"/>
      <c r="I23" s="1474"/>
      <c r="J23" s="1474"/>
      <c r="K23" s="3241"/>
      <c r="L23" s="1350"/>
      <c r="M23" s="1350"/>
      <c r="N23" s="1419" t="s">
        <v>914</v>
      </c>
      <c r="O23" s="1482"/>
      <c r="P23" s="2496">
        <f>SUMPRODUCT((地价!A3:A34=YEAR(G19)&amp;"-"&amp;ROUNDUP(MONTH(G19)/3,0))*(地价!AD2:AH2=N23)*(地价!AD3:AH34))</f>
        <v>1.9E-2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75" thickBot="1">
      <c r="A24" s="1570" t="s">
        <v>1863</v>
      </c>
      <c r="B24" s="1364" t="s">
        <v>971</v>
      </c>
      <c r="C24" s="1045">
        <f>SUMIF(A44:A87,E2,B44:B87)</f>
        <v>0.98419999999999996</v>
      </c>
      <c r="D24" s="1475"/>
      <c r="E24" s="1476"/>
      <c r="F24" s="1476"/>
      <c r="G24" s="1476"/>
      <c r="H24" s="1476"/>
      <c r="I24" s="1476"/>
      <c r="J24" s="1476"/>
      <c r="K24" s="3241"/>
      <c r="L24" s="1422"/>
      <c r="M24" s="1422"/>
      <c r="N24" s="1419" t="s">
        <v>972</v>
      </c>
      <c r="O24" s="2836"/>
      <c r="P24" s="2496">
        <f>SUMPRODUCT((地价!A3:A34=YEAR(G19)&amp;"-"&amp;ROUNDUP(MONTH(G19)/3,0))*(地价!AD2:AH2=N24)*(地价!AD3:AH34))</f>
        <v>1.2500000000000001E-2</v>
      </c>
      <c r="Q24" s="2643"/>
      <c r="R24" s="2077"/>
      <c r="S24" s="2077"/>
      <c r="T24" s="2077"/>
      <c r="U24" s="2077"/>
      <c r="V24" s="2077"/>
      <c r="W24" s="2077"/>
      <c r="X24" s="2077"/>
      <c r="Y24" s="1413"/>
      <c r="Z24" s="1413"/>
      <c r="AA24" s="1413"/>
      <c r="AB24" s="1413"/>
      <c r="AC24" s="1413"/>
      <c r="AD24" s="1413"/>
    </row>
    <row r="25" spans="1:40" ht="15" thickBot="1">
      <c r="A25" s="1570" t="s">
        <v>1864</v>
      </c>
      <c r="B25" s="1426" t="s">
        <v>973</v>
      </c>
      <c r="C25" s="1427"/>
      <c r="D25" s="1379"/>
      <c r="E25" s="1379"/>
      <c r="F25" s="1428"/>
      <c r="G25" s="1379"/>
      <c r="H25" s="1379"/>
      <c r="I25" s="1379"/>
      <c r="J25" s="1380"/>
      <c r="K25" s="3235"/>
      <c r="L25" s="2077"/>
      <c r="M25" s="2077"/>
      <c r="N25" s="2838" t="s">
        <v>2628</v>
      </c>
      <c r="O25" s="2839"/>
      <c r="P25" s="2303">
        <f>SUMPRODUCT((地价!A3:A34=YEAR(G19)&amp;"-"&amp;ROUNDUP(MONTH(G19)/3,0))*(地价!AD2:AH2=N25)*(地价!AD3:AH34))</f>
        <v>1.7299999999999999E-2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25">
      <c r="A26" s="1429"/>
      <c r="B26" s="1424" t="s">
        <v>977</v>
      </c>
      <c r="C26" s="3017">
        <f>IF(B21="容积率修正",E29+SUM(E33:E39),SUM(V2:V16)+SUM(E33:E39))</f>
        <v>15867</v>
      </c>
      <c r="D26" s="1430"/>
      <c r="E26" s="1405"/>
      <c r="F26" s="1431"/>
      <c r="G26" s="1405"/>
      <c r="H26" s="1405"/>
      <c r="I26" s="1405"/>
      <c r="J26" s="1432"/>
      <c r="K26" s="3235"/>
      <c r="L26" s="1529" t="s">
        <v>889</v>
      </c>
      <c r="M26" s="1377" t="s">
        <v>974</v>
      </c>
      <c r="N26" s="1377" t="s">
        <v>975</v>
      </c>
      <c r="O26" s="1377" t="s">
        <v>893</v>
      </c>
      <c r="P26" s="1417" t="s">
        <v>976</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979</v>
      </c>
      <c r="C27" s="1047">
        <f>E30+SUM(I33:I39)</f>
        <v>0</v>
      </c>
      <c r="D27" s="1434"/>
      <c r="E27" s="1435"/>
      <c r="F27" s="1436"/>
      <c r="G27" s="1435"/>
      <c r="H27" s="1435"/>
      <c r="I27" s="1435"/>
      <c r="J27" s="1437"/>
      <c r="K27" s="3235"/>
      <c r="L27" s="1409" t="s">
        <v>978</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980</v>
      </c>
      <c r="C28" s="1439" t="s">
        <v>981</v>
      </c>
      <c r="D28" s="1439" t="s">
        <v>982</v>
      </c>
      <c r="E28" s="1440" t="s">
        <v>983</v>
      </c>
      <c r="F28" s="1441"/>
      <c r="G28" s="1391"/>
      <c r="H28" s="1391"/>
      <c r="I28" s="1391"/>
      <c r="J28" s="1392"/>
      <c r="K28" s="3235"/>
      <c r="L28" s="1410" t="s">
        <v>964</v>
      </c>
      <c r="M28" s="1480">
        <f>ROUND($E$20*(1+M27),3)</f>
        <v>5.3999999999999999E-2</v>
      </c>
      <c r="N28" s="1480">
        <f>ROUND($E$20*(1+N27),3)</f>
        <v>5.1999999999999998E-2</v>
      </c>
      <c r="O28" s="1480">
        <f>ROUND($E$20*(1+O27),3)</f>
        <v>0.05</v>
      </c>
      <c r="P28" s="1481">
        <f>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14.25">
      <c r="A29" s="1442"/>
      <c r="B29" s="1443" t="s">
        <v>984</v>
      </c>
      <c r="C29" s="1046">
        <f>ROUND(C5*C18*C19*C20*C21*C24,0)</f>
        <v>6037</v>
      </c>
      <c r="D29" s="1444">
        <f>'数据-汇总表'!F27</f>
        <v>26283.599999999999</v>
      </c>
      <c r="E29" s="1764">
        <f>ROUND(C29*D29/10000,0)</f>
        <v>15867</v>
      </c>
      <c r="F29" s="1445" t="s">
        <v>1692</v>
      </c>
      <c r="G29" s="1446"/>
      <c r="H29" s="1446"/>
      <c r="I29" s="1446"/>
      <c r="J29" s="1447"/>
      <c r="K29" s="3242"/>
      <c r="L29" s="3242"/>
      <c r="M29" s="3242"/>
      <c r="N29" s="3242"/>
      <c r="O29" s="3242"/>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75" thickBot="1">
      <c r="A30" s="1448"/>
      <c r="B30" s="1449" t="s">
        <v>985</v>
      </c>
      <c r="C30" s="1038">
        <f>ROUND(IF(E2="工业",C29*M39,C29*M38),0)</f>
        <v>1509</v>
      </c>
      <c r="D30" s="1450"/>
      <c r="E30" s="1764">
        <f>ROUND(C30*D30/10000,0)</f>
        <v>0</v>
      </c>
      <c r="F30" s="1451" t="s">
        <v>986</v>
      </c>
      <c r="G30" s="1452"/>
      <c r="H30" s="1452"/>
      <c r="I30" s="1452"/>
      <c r="J30" s="1453"/>
      <c r="K30" s="3235"/>
      <c r="L30" s="3235"/>
      <c r="M30" s="3235"/>
      <c r="N30" s="3235"/>
      <c r="O30" s="3235"/>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987</v>
      </c>
      <c r="C31" s="1456" t="s">
        <v>988</v>
      </c>
      <c r="D31" s="1391"/>
      <c r="E31" s="1456"/>
      <c r="F31" s="1456"/>
      <c r="G31" s="1389" t="s">
        <v>986</v>
      </c>
      <c r="H31" s="1391"/>
      <c r="I31" s="1457"/>
      <c r="J31" s="1392"/>
      <c r="K31" s="3235"/>
      <c r="L31" s="3235"/>
      <c r="M31" s="3235"/>
      <c r="N31" s="3235"/>
      <c r="O31" s="3235"/>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24">
      <c r="A32" s="1442"/>
      <c r="B32" s="1458"/>
      <c r="C32" s="1459" t="s">
        <v>981</v>
      </c>
      <c r="D32" s="1460" t="s">
        <v>982</v>
      </c>
      <c r="E32" s="1460" t="s">
        <v>983</v>
      </c>
      <c r="F32" s="1461" t="s">
        <v>989</v>
      </c>
      <c r="G32" s="1420" t="s">
        <v>981</v>
      </c>
      <c r="H32" s="1420" t="s">
        <v>982</v>
      </c>
      <c r="I32" s="1420" t="s">
        <v>983</v>
      </c>
      <c r="J32" s="1462"/>
      <c r="K32" s="3243"/>
      <c r="L32" s="3243"/>
      <c r="M32" s="3243"/>
      <c r="N32" s="3243"/>
      <c r="O32" s="3243"/>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2.75">
      <c r="A33" s="3479"/>
      <c r="B33" s="1464" t="s">
        <v>990</v>
      </c>
      <c r="C33" s="1046">
        <f>ROUND(D5*C19*C20*C24*F33,0)</f>
        <v>3622</v>
      </c>
      <c r="D33" s="1477"/>
      <c r="E33" s="1035">
        <f>ROUND(C33*D33/10000,0)</f>
        <v>0</v>
      </c>
      <c r="F33" s="1035">
        <f>SUMIF(修正!A45:A56,G2,修正!B45:B56)</f>
        <v>0.6</v>
      </c>
      <c r="G33" s="1035">
        <f t="shared" ref="G33" si="6">ROUND(IF(E2="工业",C33*$M$39,C33*$M$38),0)</f>
        <v>906</v>
      </c>
      <c r="H33" s="1035">
        <f>D33</f>
        <v>0</v>
      </c>
      <c r="I33" s="1035">
        <f>ROUND(G33*H33/10000,0)</f>
        <v>0</v>
      </c>
      <c r="J33" s="3479" t="s">
        <v>2983</v>
      </c>
      <c r="K33" s="2843"/>
      <c r="L33" s="2843"/>
      <c r="M33" s="2843"/>
      <c r="N33" s="2843"/>
      <c r="O33" s="2843"/>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2.75">
      <c r="A34" s="3480"/>
      <c r="B34" s="1394" t="s">
        <v>991</v>
      </c>
      <c r="C34" s="1046">
        <f>ROUND(D5*C19*C20*C24*F34,0)</f>
        <v>1811</v>
      </c>
      <c r="D34" s="1477"/>
      <c r="E34" s="1035">
        <f t="shared" ref="E34:E39" si="7">ROUND(C34*D34/10000,0)</f>
        <v>0</v>
      </c>
      <c r="F34" s="1035">
        <f>SUMIF(修正!A45:A56,G2,修正!C45:C56)</f>
        <v>0.3</v>
      </c>
      <c r="G34" s="1035">
        <f>ROUND(IF(E2="工业",C34*$M$39,C34*$M$38),0)</f>
        <v>453</v>
      </c>
      <c r="H34" s="1035">
        <f t="shared" ref="H34:H39" si="8">D34</f>
        <v>0</v>
      </c>
      <c r="I34" s="1035">
        <f t="shared" ref="I34:I39" si="9">ROUND(G34*H34/10000,0)</f>
        <v>0</v>
      </c>
      <c r="J34" s="3480"/>
      <c r="K34" s="2843"/>
      <c r="L34" s="2843"/>
      <c r="M34" s="2843"/>
      <c r="N34" s="2843"/>
      <c r="O34" s="2843"/>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2.75">
      <c r="A35" s="3480"/>
      <c r="B35" s="1394" t="s">
        <v>992</v>
      </c>
      <c r="C35" s="1046">
        <f>ROUND(D5*C19*C20*C24*F35,0)</f>
        <v>1207</v>
      </c>
      <c r="D35" s="1477"/>
      <c r="E35" s="1035">
        <f t="shared" si="7"/>
        <v>0</v>
      </c>
      <c r="F35" s="1035">
        <f>SUMIF(修正!A45:A56,G2,修正!D45:D56)</f>
        <v>0.2</v>
      </c>
      <c r="G35" s="1035">
        <f>ROUND(IF(E2="工业",C35*$M$39,C35*$M$38),0)</f>
        <v>302</v>
      </c>
      <c r="H35" s="1035">
        <f t="shared" si="8"/>
        <v>0</v>
      </c>
      <c r="I35" s="1035">
        <f t="shared" si="9"/>
        <v>0</v>
      </c>
      <c r="J35" s="3480"/>
      <c r="K35" s="2843"/>
      <c r="L35" s="2843"/>
      <c r="M35" s="2843"/>
      <c r="N35" s="2843"/>
      <c r="O35" s="2843"/>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5" thickBot="1">
      <c r="A36" s="3481"/>
      <c r="B36" s="1394" t="s">
        <v>993</v>
      </c>
      <c r="C36" s="1046">
        <f>ROUND(D5*C19*C20*C24*F36,0)</f>
        <v>1207</v>
      </c>
      <c r="D36" s="1477"/>
      <c r="E36" s="1035">
        <f t="shared" si="7"/>
        <v>0</v>
      </c>
      <c r="F36" s="1035">
        <f>SUMIF(修正!A45:A56,G2,修正!E45:E56)</f>
        <v>0.2</v>
      </c>
      <c r="G36" s="1035">
        <f>ROUND(IF(E2="工业",C36*$M$39,C36*$M$38),0)</f>
        <v>302</v>
      </c>
      <c r="H36" s="1035">
        <f t="shared" si="8"/>
        <v>0</v>
      </c>
      <c r="I36" s="1035">
        <f t="shared" si="9"/>
        <v>0</v>
      </c>
      <c r="J36" s="3481"/>
      <c r="K36" s="2843"/>
      <c r="L36" s="2843"/>
      <c r="M36" s="2843"/>
      <c r="N36" s="2843"/>
      <c r="O36" s="2843"/>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2.75">
      <c r="A37" s="1463"/>
      <c r="B37" s="1394" t="s">
        <v>994</v>
      </c>
      <c r="C37" s="1035">
        <f>ROUND(D5*C19*C20*C24*F37,0)</f>
        <v>1207</v>
      </c>
      <c r="D37" s="1477"/>
      <c r="E37" s="1035">
        <f t="shared" si="7"/>
        <v>0</v>
      </c>
      <c r="F37" s="1046">
        <f>SUMIF(修正!A45:A56,G2,修正!F45:F56)</f>
        <v>0.2</v>
      </c>
      <c r="G37" s="1035">
        <f>ROUND(IF(E2="工业",C37*$M$39,C37*$M$38),0)</f>
        <v>302</v>
      </c>
      <c r="H37" s="1035">
        <f t="shared" si="8"/>
        <v>0</v>
      </c>
      <c r="I37" s="1035">
        <f t="shared" si="9"/>
        <v>0</v>
      </c>
      <c r="J37" s="1465"/>
      <c r="K37" s="2071"/>
      <c r="L37" s="1483" t="s">
        <v>1694</v>
      </c>
      <c r="M37" s="1484"/>
      <c r="N37" s="2071"/>
      <c r="O37" s="2071"/>
      <c r="P37" s="2071"/>
      <c r="Q37" s="2071"/>
      <c r="R37" s="2072"/>
      <c r="S37" s="2072"/>
      <c r="T37" s="2072"/>
      <c r="U37" s="2072"/>
      <c r="V37" s="2072"/>
      <c r="W37" s="2071"/>
      <c r="X37" s="2071"/>
      <c r="Y37" s="2071"/>
      <c r="Z37" s="2071"/>
      <c r="AA37" s="2071"/>
      <c r="AB37" s="2071"/>
      <c r="AC37" s="2072"/>
    </row>
    <row r="38" spans="1:44" ht="12.75">
      <c r="A38" s="1463"/>
      <c r="B38" s="1394" t="s">
        <v>995</v>
      </c>
      <c r="C38" s="1035">
        <f>ROUND(D5*C19*C41*C24*F38,0)</f>
        <v>0</v>
      </c>
      <c r="D38" s="1477"/>
      <c r="E38" s="1035">
        <f t="shared" si="7"/>
        <v>0</v>
      </c>
      <c r="F38" s="1046">
        <f>SUMIF(修正!A45:A56,G2,修正!G45:G56)</f>
        <v>0.2</v>
      </c>
      <c r="G38" s="1035">
        <f>ROUND(IF(E2="工业",C38*$M$39,C38*$M$38),0)</f>
        <v>0</v>
      </c>
      <c r="H38" s="1035">
        <f t="shared" si="8"/>
        <v>0</v>
      </c>
      <c r="I38" s="1035">
        <f t="shared" si="9"/>
        <v>0</v>
      </c>
      <c r="J38" s="1465"/>
      <c r="K38" s="2071"/>
      <c r="L38" s="1485" t="s">
        <v>1696</v>
      </c>
      <c r="M38" s="1486">
        <v>0.25</v>
      </c>
      <c r="N38" s="2071"/>
      <c r="O38" s="2071"/>
      <c r="P38" s="2071"/>
      <c r="Q38" s="2071"/>
      <c r="R38" s="2072"/>
      <c r="S38" s="2072"/>
      <c r="T38" s="2072"/>
      <c r="U38" s="2072"/>
      <c r="V38" s="2072"/>
      <c r="W38" s="2071"/>
      <c r="X38" s="2071"/>
      <c r="Y38" s="2071"/>
      <c r="Z38" s="2071"/>
      <c r="AA38" s="2071"/>
      <c r="AB38" s="2071"/>
      <c r="AC38" s="2072"/>
    </row>
    <row r="39" spans="1:44" ht="13.5" thickBot="1">
      <c r="A39" s="1448"/>
      <c r="B39" s="1466" t="s">
        <v>996</v>
      </c>
      <c r="C39" s="1038">
        <f>ROUND(D5*C19*C41*C24*F39,0)</f>
        <v>0</v>
      </c>
      <c r="D39" s="1478"/>
      <c r="E39" s="1038">
        <f t="shared" si="7"/>
        <v>0</v>
      </c>
      <c r="F39" s="1048">
        <f>SUMIF(修正!A45:A56,G2,修正!H45:H56)</f>
        <v>0.15</v>
      </c>
      <c r="G39" s="1038">
        <f>ROUND(IF(E2="工业",C39*$M$39,C39*$M$38),0)</f>
        <v>0</v>
      </c>
      <c r="H39" s="1038">
        <f t="shared" si="8"/>
        <v>0</v>
      </c>
      <c r="I39" s="1038">
        <f t="shared" si="9"/>
        <v>0</v>
      </c>
      <c r="J39" s="1467"/>
      <c r="K39" s="2071"/>
      <c r="L39" s="1487" t="s">
        <v>1695</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12.75">
      <c r="A41" s="1352"/>
      <c r="B41" s="2833" t="s">
        <v>2938</v>
      </c>
      <c r="C41" s="828">
        <f>ROUND(POWER(1+E41,H41-G41)*(POWER(1+E41,G41)-1)/(POWER(1+E41,H41)-1),4)</f>
        <v>0</v>
      </c>
      <c r="D41" s="372" t="s">
        <v>2936</v>
      </c>
      <c r="E41" s="2832">
        <f>G20</f>
        <v>5.1999999999999998E-2</v>
      </c>
      <c r="F41" s="372" t="s">
        <v>2937</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997</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5">
      <c r="A45" s="2280" t="s">
        <v>998</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999</v>
      </c>
      <c r="B46" s="2264" t="s">
        <v>1000</v>
      </c>
      <c r="C46" s="2286" t="s">
        <v>1001</v>
      </c>
      <c r="D46" s="2287" t="s">
        <v>1002</v>
      </c>
      <c r="E46" s="2288" t="s">
        <v>1004</v>
      </c>
      <c r="F46" s="2289" t="s">
        <v>2239</v>
      </c>
      <c r="G46" s="2287" t="s">
        <v>1005</v>
      </c>
      <c r="H46" s="2270" t="s">
        <v>2403</v>
      </c>
      <c r="I46" s="2287" t="s">
        <v>1003</v>
      </c>
      <c r="J46" s="2290" t="s">
        <v>1006</v>
      </c>
      <c r="K46" s="2290" t="s">
        <v>1007</v>
      </c>
      <c r="L46" s="2290" t="s">
        <v>1008</v>
      </c>
      <c r="M46" s="2290" t="s">
        <v>1009</v>
      </c>
      <c r="N46" s="2290" t="s">
        <v>1010</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1011</v>
      </c>
      <c r="B47" s="2267">
        <f>估价对象房地状况!C16</f>
        <v>0</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14.25">
      <c r="A48" s="1050" t="s">
        <v>1012</v>
      </c>
      <c r="B48" s="2264">
        <f>估价对象房地状况!C18</f>
        <v>0</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1013</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36">
      <c r="A50" s="1050" t="s">
        <v>1014</v>
      </c>
      <c r="B50" s="2785" t="s">
        <v>2895</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1015</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24">
      <c r="A52" s="1050" t="s">
        <v>1016</v>
      </c>
      <c r="B52" s="2784" t="s">
        <v>2894</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1017</v>
      </c>
      <c r="B53" s="2265">
        <f>估价对象房地状况!C21</f>
        <v>0</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1018</v>
      </c>
      <c r="B54" s="2264">
        <f>估价对象房地状况!C22</f>
        <v>0</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24.75" thickBot="1">
      <c r="A55" s="2297" t="s">
        <v>1019</v>
      </c>
      <c r="B55" s="2268">
        <f>估价对象房地状况!C20</f>
        <v>0</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5">
      <c r="A56" s="2280" t="s">
        <v>1020</v>
      </c>
      <c r="B56" s="2281">
        <f>1+E58</f>
        <v>0.98419999999999996</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999</v>
      </c>
      <c r="B57" s="2264"/>
      <c r="C57" s="2286" t="s">
        <v>1001</v>
      </c>
      <c r="D57" s="2287" t="s">
        <v>1002</v>
      </c>
      <c r="E57" s="2288" t="s">
        <v>1004</v>
      </c>
      <c r="F57" s="2289" t="s">
        <v>2240</v>
      </c>
      <c r="G57" s="2287" t="s">
        <v>1005</v>
      </c>
      <c r="H57" s="2270" t="s">
        <v>2403</v>
      </c>
      <c r="I57" s="2287" t="s">
        <v>1003</v>
      </c>
      <c r="J57" s="2290" t="s">
        <v>1006</v>
      </c>
      <c r="K57" s="2290" t="s">
        <v>1007</v>
      </c>
      <c r="L57" s="2290" t="s">
        <v>1008</v>
      </c>
      <c r="M57" s="2290" t="s">
        <v>1009</v>
      </c>
      <c r="N57" s="2290" t="s">
        <v>1010</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1021</v>
      </c>
      <c r="B58" s="2267">
        <f>估价对象房地状况!C17</f>
        <v>0</v>
      </c>
      <c r="C58" s="1037" t="s">
        <v>3020</v>
      </c>
      <c r="D58" s="2273">
        <f t="shared" ref="D58:D66" si="15">SUMIF($J$57:$N$57,C58,J58:N58)</f>
        <v>-1.7999999999999999E-2</v>
      </c>
      <c r="E58" s="2292">
        <f>ROUND(SUM(D58:D66),4)</f>
        <v>-1.5800000000000002E-2</v>
      </c>
      <c r="F58" s="2293">
        <f>IF(E2="办公",SUMIF(L1:L12,G2,N1:N12),"——")</f>
        <v>0.15</v>
      </c>
      <c r="G58" s="2271">
        <f>H58</f>
        <v>1.7999999999999999E-2</v>
      </c>
      <c r="H58" s="2316">
        <f>IFERROR(ROUNDDOWN($F$58*I58/2,4),"——")</f>
        <v>1.7999999999999999E-2</v>
      </c>
      <c r="I58" s="2291">
        <v>0.24</v>
      </c>
      <c r="J58" s="2294">
        <f t="shared" ref="J58:J66" si="16">K58+$G58</f>
        <v>3.5999999999999997E-2</v>
      </c>
      <c r="K58" s="2294">
        <f t="shared" ref="K58:K66" si="17">$L58+$G58</f>
        <v>1.7999999999999999E-2</v>
      </c>
      <c r="L58" s="2294">
        <v>0</v>
      </c>
      <c r="M58" s="2294">
        <f t="shared" ref="M58:N66" si="18">L58-$G58</f>
        <v>-1.7999999999999999E-2</v>
      </c>
      <c r="N58" s="2294">
        <f t="shared" si="18"/>
        <v>-3.5999999999999997E-2</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14.25">
      <c r="A59" s="1050" t="s">
        <v>1012</v>
      </c>
      <c r="B59" s="2264">
        <f>估价对象房地状况!C18</f>
        <v>0</v>
      </c>
      <c r="C59" s="1037" t="s">
        <v>3018</v>
      </c>
      <c r="D59" s="2273">
        <f t="shared" si="15"/>
        <v>0</v>
      </c>
      <c r="E59" s="2295"/>
      <c r="F59" s="2293"/>
      <c r="G59" s="2271">
        <f t="shared" ref="G59:G66" si="19">H59</f>
        <v>2.2499999999999999E-2</v>
      </c>
      <c r="H59" s="2272">
        <f t="shared" ref="H59:H66" si="20">IFERROR($F$58*I59/2,"——")</f>
        <v>2.2499999999999999E-2</v>
      </c>
      <c r="I59" s="2291">
        <v>0.3</v>
      </c>
      <c r="J59" s="2294">
        <f t="shared" si="16"/>
        <v>4.4999999999999998E-2</v>
      </c>
      <c r="K59" s="2294">
        <f t="shared" si="17"/>
        <v>2.2499999999999999E-2</v>
      </c>
      <c r="L59" s="2294">
        <v>0</v>
      </c>
      <c r="M59" s="2294">
        <f t="shared" si="18"/>
        <v>-2.2499999999999999E-2</v>
      </c>
      <c r="N59" s="2294">
        <f t="shared" si="18"/>
        <v>-4.4999999999999998E-2</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1013</v>
      </c>
      <c r="B60" s="2264">
        <f>估价对象房地状况!C19</f>
        <v>0</v>
      </c>
      <c r="C60" s="1037" t="s">
        <v>3018</v>
      </c>
      <c r="D60" s="2273">
        <f t="shared" si="15"/>
        <v>0</v>
      </c>
      <c r="E60" s="2295"/>
      <c r="F60" s="2293"/>
      <c r="G60" s="2271">
        <f t="shared" si="19"/>
        <v>6.0000000000000001E-3</v>
      </c>
      <c r="H60" s="2272">
        <f t="shared" si="20"/>
        <v>6.0000000000000001E-3</v>
      </c>
      <c r="I60" s="2291">
        <v>0.08</v>
      </c>
      <c r="J60" s="2294">
        <f t="shared" si="16"/>
        <v>1.2E-2</v>
      </c>
      <c r="K60" s="2294">
        <f t="shared" si="17"/>
        <v>6.0000000000000001E-3</v>
      </c>
      <c r="L60" s="2294">
        <v>0</v>
      </c>
      <c r="M60" s="2294">
        <f t="shared" si="18"/>
        <v>-6.0000000000000001E-3</v>
      </c>
      <c r="N60" s="2294">
        <f t="shared" si="18"/>
        <v>-1.2E-2</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36">
      <c r="A61" s="1050" t="s">
        <v>1014</v>
      </c>
      <c r="B61" s="2785" t="s">
        <v>3091</v>
      </c>
      <c r="C61" s="1037" t="s">
        <v>3019</v>
      </c>
      <c r="D61" s="2273">
        <f t="shared" si="15"/>
        <v>3.0000000000000001E-3</v>
      </c>
      <c r="E61" s="2295"/>
      <c r="F61" s="2293"/>
      <c r="G61" s="2271">
        <f t="shared" si="19"/>
        <v>3.0000000000000001E-3</v>
      </c>
      <c r="H61" s="2272">
        <f t="shared" si="20"/>
        <v>3.0000000000000001E-3</v>
      </c>
      <c r="I61" s="2291">
        <v>0.04</v>
      </c>
      <c r="J61" s="2294">
        <f t="shared" si="16"/>
        <v>6.0000000000000001E-3</v>
      </c>
      <c r="K61" s="2294">
        <f t="shared" si="17"/>
        <v>3.0000000000000001E-3</v>
      </c>
      <c r="L61" s="2294">
        <v>0</v>
      </c>
      <c r="M61" s="2294">
        <f t="shared" si="18"/>
        <v>-3.0000000000000001E-3</v>
      </c>
      <c r="N61" s="2294">
        <f t="shared" si="18"/>
        <v>-6.0000000000000001E-3</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1015</v>
      </c>
      <c r="B62" s="2264">
        <f>估价对象房地状况!C24</f>
        <v>0</v>
      </c>
      <c r="C62" s="1037" t="s">
        <v>3018</v>
      </c>
      <c r="D62" s="2273">
        <f t="shared" si="15"/>
        <v>0</v>
      </c>
      <c r="E62" s="2295"/>
      <c r="F62" s="2293"/>
      <c r="G62" s="2271">
        <f t="shared" si="19"/>
        <v>3.7499999999999999E-3</v>
      </c>
      <c r="H62" s="2272">
        <f t="shared" si="20"/>
        <v>3.7499999999999999E-3</v>
      </c>
      <c r="I62" s="2291">
        <v>0.05</v>
      </c>
      <c r="J62" s="2294">
        <f t="shared" si="16"/>
        <v>7.4999999999999997E-3</v>
      </c>
      <c r="K62" s="2294">
        <f t="shared" si="17"/>
        <v>3.7499999999999999E-3</v>
      </c>
      <c r="L62" s="2294">
        <v>0</v>
      </c>
      <c r="M62" s="2294">
        <f t="shared" si="18"/>
        <v>-3.7499999999999999E-3</v>
      </c>
      <c r="N62" s="2294">
        <f t="shared" si="18"/>
        <v>-7.4999999999999997E-3</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24">
      <c r="A63" s="1050" t="s">
        <v>1016</v>
      </c>
      <c r="B63" s="2784" t="s">
        <v>2894</v>
      </c>
      <c r="C63" s="1037" t="s">
        <v>3019</v>
      </c>
      <c r="D63" s="2273">
        <f t="shared" si="15"/>
        <v>3.7499999999999999E-3</v>
      </c>
      <c r="E63" s="2295"/>
      <c r="F63" s="2293"/>
      <c r="G63" s="2271">
        <f t="shared" si="19"/>
        <v>3.7499999999999999E-3</v>
      </c>
      <c r="H63" s="2272">
        <f t="shared" si="20"/>
        <v>3.7499999999999999E-3</v>
      </c>
      <c r="I63" s="2291">
        <v>0.05</v>
      </c>
      <c r="J63" s="2294">
        <f t="shared" si="16"/>
        <v>7.4999999999999997E-3</v>
      </c>
      <c r="K63" s="2294">
        <f t="shared" si="17"/>
        <v>3.7499999999999999E-3</v>
      </c>
      <c r="L63" s="2294">
        <v>0</v>
      </c>
      <c r="M63" s="2294">
        <f t="shared" si="18"/>
        <v>-3.7499999999999999E-3</v>
      </c>
      <c r="N63" s="2294">
        <f t="shared" si="18"/>
        <v>-7.4999999999999997E-3</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1017</v>
      </c>
      <c r="B64" s="2265">
        <f>估价对象房地状况!C21</f>
        <v>0</v>
      </c>
      <c r="C64" s="1037" t="s">
        <v>3020</v>
      </c>
      <c r="D64" s="2273">
        <f t="shared" si="15"/>
        <v>-4.4999999999999997E-3</v>
      </c>
      <c r="E64" s="2295"/>
      <c r="F64" s="2293"/>
      <c r="G64" s="2271">
        <f t="shared" si="19"/>
        <v>4.4999999999999997E-3</v>
      </c>
      <c r="H64" s="2272">
        <f t="shared" si="20"/>
        <v>4.4999999999999997E-3</v>
      </c>
      <c r="I64" s="2291">
        <v>0.06</v>
      </c>
      <c r="J64" s="2294">
        <f t="shared" si="16"/>
        <v>8.9999999999999993E-3</v>
      </c>
      <c r="K64" s="2294">
        <f t="shared" si="17"/>
        <v>4.4999999999999997E-3</v>
      </c>
      <c r="L64" s="2294">
        <v>0</v>
      </c>
      <c r="M64" s="2294">
        <f t="shared" si="18"/>
        <v>-4.4999999999999997E-3</v>
      </c>
      <c r="N64" s="2294">
        <f t="shared" si="18"/>
        <v>-8.9999999999999993E-3</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1018</v>
      </c>
      <c r="B65" s="2265">
        <f>估价对象房地状况!C22</f>
        <v>0</v>
      </c>
      <c r="C65" s="1037" t="s">
        <v>3018</v>
      </c>
      <c r="D65" s="2273">
        <f t="shared" si="15"/>
        <v>0</v>
      </c>
      <c r="E65" s="2295"/>
      <c r="F65" s="2293"/>
      <c r="G65" s="2271">
        <f t="shared" si="19"/>
        <v>8.9999999999999993E-3</v>
      </c>
      <c r="H65" s="2272">
        <f t="shared" si="20"/>
        <v>8.9999999999999993E-3</v>
      </c>
      <c r="I65" s="2291">
        <v>0.12</v>
      </c>
      <c r="J65" s="2294">
        <f t="shared" si="16"/>
        <v>1.7999999999999999E-2</v>
      </c>
      <c r="K65" s="2294">
        <f t="shared" si="17"/>
        <v>8.9999999999999993E-3</v>
      </c>
      <c r="L65" s="2294">
        <v>0</v>
      </c>
      <c r="M65" s="2294">
        <f t="shared" si="18"/>
        <v>-8.9999999999999993E-3</v>
      </c>
      <c r="N65" s="2294">
        <f t="shared" si="18"/>
        <v>-1.7999999999999999E-2</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24.75" thickBot="1">
      <c r="A66" s="2297" t="s">
        <v>1019</v>
      </c>
      <c r="B66" s="2269">
        <f>估价对象房地状况!C20</f>
        <v>0</v>
      </c>
      <c r="C66" s="1037" t="s">
        <v>3018</v>
      </c>
      <c r="D66" s="2273">
        <f t="shared" si="15"/>
        <v>0</v>
      </c>
      <c r="E66" s="2299"/>
      <c r="F66" s="2293"/>
      <c r="G66" s="2271">
        <f t="shared" si="19"/>
        <v>4.4999999999999997E-3</v>
      </c>
      <c r="H66" s="2272">
        <f t="shared" si="20"/>
        <v>4.4999999999999997E-3</v>
      </c>
      <c r="I66" s="2298">
        <v>0.06</v>
      </c>
      <c r="J66" s="2294">
        <f t="shared" si="16"/>
        <v>8.9999999999999993E-3</v>
      </c>
      <c r="K66" s="2294">
        <f t="shared" si="17"/>
        <v>4.4999999999999997E-3</v>
      </c>
      <c r="L66" s="2294">
        <v>0</v>
      </c>
      <c r="M66" s="2294">
        <f t="shared" si="18"/>
        <v>-4.4999999999999997E-3</v>
      </c>
      <c r="N66" s="2294">
        <f t="shared" si="18"/>
        <v>-8.9999999999999993E-3</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5">
      <c r="A67" s="2280" t="s">
        <v>1022</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999</v>
      </c>
      <c r="B68" s="2264"/>
      <c r="C68" s="2286" t="s">
        <v>1001</v>
      </c>
      <c r="D68" s="2287" t="s">
        <v>1002</v>
      </c>
      <c r="E68" s="2288" t="s">
        <v>1004</v>
      </c>
      <c r="F68" s="2289" t="s">
        <v>2241</v>
      </c>
      <c r="G68" s="2287" t="s">
        <v>1005</v>
      </c>
      <c r="H68" s="2270" t="s">
        <v>2403</v>
      </c>
      <c r="I68" s="2287" t="s">
        <v>1003</v>
      </c>
      <c r="J68" s="2290" t="s">
        <v>1006</v>
      </c>
      <c r="K68" s="2290" t="s">
        <v>1007</v>
      </c>
      <c r="L68" s="2290" t="s">
        <v>1008</v>
      </c>
      <c r="M68" s="2290" t="s">
        <v>1009</v>
      </c>
      <c r="N68" s="2290" t="s">
        <v>1010</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1023</v>
      </c>
      <c r="B69" s="2267">
        <f>估价对象房地状况!C15</f>
        <v>0</v>
      </c>
      <c r="C69" s="1142"/>
      <c r="D69" s="2273">
        <f t="shared" ref="D69:D77" si="21">SUMIF($J$68:$N$68,C69,J69:N69)</f>
        <v>0</v>
      </c>
      <c r="E69" s="2292">
        <f>ROUND(SUM(D69:D77),4)</f>
        <v>0</v>
      </c>
      <c r="F69" s="2293" t="str">
        <f>IF(E2="住宅",SUMIF(L1:L12,G2,N1:N12),"——")</f>
        <v>——</v>
      </c>
      <c r="G69" s="2274"/>
      <c r="H69" s="2317" t="str">
        <f t="shared" ref="H69:H77" si="22">IFERROR(ROUNDDOWN($F$69*I69/2,4),"——")</f>
        <v>——</v>
      </c>
      <c r="I69" s="2291">
        <v>0.14000000000000001</v>
      </c>
      <c r="J69" s="2294">
        <f t="shared" ref="J69:J77" si="23">K69+$G69</f>
        <v>0</v>
      </c>
      <c r="K69" s="2294">
        <f t="shared" ref="K69:K77" si="24">$L69+$G69</f>
        <v>0</v>
      </c>
      <c r="L69" s="2294">
        <v>0</v>
      </c>
      <c r="M69" s="2294">
        <f t="shared" ref="M69:N77" si="25">L69-$G69</f>
        <v>0</v>
      </c>
      <c r="N69" s="2294">
        <f t="shared" si="25"/>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14.25">
      <c r="A70" s="1050" t="s">
        <v>1024</v>
      </c>
      <c r="B70" s="2264">
        <f>估价对象房地状况!C18</f>
        <v>0</v>
      </c>
      <c r="C70" s="1142"/>
      <c r="D70" s="2273">
        <f t="shared" si="21"/>
        <v>0</v>
      </c>
      <c r="E70" s="2301"/>
      <c r="F70" s="2302"/>
      <c r="G70" s="2274"/>
      <c r="H70" s="2317" t="str">
        <f t="shared" si="22"/>
        <v>——</v>
      </c>
      <c r="I70" s="2291">
        <v>0.3</v>
      </c>
      <c r="J70" s="2294">
        <f t="shared" si="23"/>
        <v>0</v>
      </c>
      <c r="K70" s="2294">
        <f t="shared" si="24"/>
        <v>0</v>
      </c>
      <c r="L70" s="2294">
        <v>0</v>
      </c>
      <c r="M70" s="2294">
        <f t="shared" si="25"/>
        <v>0</v>
      </c>
      <c r="N70" s="2294">
        <f t="shared" si="25"/>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1013</v>
      </c>
      <c r="B71" s="2264">
        <f>估价对象房地状况!C19</f>
        <v>0</v>
      </c>
      <c r="C71" s="1142"/>
      <c r="D71" s="2273">
        <f t="shared" si="21"/>
        <v>0</v>
      </c>
      <c r="E71" s="2301"/>
      <c r="F71" s="2302"/>
      <c r="G71" s="2274"/>
      <c r="H71" s="2317" t="str">
        <f t="shared" si="22"/>
        <v>——</v>
      </c>
      <c r="I71" s="2291">
        <v>0.08</v>
      </c>
      <c r="J71" s="2294">
        <f t="shared" si="23"/>
        <v>0</v>
      </c>
      <c r="K71" s="2294">
        <f t="shared" si="24"/>
        <v>0</v>
      </c>
      <c r="L71" s="2294">
        <v>0</v>
      </c>
      <c r="M71" s="2294">
        <f t="shared" si="25"/>
        <v>0</v>
      </c>
      <c r="N71" s="2294">
        <f t="shared" si="25"/>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4.25">
      <c r="A72" s="1050" t="s">
        <v>1025</v>
      </c>
      <c r="B72" s="2264">
        <f>估价对象房地状况!C24</f>
        <v>0</v>
      </c>
      <c r="C72" s="1142"/>
      <c r="D72" s="2273">
        <f t="shared" si="21"/>
        <v>0</v>
      </c>
      <c r="E72" s="2301"/>
      <c r="F72" s="2302"/>
      <c r="G72" s="2274"/>
      <c r="H72" s="2317" t="str">
        <f t="shared" si="22"/>
        <v>——</v>
      </c>
      <c r="I72" s="2291">
        <v>0.04</v>
      </c>
      <c r="J72" s="2294">
        <f t="shared" si="23"/>
        <v>0</v>
      </c>
      <c r="K72" s="2294">
        <f t="shared" si="24"/>
        <v>0</v>
      </c>
      <c r="L72" s="2294">
        <v>0</v>
      </c>
      <c r="M72" s="2294">
        <f t="shared" si="25"/>
        <v>0</v>
      </c>
      <c r="N72" s="2294">
        <f t="shared" si="25"/>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1017</v>
      </c>
      <c r="B73" s="2265">
        <f>估价对象房地状况!C21</f>
        <v>0</v>
      </c>
      <c r="C73" s="1142"/>
      <c r="D73" s="2273">
        <f t="shared" si="21"/>
        <v>0</v>
      </c>
      <c r="E73" s="2301"/>
      <c r="F73" s="2302"/>
      <c r="G73" s="2274"/>
      <c r="H73" s="2317" t="str">
        <f t="shared" si="22"/>
        <v>——</v>
      </c>
      <c r="I73" s="2291">
        <v>0.08</v>
      </c>
      <c r="J73" s="2294">
        <f t="shared" si="23"/>
        <v>0</v>
      </c>
      <c r="K73" s="2294">
        <f t="shared" si="24"/>
        <v>0</v>
      </c>
      <c r="L73" s="2294">
        <v>0</v>
      </c>
      <c r="M73" s="2294">
        <f t="shared" si="25"/>
        <v>0</v>
      </c>
      <c r="N73" s="2294">
        <f t="shared" si="25"/>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1018</v>
      </c>
      <c r="B74" s="2265">
        <f>估价对象房地状况!C22</f>
        <v>0</v>
      </c>
      <c r="C74" s="1142"/>
      <c r="D74" s="2273">
        <f t="shared" si="21"/>
        <v>0</v>
      </c>
      <c r="E74" s="2301"/>
      <c r="F74" s="2302"/>
      <c r="G74" s="2274"/>
      <c r="H74" s="2317" t="str">
        <f t="shared" si="22"/>
        <v>——</v>
      </c>
      <c r="I74" s="2291">
        <v>0.12</v>
      </c>
      <c r="J74" s="2294">
        <f t="shared" si="23"/>
        <v>0</v>
      </c>
      <c r="K74" s="2294">
        <f t="shared" si="24"/>
        <v>0</v>
      </c>
      <c r="L74" s="2294">
        <v>0</v>
      </c>
      <c r="M74" s="2294">
        <f t="shared" si="25"/>
        <v>0</v>
      </c>
      <c r="N74" s="2294">
        <f t="shared" si="25"/>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24">
      <c r="A75" s="1050" t="s">
        <v>1016</v>
      </c>
      <c r="B75" s="2784" t="s">
        <v>2894</v>
      </c>
      <c r="C75" s="1142"/>
      <c r="D75" s="2273">
        <f t="shared" si="21"/>
        <v>0</v>
      </c>
      <c r="E75" s="2301"/>
      <c r="F75" s="2302"/>
      <c r="G75" s="2274"/>
      <c r="H75" s="2317" t="str">
        <f t="shared" si="22"/>
        <v>——</v>
      </c>
      <c r="I75" s="2291">
        <v>0.05</v>
      </c>
      <c r="J75" s="2294">
        <f t="shared" si="23"/>
        <v>0</v>
      </c>
      <c r="K75" s="2294">
        <f t="shared" si="24"/>
        <v>0</v>
      </c>
      <c r="L75" s="2294">
        <v>0</v>
      </c>
      <c r="M75" s="2294">
        <f t="shared" si="25"/>
        <v>0</v>
      </c>
      <c r="N75" s="2294">
        <f t="shared" si="25"/>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24">
      <c r="A76" s="1050" t="s">
        <v>1019</v>
      </c>
      <c r="B76" s="2267">
        <f>估价对象房地状况!C20</f>
        <v>0</v>
      </c>
      <c r="C76" s="1142"/>
      <c r="D76" s="2273">
        <f t="shared" si="21"/>
        <v>0</v>
      </c>
      <c r="E76" s="2301"/>
      <c r="F76" s="2302"/>
      <c r="G76" s="2274"/>
      <c r="H76" s="2317" t="str">
        <f t="shared" si="22"/>
        <v>——</v>
      </c>
      <c r="I76" s="2291">
        <v>0.15</v>
      </c>
      <c r="J76" s="2294">
        <f t="shared" si="23"/>
        <v>0</v>
      </c>
      <c r="K76" s="2294">
        <f t="shared" si="24"/>
        <v>0</v>
      </c>
      <c r="L76" s="2294">
        <v>0</v>
      </c>
      <c r="M76" s="2294">
        <f t="shared" si="25"/>
        <v>0</v>
      </c>
      <c r="N76" s="2294">
        <f t="shared" si="25"/>
        <v>0</v>
      </c>
      <c r="P76" s="2081"/>
      <c r="Q76" s="2081"/>
      <c r="R76" s="2082"/>
      <c r="S76" s="2082"/>
      <c r="T76" s="2082"/>
      <c r="U76" s="2082"/>
      <c r="V76" s="2082"/>
      <c r="W76" s="2081"/>
      <c r="X76" s="2081"/>
      <c r="Y76" s="2081"/>
      <c r="Z76" s="2081"/>
      <c r="AA76" s="2081"/>
      <c r="AB76" s="2081"/>
      <c r="AC76" s="2081"/>
      <c r="AD76" s="2082"/>
      <c r="AJ76" s="1352"/>
      <c r="AN76" s="1353"/>
    </row>
    <row r="77" spans="1:40" ht="24.75" thickBot="1">
      <c r="A77" s="2297" t="s">
        <v>1026</v>
      </c>
      <c r="B77" s="1765"/>
      <c r="C77" s="1142"/>
      <c r="D77" s="2273">
        <f t="shared" si="21"/>
        <v>0</v>
      </c>
      <c r="E77" s="2303"/>
      <c r="F77" s="2302"/>
      <c r="G77" s="2274"/>
      <c r="H77" s="2317" t="str">
        <f t="shared" si="22"/>
        <v>——</v>
      </c>
      <c r="I77" s="2298">
        <v>0.04</v>
      </c>
      <c r="J77" s="2294">
        <f t="shared" si="23"/>
        <v>0</v>
      </c>
      <c r="K77" s="2294">
        <f t="shared" si="24"/>
        <v>0</v>
      </c>
      <c r="L77" s="2294">
        <v>0</v>
      </c>
      <c r="M77" s="2294">
        <f t="shared" si="25"/>
        <v>0</v>
      </c>
      <c r="N77" s="2294">
        <f t="shared" si="25"/>
        <v>0</v>
      </c>
      <c r="AC77" s="1354"/>
      <c r="AD77" s="1353"/>
      <c r="AJ77" s="1352"/>
      <c r="AN77" s="1353"/>
    </row>
    <row r="78" spans="1:40" ht="15">
      <c r="A78" s="2280" t="s">
        <v>1027</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999</v>
      </c>
      <c r="B79" s="2264"/>
      <c r="C79" s="2286" t="s">
        <v>1001</v>
      </c>
      <c r="D79" s="2287" t="s">
        <v>1002</v>
      </c>
      <c r="E79" s="2288" t="s">
        <v>1004</v>
      </c>
      <c r="F79" s="2289" t="s">
        <v>2242</v>
      </c>
      <c r="G79" s="2287" t="s">
        <v>1005</v>
      </c>
      <c r="H79" s="2270" t="s">
        <v>2403</v>
      </c>
      <c r="I79" s="2287" t="s">
        <v>1003</v>
      </c>
      <c r="J79" s="2290" t="s">
        <v>1006</v>
      </c>
      <c r="K79" s="2290" t="s">
        <v>1007</v>
      </c>
      <c r="L79" s="2290" t="s">
        <v>1008</v>
      </c>
      <c r="M79" s="2290" t="s">
        <v>1009</v>
      </c>
      <c r="N79" s="2290" t="s">
        <v>1010</v>
      </c>
      <c r="AC79" s="1354"/>
      <c r="AD79" s="1353"/>
      <c r="AJ79" s="1352"/>
      <c r="AN79" s="1353"/>
    </row>
    <row r="80" spans="1:40" ht="24">
      <c r="A80" s="1050" t="s">
        <v>1028</v>
      </c>
      <c r="B80" s="2264">
        <f>估价对象房地状况!G15</f>
        <v>0</v>
      </c>
      <c r="C80" s="1037"/>
      <c r="D80" s="2273">
        <f t="shared" ref="D80:D87" si="26">SUMIF($J$79:$N$79,C80,J80:N80)</f>
        <v>0</v>
      </c>
      <c r="E80" s="2292">
        <f>ROUND(SUM(D80:D87),4)</f>
        <v>0</v>
      </c>
      <c r="F80" s="2293" t="str">
        <f>IF(E2="工业",SUMIF(L1:L12,G2,N1:N12),"——")</f>
        <v>——</v>
      </c>
      <c r="G80" s="2271"/>
      <c r="H80" s="2316" t="str">
        <f t="shared" ref="H80:H87" si="27">IFERROR(ROUNDDOWN($F$80*I80/2,4),"——")</f>
        <v>——</v>
      </c>
      <c r="I80" s="2291">
        <v>0.26</v>
      </c>
      <c r="J80" s="2294">
        <f t="shared" ref="J80:J87" si="28">K80+$G80</f>
        <v>0</v>
      </c>
      <c r="K80" s="2294">
        <f t="shared" ref="K80:K87" si="29">$L80+$G80</f>
        <v>0</v>
      </c>
      <c r="L80" s="2294">
        <v>0</v>
      </c>
      <c r="M80" s="2294">
        <f t="shared" ref="M80:N87" si="30">L80-$G80</f>
        <v>0</v>
      </c>
      <c r="N80" s="2294">
        <f t="shared" si="30"/>
        <v>0</v>
      </c>
      <c r="AC80" s="1354"/>
      <c r="AD80" s="1353"/>
      <c r="AJ80" s="1352"/>
      <c r="AN80" s="1353"/>
    </row>
    <row r="81" spans="1:40" ht="14.25">
      <c r="A81" s="1050" t="s">
        <v>1024</v>
      </c>
      <c r="B81" s="2264">
        <f>估价对象房地状况!G16</f>
        <v>0</v>
      </c>
      <c r="C81" s="1037"/>
      <c r="D81" s="2273">
        <f t="shared" si="26"/>
        <v>0</v>
      </c>
      <c r="E81" s="2301"/>
      <c r="F81" s="2302"/>
      <c r="G81" s="2271"/>
      <c r="H81" s="2316" t="str">
        <f t="shared" si="27"/>
        <v>——</v>
      </c>
      <c r="I81" s="2291">
        <v>0.33</v>
      </c>
      <c r="J81" s="2294">
        <f t="shared" si="28"/>
        <v>0</v>
      </c>
      <c r="K81" s="2294">
        <f t="shared" si="29"/>
        <v>0</v>
      </c>
      <c r="L81" s="2294">
        <v>0</v>
      </c>
      <c r="M81" s="2294">
        <f t="shared" si="30"/>
        <v>0</v>
      </c>
      <c r="N81" s="2294">
        <f t="shared" si="30"/>
        <v>0</v>
      </c>
      <c r="AC81" s="1354"/>
      <c r="AD81" s="1353"/>
      <c r="AJ81" s="1352"/>
      <c r="AN81" s="1353"/>
    </row>
    <row r="82" spans="1:40" ht="24">
      <c r="A82" s="1050" t="s">
        <v>1013</v>
      </c>
      <c r="B82" s="2264">
        <f>估价对象房地状况!G17</f>
        <v>0</v>
      </c>
      <c r="C82" s="1037"/>
      <c r="D82" s="2273">
        <f t="shared" si="26"/>
        <v>0</v>
      </c>
      <c r="E82" s="2301"/>
      <c r="F82" s="2302"/>
      <c r="G82" s="2271"/>
      <c r="H82" s="2316" t="str">
        <f t="shared" si="27"/>
        <v>——</v>
      </c>
      <c r="I82" s="2291">
        <v>0.05</v>
      </c>
      <c r="J82" s="2294">
        <f t="shared" si="28"/>
        <v>0</v>
      </c>
      <c r="K82" s="2294">
        <f t="shared" si="29"/>
        <v>0</v>
      </c>
      <c r="L82" s="2294">
        <v>0</v>
      </c>
      <c r="M82" s="2294">
        <f t="shared" si="30"/>
        <v>0</v>
      </c>
      <c r="N82" s="2294">
        <f t="shared" si="30"/>
        <v>0</v>
      </c>
      <c r="AC82" s="1354"/>
      <c r="AD82" s="1353"/>
      <c r="AJ82" s="1352"/>
      <c r="AN82" s="1353"/>
    </row>
    <row r="83" spans="1:40" ht="14.25">
      <c r="A83" s="1050" t="s">
        <v>1025</v>
      </c>
      <c r="B83" s="2264">
        <f>估价对象房地状况!G22</f>
        <v>0</v>
      </c>
      <c r="C83" s="1037"/>
      <c r="D83" s="2273">
        <f t="shared" si="26"/>
        <v>0</v>
      </c>
      <c r="E83" s="2301"/>
      <c r="F83" s="2302"/>
      <c r="G83" s="2271"/>
      <c r="H83" s="2316" t="str">
        <f t="shared" si="27"/>
        <v>——</v>
      </c>
      <c r="I83" s="2291">
        <v>0.04</v>
      </c>
      <c r="J83" s="2294">
        <f t="shared" si="28"/>
        <v>0</v>
      </c>
      <c r="K83" s="2294">
        <f t="shared" si="29"/>
        <v>0</v>
      </c>
      <c r="L83" s="2294">
        <v>0</v>
      </c>
      <c r="M83" s="2294">
        <f t="shared" si="30"/>
        <v>0</v>
      </c>
      <c r="N83" s="2294">
        <f t="shared" si="30"/>
        <v>0</v>
      </c>
      <c r="AC83" s="1354"/>
      <c r="AD83" s="1353"/>
      <c r="AJ83" s="1352"/>
      <c r="AN83" s="1353"/>
    </row>
    <row r="84" spans="1:40" ht="24">
      <c r="A84" s="1050" t="s">
        <v>1017</v>
      </c>
      <c r="B84" s="2265">
        <f>估价对象房地状况!G19</f>
        <v>0</v>
      </c>
      <c r="C84" s="1037"/>
      <c r="D84" s="2273">
        <f t="shared" si="26"/>
        <v>0</v>
      </c>
      <c r="E84" s="2301"/>
      <c r="F84" s="2302"/>
      <c r="G84" s="2271"/>
      <c r="H84" s="2316" t="str">
        <f t="shared" si="27"/>
        <v>——</v>
      </c>
      <c r="I84" s="2291">
        <v>0.06</v>
      </c>
      <c r="J84" s="2294">
        <f t="shared" si="28"/>
        <v>0</v>
      </c>
      <c r="K84" s="2294">
        <f t="shared" si="29"/>
        <v>0</v>
      </c>
      <c r="L84" s="2294">
        <v>0</v>
      </c>
      <c r="M84" s="2294">
        <f t="shared" si="30"/>
        <v>0</v>
      </c>
      <c r="N84" s="2294">
        <f t="shared" si="30"/>
        <v>0</v>
      </c>
      <c r="AC84" s="1354"/>
      <c r="AD84" s="1353"/>
      <c r="AJ84" s="1352"/>
      <c r="AN84" s="1353"/>
    </row>
    <row r="85" spans="1:40" ht="24">
      <c r="A85" s="1050" t="s">
        <v>1018</v>
      </c>
      <c r="B85" s="2265">
        <f>估价对象房地状况!G20</f>
        <v>0</v>
      </c>
      <c r="C85" s="1037"/>
      <c r="D85" s="2273">
        <f t="shared" si="26"/>
        <v>0</v>
      </c>
      <c r="E85" s="2301"/>
      <c r="F85" s="2302"/>
      <c r="G85" s="2271"/>
      <c r="H85" s="2316" t="str">
        <f t="shared" si="27"/>
        <v>——</v>
      </c>
      <c r="I85" s="2291">
        <v>0.15</v>
      </c>
      <c r="J85" s="2294">
        <f t="shared" si="28"/>
        <v>0</v>
      </c>
      <c r="K85" s="2294">
        <f t="shared" si="29"/>
        <v>0</v>
      </c>
      <c r="L85" s="2294">
        <v>0</v>
      </c>
      <c r="M85" s="2294">
        <f t="shared" si="30"/>
        <v>0</v>
      </c>
      <c r="N85" s="2294">
        <f t="shared" si="30"/>
        <v>0</v>
      </c>
      <c r="AC85" s="1354"/>
      <c r="AD85" s="1353"/>
      <c r="AJ85" s="1352"/>
      <c r="AN85" s="1353"/>
    </row>
    <row r="86" spans="1:40" ht="24">
      <c r="A86" s="1050" t="s">
        <v>1016</v>
      </c>
      <c r="B86" s="2784" t="s">
        <v>2894</v>
      </c>
      <c r="C86" s="1037"/>
      <c r="D86" s="2273">
        <f t="shared" si="26"/>
        <v>0</v>
      </c>
      <c r="E86" s="2301"/>
      <c r="F86" s="2302"/>
      <c r="G86" s="2271"/>
      <c r="H86" s="2316" t="str">
        <f t="shared" si="27"/>
        <v>——</v>
      </c>
      <c r="I86" s="2291">
        <v>0.05</v>
      </c>
      <c r="J86" s="2294">
        <f t="shared" si="28"/>
        <v>0</v>
      </c>
      <c r="K86" s="2294">
        <f t="shared" si="29"/>
        <v>0</v>
      </c>
      <c r="L86" s="2294">
        <v>0</v>
      </c>
      <c r="M86" s="2294">
        <f t="shared" si="30"/>
        <v>0</v>
      </c>
      <c r="N86" s="2294">
        <f t="shared" si="30"/>
        <v>0</v>
      </c>
      <c r="AC86" s="1354"/>
      <c r="AD86" s="1353"/>
      <c r="AJ86" s="1352"/>
      <c r="AN86" s="1353"/>
    </row>
    <row r="87" spans="1:40" ht="15" thickBot="1">
      <c r="A87" s="2297" t="s">
        <v>1029</v>
      </c>
      <c r="B87" s="2266">
        <f>估价对象房地状况!G18</f>
        <v>0</v>
      </c>
      <c r="C87" s="1037"/>
      <c r="D87" s="2273">
        <f t="shared" si="26"/>
        <v>0</v>
      </c>
      <c r="E87" s="2303"/>
      <c r="F87" s="2302"/>
      <c r="G87" s="2271"/>
      <c r="H87" s="2316" t="str">
        <f t="shared" si="27"/>
        <v>——</v>
      </c>
      <c r="I87" s="2298">
        <v>0.06</v>
      </c>
      <c r="J87" s="2294">
        <f t="shared" si="28"/>
        <v>0</v>
      </c>
      <c r="K87" s="2294">
        <f t="shared" si="29"/>
        <v>0</v>
      </c>
      <c r="L87" s="2294">
        <v>0</v>
      </c>
      <c r="M87" s="2294">
        <f t="shared" si="30"/>
        <v>0</v>
      </c>
      <c r="N87" s="2294">
        <f t="shared" si="30"/>
        <v>0</v>
      </c>
      <c r="AC87" s="1354"/>
      <c r="AD87" s="1353"/>
      <c r="AJ87" s="1352"/>
      <c r="AN87" s="1353"/>
    </row>
    <row r="90" spans="1:40">
      <c r="A90" s="3477" t="s">
        <v>1624</v>
      </c>
      <c r="B90" s="3477"/>
      <c r="C90" s="3477"/>
      <c r="D90" s="3477"/>
      <c r="E90" s="3477"/>
      <c r="F90" s="3477"/>
      <c r="G90" s="3477"/>
      <c r="H90" s="3477"/>
      <c r="I90" s="3477"/>
      <c r="J90" s="3477"/>
      <c r="K90" s="2306"/>
      <c r="L90" s="2306"/>
      <c r="M90" s="2306"/>
      <c r="N90" s="2306"/>
    </row>
    <row r="91" spans="1:40">
      <c r="A91" s="3478" t="s">
        <v>1434</v>
      </c>
      <c r="B91" s="3478" t="s">
        <v>1625</v>
      </c>
      <c r="C91" s="1123" t="s">
        <v>1626</v>
      </c>
      <c r="D91" s="1124"/>
      <c r="E91" s="1124"/>
      <c r="F91" s="1124"/>
      <c r="G91" s="1124"/>
      <c r="H91" s="1124"/>
      <c r="I91" s="1124"/>
      <c r="J91" s="1125"/>
      <c r="K91" s="1117"/>
      <c r="L91" s="1117"/>
      <c r="M91" s="1117"/>
      <c r="N91" s="1117"/>
    </row>
    <row r="92" spans="1:40">
      <c r="A92" s="3478"/>
      <c r="B92" s="3478"/>
      <c r="C92" s="2305" t="s">
        <v>898</v>
      </c>
      <c r="D92" s="2305" t="s">
        <v>876</v>
      </c>
      <c r="E92" s="2305" t="s">
        <v>877</v>
      </c>
      <c r="F92" s="2305" t="s">
        <v>901</v>
      </c>
      <c r="G92" s="2305" t="s">
        <v>879</v>
      </c>
      <c r="H92" s="2305" t="s">
        <v>880</v>
      </c>
      <c r="I92" s="2305" t="s">
        <v>881</v>
      </c>
      <c r="J92" s="2305" t="s">
        <v>882</v>
      </c>
      <c r="K92" s="2305" t="s">
        <v>906</v>
      </c>
      <c r="L92" s="2305" t="s">
        <v>884</v>
      </c>
      <c r="M92" s="2305" t="s">
        <v>885</v>
      </c>
      <c r="N92" s="2305" t="s">
        <v>909</v>
      </c>
    </row>
    <row r="93" spans="1:40">
      <c r="A93" s="3485" t="s">
        <v>2743</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486"/>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486"/>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486"/>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486"/>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486"/>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486"/>
      <c r="B99" s="1126" t="s">
        <v>1627</v>
      </c>
      <c r="C99" s="1128">
        <f>$I$3</f>
        <v>0</v>
      </c>
      <c r="D99" s="1128">
        <f t="shared" ref="D99:N99" si="31">$I$3</f>
        <v>0</v>
      </c>
      <c r="E99" s="1128">
        <f t="shared" si="31"/>
        <v>0</v>
      </c>
      <c r="F99" s="1128">
        <f t="shared" si="31"/>
        <v>0</v>
      </c>
      <c r="G99" s="1128">
        <f t="shared" si="31"/>
        <v>0</v>
      </c>
      <c r="H99" s="1128">
        <f t="shared" si="31"/>
        <v>0</v>
      </c>
      <c r="I99" s="1128">
        <f t="shared" si="31"/>
        <v>0</v>
      </c>
      <c r="J99" s="1128">
        <f t="shared" si="31"/>
        <v>0</v>
      </c>
      <c r="K99" s="1128">
        <f t="shared" si="31"/>
        <v>0</v>
      </c>
      <c r="L99" s="1128">
        <f t="shared" si="31"/>
        <v>0</v>
      </c>
      <c r="M99" s="1128">
        <f t="shared" si="31"/>
        <v>0</v>
      </c>
      <c r="N99" s="1128">
        <f t="shared" si="31"/>
        <v>0</v>
      </c>
    </row>
    <row r="100" spans="1:14">
      <c r="A100" s="3487"/>
      <c r="B100" s="1126">
        <v>7</v>
      </c>
      <c r="C100" s="1129">
        <f>(-0.163*(C99^2)-0.59*C99+7617)*(10^(-4))</f>
        <v>0.76170000000000004</v>
      </c>
      <c r="D100" s="1129">
        <f>(-0.163*(D99^2)-0.59*D99+7617)*(10^(-4))</f>
        <v>0.76170000000000004</v>
      </c>
      <c r="E100" s="1129">
        <f>(-0.161*(E99^2)-7.509*E99+6533)*(10^(-4))</f>
        <v>0.65329999999999999</v>
      </c>
      <c r="F100" s="1129">
        <f>(-0.161*(F99^2)-7.509*F99+6533)*(10^(-4))</f>
        <v>0.65329999999999999</v>
      </c>
      <c r="G100" s="1129">
        <f>(-0.161*(G99^2)-7.509*G99+6533)*(10^(-4))</f>
        <v>0.65329999999999999</v>
      </c>
      <c r="H100" s="1129">
        <f>(-0.161*(H99^2)-7.509*H99+6533)*(10^(-4))</f>
        <v>0.65329999999999999</v>
      </c>
      <c r="I100" s="1129">
        <f>(-0.161*(I99^2)-7.509*I99+6533)*(10^(-4))</f>
        <v>0.65329999999999999</v>
      </c>
      <c r="J100" s="1129">
        <f>(-0.214*(J99^2)-21.991*J99+4665)*(10^(-4))</f>
        <v>0.46650000000000003</v>
      </c>
      <c r="K100" s="1129">
        <f>(-0.214*(K99^2)-21.991*K99+4665)*(10^(-4))</f>
        <v>0.46650000000000003</v>
      </c>
      <c r="L100" s="1129">
        <f>(-0.214*(L99^2)-21.991*L99+4665)*(10^(-4))</f>
        <v>0.46650000000000003</v>
      </c>
      <c r="M100" s="1129">
        <f>(-0.214*(M99^2)-21.991*M99+4665)*(10^(-4))</f>
        <v>0.46650000000000003</v>
      </c>
      <c r="N100" s="1129">
        <f>(-0.214*(N99^2)-21.991*N99+4665)*(10^(-4))</f>
        <v>0.46650000000000003</v>
      </c>
    </row>
    <row r="101" spans="1:14">
      <c r="A101" s="3485" t="s">
        <v>1628</v>
      </c>
      <c r="B101" s="1130" t="s">
        <v>897</v>
      </c>
      <c r="C101" s="1131">
        <f>$G$3</f>
        <v>2</v>
      </c>
      <c r="D101" s="1131">
        <f t="shared" ref="D101:N101" si="32">$G$3</f>
        <v>2</v>
      </c>
      <c r="E101" s="1131">
        <f t="shared" si="32"/>
        <v>2</v>
      </c>
      <c r="F101" s="1131">
        <f t="shared" si="32"/>
        <v>2</v>
      </c>
      <c r="G101" s="1131">
        <f t="shared" si="32"/>
        <v>2</v>
      </c>
      <c r="H101" s="1131">
        <f t="shared" si="32"/>
        <v>2</v>
      </c>
      <c r="I101" s="1131">
        <f t="shared" si="32"/>
        <v>2</v>
      </c>
      <c r="J101" s="1131">
        <f t="shared" si="32"/>
        <v>2</v>
      </c>
      <c r="K101" s="1131">
        <f t="shared" si="32"/>
        <v>2</v>
      </c>
      <c r="L101" s="1131">
        <f t="shared" si="32"/>
        <v>2</v>
      </c>
      <c r="M101" s="1131">
        <f t="shared" si="32"/>
        <v>2</v>
      </c>
      <c r="N101" s="1131">
        <f t="shared" si="32"/>
        <v>2</v>
      </c>
    </row>
    <row r="102" spans="1:14">
      <c r="A102" s="3486"/>
      <c r="B102" s="1126">
        <v>1</v>
      </c>
      <c r="C102" s="1127">
        <f>1.9362/C101</f>
        <v>0.96809999999999996</v>
      </c>
      <c r="D102" s="1127">
        <f>1.9362/D101</f>
        <v>0.96809999999999996</v>
      </c>
      <c r="E102" s="1127">
        <f>1.8629/E101</f>
        <v>0.93145</v>
      </c>
      <c r="F102" s="1127">
        <f>1.8629/F101</f>
        <v>0.93145</v>
      </c>
      <c r="G102" s="1127">
        <f>1.8629/G101</f>
        <v>0.93145</v>
      </c>
      <c r="H102" s="1127">
        <f>1.8629/H101</f>
        <v>0.93145</v>
      </c>
      <c r="I102" s="1127">
        <f>1.8629/I101</f>
        <v>0.93145</v>
      </c>
      <c r="J102" s="1127">
        <f>1.942/J101</f>
        <v>0.97099999999999997</v>
      </c>
      <c r="K102" s="1127">
        <f>1.942/K101</f>
        <v>0.97099999999999997</v>
      </c>
      <c r="L102" s="1127">
        <f>1.942/L101</f>
        <v>0.97099999999999997</v>
      </c>
      <c r="M102" s="1127">
        <f>1.942/M101</f>
        <v>0.97099999999999997</v>
      </c>
      <c r="N102" s="1127">
        <f>1.942/N101</f>
        <v>0.97099999999999997</v>
      </c>
    </row>
    <row r="103" spans="1:14">
      <c r="A103" s="3486"/>
      <c r="B103" s="1126">
        <v>2</v>
      </c>
      <c r="C103" s="1127">
        <f>1.4198/C101</f>
        <v>0.70989999999999998</v>
      </c>
      <c r="D103" s="1127">
        <f>1.4198/D101</f>
        <v>0.70989999999999998</v>
      </c>
      <c r="E103" s="1127">
        <f>1.3372/E101</f>
        <v>0.66859999999999997</v>
      </c>
      <c r="F103" s="1127">
        <f>1.3372/F101</f>
        <v>0.66859999999999997</v>
      </c>
      <c r="G103" s="1127">
        <f>1.3372/G101</f>
        <v>0.66859999999999997</v>
      </c>
      <c r="H103" s="1127">
        <f>1.3372/H101</f>
        <v>0.66859999999999997</v>
      </c>
      <c r="I103" s="1127">
        <f>1.3372/I101</f>
        <v>0.66859999999999997</v>
      </c>
      <c r="J103" s="1127">
        <f>1.2799/J101</f>
        <v>0.63995000000000002</v>
      </c>
      <c r="K103" s="1127">
        <f>1.2799/K101</f>
        <v>0.63995000000000002</v>
      </c>
      <c r="L103" s="1127">
        <f>1.2799/L101</f>
        <v>0.63995000000000002</v>
      </c>
      <c r="M103" s="1127">
        <f>1.2799/M101</f>
        <v>0.63995000000000002</v>
      </c>
      <c r="N103" s="1127">
        <f>1.2799/N101</f>
        <v>0.63995000000000002</v>
      </c>
    </row>
    <row r="104" spans="1:14">
      <c r="A104" s="3486"/>
      <c r="B104" s="1126">
        <v>3</v>
      </c>
      <c r="C104" s="1127">
        <f>1.1594/C101</f>
        <v>0.57969999999999999</v>
      </c>
      <c r="D104" s="1127">
        <f>1.1594/D101</f>
        <v>0.57969999999999999</v>
      </c>
      <c r="E104" s="1127">
        <f>1.0788/E101</f>
        <v>0.53939999999999999</v>
      </c>
      <c r="F104" s="1127">
        <f>1.0788/F101</f>
        <v>0.53939999999999999</v>
      </c>
      <c r="G104" s="1127">
        <f>1.0788/G101</f>
        <v>0.53939999999999999</v>
      </c>
      <c r="H104" s="1127">
        <f>1.0788/H101</f>
        <v>0.53939999999999999</v>
      </c>
      <c r="I104" s="1127">
        <f>1.0788/I101</f>
        <v>0.53939999999999999</v>
      </c>
      <c r="J104" s="1127">
        <f>1.0072/J101</f>
        <v>0.50360000000000005</v>
      </c>
      <c r="K104" s="1127">
        <f>1.0072/K101</f>
        <v>0.50360000000000005</v>
      </c>
      <c r="L104" s="1127">
        <f>1.0072/L101</f>
        <v>0.50360000000000005</v>
      </c>
      <c r="M104" s="1127">
        <f>1.0072/M101</f>
        <v>0.50360000000000005</v>
      </c>
      <c r="N104" s="1127">
        <f>1.0072/N101</f>
        <v>0.50360000000000005</v>
      </c>
    </row>
    <row r="105" spans="1:14">
      <c r="A105" s="3486"/>
      <c r="B105" s="1126">
        <v>4</v>
      </c>
      <c r="C105" s="1127">
        <f>0.9622/C101</f>
        <v>0.48110000000000003</v>
      </c>
      <c r="D105" s="1127">
        <f>0.9622/D101</f>
        <v>0.48110000000000003</v>
      </c>
      <c r="E105" s="1127">
        <f>0.8656/E101</f>
        <v>0.43280000000000002</v>
      </c>
      <c r="F105" s="1127">
        <f>0.8656/F101</f>
        <v>0.43280000000000002</v>
      </c>
      <c r="G105" s="1127">
        <f>0.8656/G101</f>
        <v>0.43280000000000002</v>
      </c>
      <c r="H105" s="1127">
        <f>0.8656/H101</f>
        <v>0.43280000000000002</v>
      </c>
      <c r="I105" s="1127">
        <f>0.8656/I101</f>
        <v>0.43280000000000002</v>
      </c>
      <c r="J105" s="1127">
        <f>0.7525/J101</f>
        <v>0.37624999999999997</v>
      </c>
      <c r="K105" s="1127">
        <f>0.7525/K101</f>
        <v>0.37624999999999997</v>
      </c>
      <c r="L105" s="1127">
        <f>0.7525/L101</f>
        <v>0.37624999999999997</v>
      </c>
      <c r="M105" s="1127">
        <f>0.7525/M101</f>
        <v>0.37624999999999997</v>
      </c>
      <c r="N105" s="1127">
        <f>0.7525/N101</f>
        <v>0.37624999999999997</v>
      </c>
    </row>
    <row r="106" spans="1:14">
      <c r="A106" s="3486"/>
      <c r="B106" s="1126">
        <v>5</v>
      </c>
      <c r="C106" s="1127">
        <f>0.8417/C101</f>
        <v>0.42085</v>
      </c>
      <c r="D106" s="1127">
        <f>0.8417/D101</f>
        <v>0.42085</v>
      </c>
      <c r="E106" s="1127">
        <f>0.7371/E101</f>
        <v>0.36854999999999999</v>
      </c>
      <c r="F106" s="1127">
        <f>0.7371/F101</f>
        <v>0.36854999999999999</v>
      </c>
      <c r="G106" s="1127">
        <f>0.7371/G101</f>
        <v>0.36854999999999999</v>
      </c>
      <c r="H106" s="1127">
        <f>0.7371/H101</f>
        <v>0.36854999999999999</v>
      </c>
      <c r="I106" s="1127">
        <f>0.7371/I101</f>
        <v>0.36854999999999999</v>
      </c>
      <c r="J106" s="1127">
        <f>0.5659/J101</f>
        <v>0.28294999999999998</v>
      </c>
      <c r="K106" s="1127">
        <f>0.5659/K101</f>
        <v>0.28294999999999998</v>
      </c>
      <c r="L106" s="1127">
        <f>0.5659/L101</f>
        <v>0.28294999999999998</v>
      </c>
      <c r="M106" s="1127">
        <f>0.5659/M101</f>
        <v>0.28294999999999998</v>
      </c>
      <c r="N106" s="1127">
        <f>0.5659/N101</f>
        <v>0.28294999999999998</v>
      </c>
    </row>
    <row r="107" spans="1:14">
      <c r="A107" s="3486"/>
      <c r="B107" s="1126">
        <v>6</v>
      </c>
      <c r="C107" s="1127">
        <f>0.7608/C101</f>
        <v>0.38040000000000002</v>
      </c>
      <c r="D107" s="1127">
        <f>0.7608/D101</f>
        <v>0.38040000000000002</v>
      </c>
      <c r="E107" s="1127">
        <f>0.6482/E101</f>
        <v>0.3241</v>
      </c>
      <c r="F107" s="1127">
        <f>0.6482/F101</f>
        <v>0.3241</v>
      </c>
      <c r="G107" s="1127">
        <f>0.6482/G101</f>
        <v>0.3241</v>
      </c>
      <c r="H107" s="1127">
        <f>0.6482/H101</f>
        <v>0.3241</v>
      </c>
      <c r="I107" s="1127">
        <f>0.6482/I101</f>
        <v>0.3241</v>
      </c>
      <c r="J107" s="1127">
        <f>0.4525/J101</f>
        <v>0.22625000000000001</v>
      </c>
      <c r="K107" s="1127">
        <f>0.4525/K101</f>
        <v>0.22625000000000001</v>
      </c>
      <c r="L107" s="1127">
        <f>0.4525/L101</f>
        <v>0.22625000000000001</v>
      </c>
      <c r="M107" s="1127">
        <f>0.4525/M101</f>
        <v>0.22625000000000001</v>
      </c>
      <c r="N107" s="1127">
        <f>0.4525/N101</f>
        <v>0.22625000000000001</v>
      </c>
    </row>
    <row r="108" spans="1:14">
      <c r="A108" s="3486"/>
      <c r="B108" s="3488" t="s">
        <v>1629</v>
      </c>
      <c r="C108" s="1128">
        <f>C99</f>
        <v>0</v>
      </c>
      <c r="D108" s="1128">
        <f t="shared" ref="D108:N108" si="33">D99</f>
        <v>0</v>
      </c>
      <c r="E108" s="1128">
        <f t="shared" si="33"/>
        <v>0</v>
      </c>
      <c r="F108" s="1128">
        <f t="shared" si="33"/>
        <v>0</v>
      </c>
      <c r="G108" s="1128">
        <f t="shared" si="33"/>
        <v>0</v>
      </c>
      <c r="H108" s="1128">
        <f t="shared" si="33"/>
        <v>0</v>
      </c>
      <c r="I108" s="1128">
        <f t="shared" si="33"/>
        <v>0</v>
      </c>
      <c r="J108" s="1128">
        <f t="shared" si="33"/>
        <v>0</v>
      </c>
      <c r="K108" s="1128">
        <f t="shared" si="33"/>
        <v>0</v>
      </c>
      <c r="L108" s="1128">
        <f t="shared" si="33"/>
        <v>0</v>
      </c>
      <c r="M108" s="1128">
        <f t="shared" si="33"/>
        <v>0</v>
      </c>
      <c r="N108" s="1128">
        <f t="shared" si="33"/>
        <v>0</v>
      </c>
    </row>
    <row r="109" spans="1:14">
      <c r="A109" s="3487"/>
      <c r="B109" s="3489"/>
      <c r="C109" s="1129">
        <f>(-0.163*(C108^2)-0.59*C108+7617)*(10^(-4))/C101</f>
        <v>0.38085000000000002</v>
      </c>
      <c r="D109" s="1129">
        <f>(-0.163*(D108^2)-0.59*D108+7617)*(10^(-4))/D101</f>
        <v>0.38085000000000002</v>
      </c>
      <c r="E109" s="1129">
        <f>(-0.161*(E108^2)-7.509*E108+6533)*(10^(-4))/E101</f>
        <v>0.32665</v>
      </c>
      <c r="F109" s="1129">
        <f>(-0.161*(F108^2)-7.509*F108+6533)*(10^(-4))/F101</f>
        <v>0.32665</v>
      </c>
      <c r="G109" s="1129">
        <f>(-0.161*(G108^2)-7.509*G108+6533)*(10^(-4))/G101</f>
        <v>0.32665</v>
      </c>
      <c r="H109" s="1129">
        <f>(-0.161*(H108^2)-7.509*H108+6533)*(10^(-4))/H101</f>
        <v>0.32665</v>
      </c>
      <c r="I109" s="1129">
        <f>(-0.161*(I108^2)-7.509*I108+6533)*(10^(-4))/I101</f>
        <v>0.32665</v>
      </c>
      <c r="J109" s="1129">
        <f>(-0.214*(J108^2)-21.991*J108+4665)*(10^(-4))/J101</f>
        <v>0.23325000000000001</v>
      </c>
      <c r="K109" s="1129">
        <f>(-0.214*(K108^2)-21.991*K108+4665)*(10^(-4))/K101</f>
        <v>0.23325000000000001</v>
      </c>
      <c r="L109" s="1129">
        <f>(-0.214*(L108^2)-21.991*L108+4665)*(10^(-4))/L101</f>
        <v>0.23325000000000001</v>
      </c>
      <c r="M109" s="1129">
        <f>(-0.214*(M108^2)-21.991*M108+4665)*(10^(-4))/M101</f>
        <v>0.23325000000000001</v>
      </c>
      <c r="N109" s="1129">
        <f>(-0.214*(N108^2)-21.991*N108+4665)*(10^(-4))/N101</f>
        <v>0.23325000000000001</v>
      </c>
    </row>
    <row r="110" spans="1:14">
      <c r="A110" s="3471" t="s">
        <v>1630</v>
      </c>
      <c r="B110" s="3471"/>
      <c r="C110" s="3471"/>
      <c r="D110" s="3471"/>
      <c r="E110" s="3471"/>
      <c r="F110" s="3471"/>
      <c r="G110" s="3471"/>
      <c r="H110" s="3471"/>
      <c r="I110" s="3471"/>
      <c r="J110" s="3471"/>
      <c r="K110" s="2304"/>
      <c r="L110" s="2304"/>
      <c r="M110" s="2304"/>
      <c r="N110" s="2304"/>
    </row>
    <row r="112" spans="1:14" ht="12.75" thickBot="1"/>
    <row r="113" spans="1:13" ht="25.5" thickBot="1">
      <c r="A113" s="1003" t="s">
        <v>887</v>
      </c>
      <c r="B113" s="2307">
        <f>G3</f>
        <v>2</v>
      </c>
      <c r="C113" s="1004" t="s">
        <v>888</v>
      </c>
      <c r="D113" s="1005">
        <f>SUMPRODUCT((A115:A118=F113)*(B114:M114=H113)*B115:M118)</f>
        <v>0.74139999999999995</v>
      </c>
      <c r="E113" s="1006" t="s">
        <v>889</v>
      </c>
      <c r="F113" s="1007" t="str">
        <f>E2</f>
        <v>办公</v>
      </c>
      <c r="G113" s="1006" t="s">
        <v>890</v>
      </c>
      <c r="H113" s="1007" t="str">
        <f>G2</f>
        <v>八级</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0.91469999999999996</v>
      </c>
      <c r="C115" s="1017">
        <f>B115</f>
        <v>0.91469999999999996</v>
      </c>
      <c r="D115" s="1017">
        <f>ROUND(0.8331-0.0109*B113,4)</f>
        <v>0.81130000000000002</v>
      </c>
      <c r="E115" s="1017">
        <f>D115</f>
        <v>0.81130000000000002</v>
      </c>
      <c r="F115" s="1017">
        <f>E115</f>
        <v>0.81130000000000002</v>
      </c>
      <c r="G115" s="1017">
        <f>F115</f>
        <v>0.81130000000000002</v>
      </c>
      <c r="H115" s="1017">
        <f>G115</f>
        <v>0.81130000000000002</v>
      </c>
      <c r="I115" s="1017">
        <f>ROUND(0.689-0.0155*B113,4)</f>
        <v>0.65800000000000003</v>
      </c>
      <c r="J115" s="1017">
        <f t="shared" ref="J115:M118" si="34">I115</f>
        <v>0.65800000000000003</v>
      </c>
      <c r="K115" s="1017">
        <f t="shared" si="34"/>
        <v>0.65800000000000003</v>
      </c>
      <c r="L115" s="1017">
        <f t="shared" si="34"/>
        <v>0.65800000000000003</v>
      </c>
      <c r="M115" s="1018">
        <f t="shared" si="34"/>
        <v>0.65800000000000003</v>
      </c>
    </row>
    <row r="116" spans="1:13" ht="12.75">
      <c r="A116" s="1016" t="s">
        <v>892</v>
      </c>
      <c r="B116" s="1017">
        <f>ROUND(0.949-0.012*B113,4)</f>
        <v>0.92500000000000004</v>
      </c>
      <c r="C116" s="1017">
        <f>B116</f>
        <v>0.92500000000000004</v>
      </c>
      <c r="D116" s="1017">
        <f>ROUND(0.8567-0.013*B113,4)</f>
        <v>0.83069999999999999</v>
      </c>
      <c r="E116" s="1017">
        <f t="shared" ref="E116:H117" si="35">D116</f>
        <v>0.83069999999999999</v>
      </c>
      <c r="F116" s="1017">
        <f t="shared" si="35"/>
        <v>0.83069999999999999</v>
      </c>
      <c r="G116" s="1017">
        <f t="shared" si="35"/>
        <v>0.83069999999999999</v>
      </c>
      <c r="H116" s="1017">
        <f t="shared" si="35"/>
        <v>0.83069999999999999</v>
      </c>
      <c r="I116" s="1017">
        <f>ROUND(0.7694-0.014*B113,4)</f>
        <v>0.74139999999999995</v>
      </c>
      <c r="J116" s="1017">
        <f t="shared" si="34"/>
        <v>0.74139999999999995</v>
      </c>
      <c r="K116" s="1017">
        <f t="shared" si="34"/>
        <v>0.74139999999999995</v>
      </c>
      <c r="L116" s="1017">
        <f t="shared" si="34"/>
        <v>0.74139999999999995</v>
      </c>
      <c r="M116" s="1018">
        <f t="shared" si="34"/>
        <v>0.74139999999999995</v>
      </c>
    </row>
    <row r="117" spans="1:13" ht="12.75">
      <c r="A117" s="1019" t="s">
        <v>893</v>
      </c>
      <c r="B117" s="1017">
        <f>ROUND(0.8808-0.006*B113,4)</f>
        <v>0.86880000000000002</v>
      </c>
      <c r="C117" s="1017">
        <f>B117</f>
        <v>0.86880000000000002</v>
      </c>
      <c r="D117" s="1017">
        <f>ROUND(0.8748-0.008*B113,4)</f>
        <v>0.85880000000000001</v>
      </c>
      <c r="E117" s="1017">
        <f t="shared" si="35"/>
        <v>0.85880000000000001</v>
      </c>
      <c r="F117" s="1017">
        <f t="shared" si="35"/>
        <v>0.85880000000000001</v>
      </c>
      <c r="G117" s="1017">
        <f t="shared" si="35"/>
        <v>0.85880000000000001</v>
      </c>
      <c r="H117" s="1017">
        <f t="shared" si="35"/>
        <v>0.85880000000000001</v>
      </c>
      <c r="I117" s="1017">
        <f>ROUND(0.7412-0.0095*B113,4)</f>
        <v>0.72219999999999995</v>
      </c>
      <c r="J117" s="1017">
        <f t="shared" si="34"/>
        <v>0.72219999999999995</v>
      </c>
      <c r="K117" s="1017">
        <f t="shared" si="34"/>
        <v>0.72219999999999995</v>
      </c>
      <c r="L117" s="1017">
        <f t="shared" si="34"/>
        <v>0.72219999999999995</v>
      </c>
      <c r="M117" s="1018">
        <f t="shared" si="34"/>
        <v>0.72219999999999995</v>
      </c>
    </row>
    <row r="118" spans="1:13" ht="13.5" thickBot="1">
      <c r="A118" s="1020" t="s">
        <v>894</v>
      </c>
      <c r="B118" s="1021">
        <f>ROUND(0.7275-0.01*B113,4)</f>
        <v>0.70750000000000002</v>
      </c>
      <c r="C118" s="1021">
        <f>B118</f>
        <v>0.70750000000000002</v>
      </c>
      <c r="D118" s="1021">
        <f>ROUND(0.7043-0.012*B113,4)</f>
        <v>0.68030000000000002</v>
      </c>
      <c r="E118" s="1021">
        <f>D118</f>
        <v>0.68030000000000002</v>
      </c>
      <c r="F118" s="1021">
        <f>E118</f>
        <v>0.68030000000000002</v>
      </c>
      <c r="G118" s="1021">
        <f>ROUND(0.6299-0.0122*B113,4)</f>
        <v>0.60550000000000004</v>
      </c>
      <c r="H118" s="1021">
        <f>G118</f>
        <v>0.60550000000000004</v>
      </c>
      <c r="I118" s="1021">
        <f>ROUND(0.5667-0.0136*B113,4)</f>
        <v>0.53949999999999998</v>
      </c>
      <c r="J118" s="1021">
        <f t="shared" si="34"/>
        <v>0.53949999999999998</v>
      </c>
      <c r="K118" s="1021">
        <f t="shared" si="34"/>
        <v>0.53949999999999998</v>
      </c>
      <c r="L118" s="1021">
        <f t="shared" si="34"/>
        <v>0.53949999999999998</v>
      </c>
      <c r="M118" s="1022">
        <f t="shared" si="34"/>
        <v>0.53949999999999998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2" zoomScale="85" zoomScaleNormal="95" zoomScaleSheetLayoutView="85" workbookViewId="0">
      <selection activeCell="F58" sqref="F58"/>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4" width="12.25" style="1291" customWidth="1"/>
    <col min="15" max="15" width="8.375" style="1291" customWidth="1"/>
    <col min="16" max="16" width="8.8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0"/>
      <c r="M1" s="3211"/>
      <c r="N1" s="3211"/>
      <c r="O1" s="3211"/>
      <c r="P1" s="2015"/>
      <c r="Q1" s="2015"/>
      <c r="R1" s="2015"/>
      <c r="S1" s="2015"/>
      <c r="T1" s="2015"/>
      <c r="U1" s="2015"/>
      <c r="V1" s="2015"/>
      <c r="W1" s="2015"/>
      <c r="X1" s="2015"/>
      <c r="Y1" s="2015"/>
      <c r="Z1" s="2015"/>
      <c r="AA1" s="2015"/>
      <c r="AB1" s="2015"/>
      <c r="AC1" s="3212"/>
      <c r="AD1" s="1289"/>
    </row>
    <row r="2" spans="1:30" s="1290" customFormat="1" ht="28.5" customHeight="1">
      <c r="A2" s="417" t="s">
        <v>461</v>
      </c>
      <c r="B2" s="502">
        <f>F68</f>
        <v>27866</v>
      </c>
      <c r="C2" s="3220"/>
      <c r="D2" s="3220"/>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c r="AD2" s="1289"/>
    </row>
    <row r="3" spans="1:30" s="1290" customFormat="1" ht="28.5" customHeight="1">
      <c r="A3" s="1331" t="s">
        <v>1675</v>
      </c>
      <c r="B3" s="504">
        <f>ROUND(B2*10000/'数据-汇总表'!E3,0)</f>
        <v>10602</v>
      </c>
      <c r="C3" s="3221"/>
      <c r="D3" s="3225"/>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3213"/>
      <c r="AC3" s="1945"/>
    </row>
    <row r="4" spans="1:30" s="1290" customFormat="1" ht="28.5" customHeight="1">
      <c r="A4" s="505" t="s">
        <v>514</v>
      </c>
      <c r="B4" s="421">
        <f>IF(B48="单位面积地价",C50,ROUND(B2*10000/'数据-汇总表'!D3,0))</f>
        <v>21204</v>
      </c>
      <c r="C4" s="3221"/>
      <c r="D4" s="3225"/>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1414</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2015"/>
      <c r="AC5" s="1945"/>
    </row>
    <row r="6" spans="1:30" ht="20.25">
      <c r="A6" s="506" t="s">
        <v>515</v>
      </c>
      <c r="B6" s="507"/>
      <c r="C6" s="3514" t="s">
        <v>516</v>
      </c>
      <c r="D6" s="3515"/>
      <c r="E6" s="3514" t="s">
        <v>517</v>
      </c>
      <c r="F6" s="3515"/>
      <c r="G6" s="3514" t="s">
        <v>518</v>
      </c>
      <c r="H6" s="3515"/>
      <c r="I6" s="3514" t="s">
        <v>519</v>
      </c>
      <c r="J6" s="3515"/>
      <c r="K6" s="508" t="s">
        <v>520</v>
      </c>
      <c r="L6" s="2016"/>
      <c r="M6" s="2015"/>
      <c r="N6" s="2015"/>
      <c r="O6" s="2017"/>
      <c r="P6" s="3516" t="s">
        <v>521</v>
      </c>
      <c r="Q6" s="3517"/>
      <c r="R6" s="3502" t="s">
        <v>517</v>
      </c>
      <c r="S6" s="3503"/>
      <c r="T6" s="3502" t="s">
        <v>518</v>
      </c>
      <c r="U6" s="3503"/>
      <c r="V6" s="3522" t="s">
        <v>519</v>
      </c>
      <c r="W6" s="3522"/>
      <c r="X6" s="1502"/>
      <c r="Y6" s="3502" t="s">
        <v>521</v>
      </c>
      <c r="Z6" s="3503"/>
      <c r="AA6" s="3497" t="s">
        <v>517</v>
      </c>
      <c r="AB6" s="3498" t="s">
        <v>518</v>
      </c>
      <c r="AC6" s="3497" t="s">
        <v>519</v>
      </c>
    </row>
    <row r="7" spans="1:30" ht="45" customHeight="1">
      <c r="A7" s="509"/>
      <c r="B7" s="510"/>
      <c r="C7" s="3527" t="s">
        <v>2887</v>
      </c>
      <c r="D7" s="3526"/>
      <c r="E7" s="3525" t="s">
        <v>3089</v>
      </c>
      <c r="F7" s="3526"/>
      <c r="G7" s="3525" t="s">
        <v>3046</v>
      </c>
      <c r="H7" s="3526"/>
      <c r="I7" s="3525" t="s">
        <v>3088</v>
      </c>
      <c r="J7" s="3526"/>
      <c r="K7" s="508"/>
      <c r="L7" s="2016"/>
      <c r="M7" s="2015"/>
      <c r="N7" s="2015"/>
      <c r="O7" s="2017"/>
      <c r="P7" s="3518"/>
      <c r="Q7" s="3519"/>
      <c r="R7" s="3504"/>
      <c r="S7" s="3505"/>
      <c r="T7" s="3504"/>
      <c r="U7" s="3505"/>
      <c r="V7" s="3522"/>
      <c r="W7" s="3522"/>
      <c r="X7" s="1502"/>
      <c r="Y7" s="3504"/>
      <c r="Z7" s="3505"/>
      <c r="AA7" s="3498"/>
      <c r="AB7" s="3498"/>
      <c r="AC7" s="3498"/>
    </row>
    <row r="8" spans="1:30" ht="21" thickBot="1">
      <c r="A8" s="509"/>
      <c r="B8" s="510"/>
      <c r="C8" s="3528" t="s">
        <v>3021</v>
      </c>
      <c r="D8" s="3529"/>
      <c r="E8" s="3528" t="s">
        <v>3021</v>
      </c>
      <c r="F8" s="3529"/>
      <c r="G8" s="3523" t="s">
        <v>3047</v>
      </c>
      <c r="H8" s="3524"/>
      <c r="I8" s="3523" t="s">
        <v>3090</v>
      </c>
      <c r="J8" s="3524"/>
      <c r="K8" s="508" t="s">
        <v>522</v>
      </c>
      <c r="L8" s="2016"/>
      <c r="M8" s="2015"/>
      <c r="N8" s="2015"/>
      <c r="O8" s="2017"/>
      <c r="P8" s="3520"/>
      <c r="Q8" s="3521"/>
      <c r="R8" s="3504"/>
      <c r="S8" s="3505"/>
      <c r="T8" s="3506"/>
      <c r="U8" s="3507"/>
      <c r="V8" s="3522"/>
      <c r="W8" s="3522"/>
      <c r="X8" s="1502"/>
      <c r="Y8" s="3506"/>
      <c r="Z8" s="3507"/>
      <c r="AA8" s="3499"/>
      <c r="AB8" s="3499"/>
      <c r="AC8" s="3499"/>
    </row>
    <row r="9" spans="1:30" s="1203" customFormat="1" ht="21" thickBot="1">
      <c r="A9" s="2630"/>
      <c r="B9" s="2637" t="s">
        <v>523</v>
      </c>
      <c r="C9" s="2629">
        <f>'数据-取费表'!B2</f>
        <v>44329</v>
      </c>
      <c r="D9" s="514">
        <v>100</v>
      </c>
      <c r="E9" s="515">
        <v>42860</v>
      </c>
      <c r="F9" s="516">
        <f>SUMIF(72:72,YEAR(E9)&amp;"-"&amp;INT((MONTH(E9)+2)/3),73:73)</f>
        <v>92</v>
      </c>
      <c r="G9" s="517">
        <v>43923</v>
      </c>
      <c r="H9" s="514">
        <f>SUMIF(72:72,YEAR(G9)&amp;"-"&amp;INT((MONTH(G9)+2)/3),73:73)</f>
        <v>98</v>
      </c>
      <c r="I9" s="517">
        <v>43755</v>
      </c>
      <c r="J9" s="514">
        <f>SUMIF(72:72,YEAR(I9)&amp;"-"&amp;INT((MONTH(I9)+2)/3),73:73)</f>
        <v>97</v>
      </c>
      <c r="K9" s="518"/>
      <c r="L9" s="2018"/>
      <c r="M9" s="2015"/>
      <c r="N9" s="2015"/>
      <c r="O9" s="2019"/>
      <c r="P9" s="3500" t="s">
        <v>524</v>
      </c>
      <c r="Q9" s="3509"/>
      <c r="R9" s="1503" t="s">
        <v>8</v>
      </c>
      <c r="S9" s="1504">
        <f t="shared" ref="S9:S17" si="0">F9</f>
        <v>92</v>
      </c>
      <c r="T9" s="1503" t="s">
        <v>8</v>
      </c>
      <c r="U9" s="1504">
        <f t="shared" ref="U9:U17" si="1">H9</f>
        <v>98</v>
      </c>
      <c r="V9" s="1503" t="s">
        <v>8</v>
      </c>
      <c r="W9" s="1504">
        <f t="shared" ref="W9:W17" si="2">J9</f>
        <v>97</v>
      </c>
      <c r="X9" s="1505"/>
      <c r="Y9" s="3500" t="s">
        <v>524</v>
      </c>
      <c r="Z9" s="3501"/>
      <c r="AA9" s="1506">
        <f>D9/F9</f>
        <v>1.0869565217391304</v>
      </c>
      <c r="AB9" s="1506">
        <f>D9/H9</f>
        <v>1.0204081632653061</v>
      </c>
      <c r="AC9" s="1506">
        <f>D9/J9</f>
        <v>1.0309278350515463</v>
      </c>
    </row>
    <row r="10" spans="1:30" s="1203" customFormat="1" ht="21" thickBot="1">
      <c r="A10" s="2631"/>
      <c r="B10" s="2638" t="s">
        <v>525</v>
      </c>
      <c r="C10" s="845" t="s">
        <v>526</v>
      </c>
      <c r="D10" s="514">
        <v>100</v>
      </c>
      <c r="E10" s="519" t="s">
        <v>3024</v>
      </c>
      <c r="F10" s="516">
        <f>SUMIF(75:75,E10,76:76)-SUMIF(75:75,C10,76:76)+100</f>
        <v>100</v>
      </c>
      <c r="G10" s="519" t="s">
        <v>3024</v>
      </c>
      <c r="H10" s="514">
        <f>SUMIF(75:75,G10,76:76)-SUMIF(75:75,C10,76:76)+100</f>
        <v>100</v>
      </c>
      <c r="I10" s="519" t="s">
        <v>3024</v>
      </c>
      <c r="J10" s="514">
        <f>SUMIF(75:75,I10,76:76)-SUMIF(75:75,C10,76:76)+100</f>
        <v>100</v>
      </c>
      <c r="K10" s="518"/>
      <c r="L10" s="2018"/>
      <c r="M10" s="2015"/>
      <c r="N10" s="2015"/>
      <c r="O10" s="2019"/>
      <c r="P10" s="3500" t="s">
        <v>527</v>
      </c>
      <c r="Q10" s="3501"/>
      <c r="R10" s="1503" t="s">
        <v>8</v>
      </c>
      <c r="S10" s="1504">
        <f t="shared" si="0"/>
        <v>100</v>
      </c>
      <c r="T10" s="1503" t="s">
        <v>8</v>
      </c>
      <c r="U10" s="1504">
        <f t="shared" si="1"/>
        <v>100</v>
      </c>
      <c r="V10" s="1503" t="s">
        <v>8</v>
      </c>
      <c r="W10" s="1504">
        <f t="shared" si="2"/>
        <v>100</v>
      </c>
      <c r="X10" s="1505"/>
      <c r="Y10" s="3500" t="s">
        <v>527</v>
      </c>
      <c r="Z10" s="3501"/>
      <c r="AA10" s="1506">
        <f t="shared" ref="AA10:AA47" si="3">D10/F10</f>
        <v>1</v>
      </c>
      <c r="AB10" s="1506">
        <f t="shared" ref="AB10:AB47" si="4">D10/H10</f>
        <v>1</v>
      </c>
      <c r="AC10" s="1506">
        <f t="shared" ref="AC10:AC47" si="5">D10/J10</f>
        <v>1</v>
      </c>
    </row>
    <row r="11" spans="1:30" s="1203" customFormat="1" ht="27.75">
      <c r="A11" s="2632"/>
      <c r="B11" s="2639" t="s">
        <v>2736</v>
      </c>
      <c r="C11" s="2626" t="s">
        <v>3022</v>
      </c>
      <c r="D11" s="252">
        <v>100</v>
      </c>
      <c r="E11" s="520" t="s">
        <v>3030</v>
      </c>
      <c r="F11" s="252">
        <f>SUMIF(77:77,E11,78:78)-SUMIF(77:77,C11,78:78)+100</f>
        <v>100</v>
      </c>
      <c r="G11" s="520" t="s">
        <v>3048</v>
      </c>
      <c r="H11" s="252">
        <f>SUMIF(77:77,G11,78:78)-SUMIF(77:77,C11,78:78)+100</f>
        <v>100</v>
      </c>
      <c r="I11" s="520" t="s">
        <v>3030</v>
      </c>
      <c r="J11" s="252">
        <f>SUMIF(77:77,I11,78:78)-SUMIF(77:77,C11,78:78)+100</f>
        <v>100</v>
      </c>
      <c r="K11" s="518"/>
      <c r="L11" s="2018"/>
      <c r="M11" s="2015"/>
      <c r="N11" s="2015"/>
      <c r="O11" s="2020"/>
      <c r="P11" s="3508" t="s">
        <v>529</v>
      </c>
      <c r="Q11" s="1134" t="str">
        <f t="shared" ref="Q11:Q17" si="6">B11</f>
        <v>用途</v>
      </c>
      <c r="R11" s="1503" t="s">
        <v>8</v>
      </c>
      <c r="S11" s="1504">
        <f t="shared" si="0"/>
        <v>100</v>
      </c>
      <c r="T11" s="1503" t="s">
        <v>8</v>
      </c>
      <c r="U11" s="1504">
        <f t="shared" si="1"/>
        <v>100</v>
      </c>
      <c r="V11" s="1503" t="s">
        <v>8</v>
      </c>
      <c r="W11" s="1504">
        <f t="shared" si="2"/>
        <v>100</v>
      </c>
      <c r="X11" s="1505"/>
      <c r="Y11" s="3438" t="s">
        <v>530</v>
      </c>
      <c r="Z11" s="1133" t="str">
        <f t="shared" ref="Z11:Z17" si="7">Q11</f>
        <v>用途</v>
      </c>
      <c r="AA11" s="1506">
        <f t="shared" si="3"/>
        <v>1</v>
      </c>
      <c r="AB11" s="1506">
        <f t="shared" si="4"/>
        <v>1</v>
      </c>
      <c r="AC11" s="1506">
        <f t="shared" si="5"/>
        <v>1</v>
      </c>
    </row>
    <row r="12" spans="1:30" s="1292" customFormat="1" ht="27">
      <c r="A12" s="2633"/>
      <c r="B12" s="2638" t="s">
        <v>2737</v>
      </c>
      <c r="C12" s="899">
        <f>项目基本情况!F19</f>
        <v>28.48</v>
      </c>
      <c r="D12" s="253">
        <v>100</v>
      </c>
      <c r="E12" s="523" t="s">
        <v>3031</v>
      </c>
      <c r="F12" s="253">
        <f>ROUND(100/'数据-取费表'!G16,0)</f>
        <v>122</v>
      </c>
      <c r="G12" s="523" t="s">
        <v>3031</v>
      </c>
      <c r="H12" s="253">
        <f>ROUND(100/'数据-取费表'!G16,0)</f>
        <v>122</v>
      </c>
      <c r="I12" s="523" t="s">
        <v>3031</v>
      </c>
      <c r="J12" s="253">
        <f>ROUND(100/'数据-取费表'!G16,0)</f>
        <v>122</v>
      </c>
      <c r="K12" s="525"/>
      <c r="L12" s="2021"/>
      <c r="M12" s="2015"/>
      <c r="N12" s="2015"/>
      <c r="O12" s="2022"/>
      <c r="P12" s="3508"/>
      <c r="Q12" s="1134" t="str">
        <f t="shared" si="6"/>
        <v>土地使用年限（年）</v>
      </c>
      <c r="R12" s="1503" t="s">
        <v>8</v>
      </c>
      <c r="S12" s="1504">
        <f t="shared" si="0"/>
        <v>122</v>
      </c>
      <c r="T12" s="1503" t="s">
        <v>8</v>
      </c>
      <c r="U12" s="1504">
        <f t="shared" si="1"/>
        <v>122</v>
      </c>
      <c r="V12" s="1503" t="s">
        <v>8</v>
      </c>
      <c r="W12" s="1504">
        <f t="shared" si="2"/>
        <v>122</v>
      </c>
      <c r="X12" s="1505"/>
      <c r="Y12" s="3438"/>
      <c r="Z12" s="1133" t="str">
        <f t="shared" si="7"/>
        <v>土地使用年限（年）</v>
      </c>
      <c r="AA12" s="1506">
        <f t="shared" si="3"/>
        <v>0.81967213114754101</v>
      </c>
      <c r="AB12" s="1506">
        <f t="shared" si="4"/>
        <v>0.81967213114754101</v>
      </c>
      <c r="AC12" s="1506">
        <f t="shared" si="5"/>
        <v>0.81967213114754101</v>
      </c>
    </row>
    <row r="13" spans="1:30" ht="20.25">
      <c r="A13" s="2634"/>
      <c r="B13" s="2638" t="s">
        <v>2738</v>
      </c>
      <c r="C13" s="528">
        <v>2</v>
      </c>
      <c r="D13" s="253">
        <v>100</v>
      </c>
      <c r="E13" s="527">
        <v>1.5</v>
      </c>
      <c r="F13" s="253">
        <f>LOOKUP(E13,82:82,83:83)-LOOKUP(C13,82:82,83:83)+100</f>
        <v>104</v>
      </c>
      <c r="G13" s="528">
        <v>3</v>
      </c>
      <c r="H13" s="253">
        <f>LOOKUP(G13,82:82,83:83)-LOOKUP(C13,82:82,83:83)+100</f>
        <v>92</v>
      </c>
      <c r="I13" s="527">
        <v>2.5</v>
      </c>
      <c r="J13" s="253">
        <f>LOOKUP(I13,82:82,83:83)-LOOKUP(C13,82:82,83:83)+100</f>
        <v>96</v>
      </c>
      <c r="K13" s="529">
        <v>4</v>
      </c>
      <c r="L13" s="2023"/>
      <c r="M13" s="2015"/>
      <c r="N13" s="2015"/>
      <c r="O13" s="2024"/>
      <c r="P13" s="3508"/>
      <c r="Q13" s="1134" t="str">
        <f t="shared" si="6"/>
        <v>容积率</v>
      </c>
      <c r="R13" s="1503" t="s">
        <v>8</v>
      </c>
      <c r="S13" s="1504">
        <f t="shared" si="0"/>
        <v>104</v>
      </c>
      <c r="T13" s="1503" t="s">
        <v>8</v>
      </c>
      <c r="U13" s="1504">
        <f t="shared" si="1"/>
        <v>92</v>
      </c>
      <c r="V13" s="1503" t="s">
        <v>8</v>
      </c>
      <c r="W13" s="1504">
        <f t="shared" si="2"/>
        <v>96</v>
      </c>
      <c r="X13" s="1505"/>
      <c r="Y13" s="3438"/>
      <c r="Z13" s="1133" t="str">
        <f t="shared" si="7"/>
        <v>容积率</v>
      </c>
      <c r="AA13" s="1506">
        <f t="shared" si="3"/>
        <v>0.96153846153846156</v>
      </c>
      <c r="AB13" s="1506">
        <f t="shared" si="4"/>
        <v>1.0869565217391304</v>
      </c>
      <c r="AC13" s="1506">
        <f t="shared" si="5"/>
        <v>1.0416666666666667</v>
      </c>
    </row>
    <row r="14" spans="1:30" s="1203" customFormat="1" ht="20.25">
      <c r="A14" s="2631"/>
      <c r="B14" s="2640" t="s">
        <v>2739</v>
      </c>
      <c r="C14" s="2627" t="s">
        <v>3025</v>
      </c>
      <c r="D14" s="532">
        <v>100</v>
      </c>
      <c r="E14" s="1326" t="s">
        <v>3026</v>
      </c>
      <c r="F14" s="253">
        <f>SUMIF(84:84,E14,85:85)-SUMIF(84:84,C14,85:85)+100</f>
        <v>95</v>
      </c>
      <c r="G14" s="524" t="s">
        <v>3053</v>
      </c>
      <c r="H14" s="253">
        <f>SUMIF(84:84,G14,85:85)-SUMIF(84:84,C14,85:85)+100</f>
        <v>90</v>
      </c>
      <c r="I14" s="524" t="s">
        <v>3058</v>
      </c>
      <c r="J14" s="253">
        <f>SUMIF(84:84,I14,85:85)-SUMIF(84:84,C14,85:85)+100</f>
        <v>85</v>
      </c>
      <c r="K14" s="525"/>
      <c r="L14" s="2018"/>
      <c r="M14" s="2015"/>
      <c r="N14" s="2015"/>
      <c r="O14" s="2020"/>
      <c r="P14" s="3508"/>
      <c r="Q14" s="1134" t="str">
        <f t="shared" si="6"/>
        <v>配建</v>
      </c>
      <c r="R14" s="1503" t="s">
        <v>8</v>
      </c>
      <c r="S14" s="1504">
        <f t="shared" si="0"/>
        <v>95</v>
      </c>
      <c r="T14" s="1503" t="s">
        <v>8</v>
      </c>
      <c r="U14" s="1504">
        <f t="shared" si="1"/>
        <v>90</v>
      </c>
      <c r="V14" s="1503" t="s">
        <v>8</v>
      </c>
      <c r="W14" s="1504">
        <f t="shared" si="2"/>
        <v>85</v>
      </c>
      <c r="X14" s="1505"/>
      <c r="Y14" s="3438"/>
      <c r="Z14" s="1133" t="str">
        <f t="shared" si="7"/>
        <v>配建</v>
      </c>
      <c r="AA14" s="1506">
        <f>D14/F14</f>
        <v>1.0526315789473684</v>
      </c>
      <c r="AB14" s="1506">
        <f>D14/H14</f>
        <v>1.1111111111111112</v>
      </c>
      <c r="AC14" s="1506">
        <f>D14/J14</f>
        <v>1.1764705882352942</v>
      </c>
    </row>
    <row r="15" spans="1:30" ht="20.25" hidden="1">
      <c r="A15" s="2635"/>
      <c r="B15" s="2641">
        <v>111</v>
      </c>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508"/>
      <c r="Q15" s="1134">
        <f t="shared" si="6"/>
        <v>111</v>
      </c>
      <c r="R15" s="1503" t="s">
        <v>8</v>
      </c>
      <c r="S15" s="1504">
        <f t="shared" si="0"/>
        <v>100</v>
      </c>
      <c r="T15" s="1503" t="s">
        <v>8</v>
      </c>
      <c r="U15" s="1504">
        <f t="shared" si="1"/>
        <v>100</v>
      </c>
      <c r="V15" s="1503" t="s">
        <v>8</v>
      </c>
      <c r="W15" s="1504">
        <f t="shared" si="2"/>
        <v>100</v>
      </c>
      <c r="X15" s="1505"/>
      <c r="Y15" s="3438"/>
      <c r="Z15" s="1133">
        <f t="shared" si="7"/>
        <v>111</v>
      </c>
      <c r="AA15" s="1506">
        <f>D15/F15</f>
        <v>1</v>
      </c>
      <c r="AB15" s="1506">
        <f>D15/H15</f>
        <v>1</v>
      </c>
      <c r="AC15" s="1506">
        <f>D15/J15</f>
        <v>1</v>
      </c>
    </row>
    <row r="16" spans="1:30" ht="21" hidden="1" thickBot="1">
      <c r="A16" s="2636"/>
      <c r="B16" s="2642">
        <v>111</v>
      </c>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508"/>
      <c r="Q16" s="1134">
        <f t="shared" si="6"/>
        <v>111</v>
      </c>
      <c r="R16" s="1503" t="s">
        <v>8</v>
      </c>
      <c r="S16" s="1504">
        <f t="shared" si="0"/>
        <v>100</v>
      </c>
      <c r="T16" s="1503" t="s">
        <v>8</v>
      </c>
      <c r="U16" s="1504">
        <f t="shared" si="1"/>
        <v>100</v>
      </c>
      <c r="V16" s="1503" t="s">
        <v>8</v>
      </c>
      <c r="W16" s="1504">
        <f t="shared" si="2"/>
        <v>100</v>
      </c>
      <c r="X16" s="1505"/>
      <c r="Y16" s="3438"/>
      <c r="Z16" s="1133">
        <f t="shared" si="7"/>
        <v>111</v>
      </c>
      <c r="AA16" s="1506">
        <f>D16/F16</f>
        <v>1</v>
      </c>
      <c r="AB16" s="1506">
        <f>D16/H16</f>
        <v>1</v>
      </c>
      <c r="AC16" s="1506">
        <f>D16/J16</f>
        <v>1</v>
      </c>
    </row>
    <row r="17" spans="1:29" ht="20.25" hidden="1">
      <c r="A17" s="2628" t="s">
        <v>2734</v>
      </c>
      <c r="B17" s="572" t="s">
        <v>295</v>
      </c>
      <c r="C17" s="542">
        <f>估价对象房地状况!C15</f>
        <v>0</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510" t="s">
        <v>534</v>
      </c>
      <c r="Q17" s="1507" t="str">
        <f t="shared" si="6"/>
        <v>居住社区成熟度</v>
      </c>
      <c r="R17" s="1508" t="s">
        <v>8</v>
      </c>
      <c r="S17" s="1509">
        <f t="shared" si="0"/>
        <v>100</v>
      </c>
      <c r="T17" s="1508" t="s">
        <v>8</v>
      </c>
      <c r="U17" s="1509">
        <f t="shared" si="1"/>
        <v>100</v>
      </c>
      <c r="V17" s="1508" t="s">
        <v>8</v>
      </c>
      <c r="W17" s="1509">
        <f t="shared" si="2"/>
        <v>100</v>
      </c>
      <c r="X17" s="1502"/>
      <c r="Y17" s="3510" t="s">
        <v>534</v>
      </c>
      <c r="Z17" s="1510" t="str">
        <f t="shared" si="7"/>
        <v>居住社区成熟度</v>
      </c>
      <c r="AA17" s="1511">
        <f t="shared" si="3"/>
        <v>1</v>
      </c>
      <c r="AB17" s="1511">
        <f t="shared" si="4"/>
        <v>1</v>
      </c>
      <c r="AC17" s="1511">
        <f t="shared" si="5"/>
        <v>1</v>
      </c>
    </row>
    <row r="18" spans="1:29" ht="20.25" hidden="1">
      <c r="A18" s="526"/>
      <c r="B18" s="547"/>
      <c r="C18" s="548"/>
      <c r="D18" s="551"/>
      <c r="E18" s="552"/>
      <c r="F18" s="549"/>
      <c r="G18" s="550"/>
      <c r="H18" s="553"/>
      <c r="I18" s="552"/>
      <c r="J18" s="549"/>
      <c r="K18" s="525"/>
      <c r="L18" s="2025"/>
      <c r="M18" s="2015"/>
      <c r="N18" s="2015"/>
      <c r="O18" s="2024"/>
      <c r="P18" s="3511"/>
      <c r="Q18" s="1507"/>
      <c r="R18" s="1508"/>
      <c r="S18" s="1509"/>
      <c r="T18" s="1508"/>
      <c r="U18" s="1509"/>
      <c r="V18" s="1508"/>
      <c r="W18" s="1509"/>
      <c r="X18" s="1502"/>
      <c r="Y18" s="3511"/>
      <c r="Z18" s="1510"/>
      <c r="AA18" s="1511">
        <v>1</v>
      </c>
      <c r="AB18" s="1511">
        <v>1</v>
      </c>
      <c r="AC18" s="1511">
        <v>1</v>
      </c>
    </row>
    <row r="19" spans="1:29" ht="20.25">
      <c r="A19" s="526"/>
      <c r="B19" s="554" t="s">
        <v>535</v>
      </c>
      <c r="C19" s="555">
        <f>估价对象房地状况!C16</f>
        <v>0</v>
      </c>
      <c r="D19" s="557">
        <v>100</v>
      </c>
      <c r="E19" s="558"/>
      <c r="F19" s="553">
        <f>SUMIF(92:92,E20,93:93)-SUMIF(92:92,C20,93:93)+100</f>
        <v>100</v>
      </c>
      <c r="G19" s="556"/>
      <c r="H19" s="559">
        <f>SUMIF(92:92,G20,93:93)-SUMIF(92:92,C20,93:93)+100</f>
        <v>105</v>
      </c>
      <c r="I19" s="558"/>
      <c r="J19" s="559">
        <f>SUMIF(92:92,I20,93:93)-SUMIF(92:92,C20,93:93)+100</f>
        <v>105</v>
      </c>
      <c r="K19" s="529">
        <v>5</v>
      </c>
      <c r="L19" s="2025"/>
      <c r="M19" s="2015"/>
      <c r="N19" s="2015"/>
      <c r="O19" s="2024"/>
      <c r="P19" s="3511"/>
      <c r="Q19" s="1507" t="str">
        <f>B19</f>
        <v>商业繁华度</v>
      </c>
      <c r="R19" s="1508" t="s">
        <v>8</v>
      </c>
      <c r="S19" s="1509">
        <f>F19</f>
        <v>100</v>
      </c>
      <c r="T19" s="1508" t="s">
        <v>8</v>
      </c>
      <c r="U19" s="1509">
        <f>H19</f>
        <v>105</v>
      </c>
      <c r="V19" s="1508" t="s">
        <v>8</v>
      </c>
      <c r="W19" s="1509">
        <f>J19</f>
        <v>105</v>
      </c>
      <c r="X19" s="1502"/>
      <c r="Y19" s="3511"/>
      <c r="Z19" s="1510" t="str">
        <f>Q19</f>
        <v>商业繁华度</v>
      </c>
      <c r="AA19" s="1511">
        <f t="shared" si="3"/>
        <v>1</v>
      </c>
      <c r="AB19" s="1511">
        <f t="shared" si="4"/>
        <v>0.95238095238095233</v>
      </c>
      <c r="AC19" s="1511">
        <f t="shared" si="5"/>
        <v>0.95238095238095233</v>
      </c>
    </row>
    <row r="20" spans="1:29" ht="20.25">
      <c r="A20" s="526"/>
      <c r="B20" s="560"/>
      <c r="C20" s="561" t="s">
        <v>3020</v>
      </c>
      <c r="D20" s="557"/>
      <c r="E20" s="563" t="s">
        <v>3020</v>
      </c>
      <c r="F20" s="553"/>
      <c r="G20" s="563" t="s">
        <v>3018</v>
      </c>
      <c r="H20" s="549"/>
      <c r="I20" s="563" t="s">
        <v>3018</v>
      </c>
      <c r="J20" s="549"/>
      <c r="K20" s="525"/>
      <c r="L20" s="2025"/>
      <c r="M20" s="2015"/>
      <c r="N20" s="2015"/>
      <c r="O20" s="2024"/>
      <c r="P20" s="3511"/>
      <c r="Q20" s="1507"/>
      <c r="R20" s="1508"/>
      <c r="S20" s="1509"/>
      <c r="T20" s="1508"/>
      <c r="U20" s="1509"/>
      <c r="V20" s="1508"/>
      <c r="W20" s="1509"/>
      <c r="X20" s="1502"/>
      <c r="Y20" s="3511"/>
      <c r="Z20" s="1510"/>
      <c r="AA20" s="1511">
        <v>1</v>
      </c>
      <c r="AB20" s="1511">
        <v>1</v>
      </c>
      <c r="AC20" s="1511">
        <v>1</v>
      </c>
    </row>
    <row r="21" spans="1:29" ht="20.25">
      <c r="A21" s="526"/>
      <c r="B21" s="554" t="s">
        <v>536</v>
      </c>
      <c r="C21" s="555">
        <f>估价对象房地状况!C17</f>
        <v>0</v>
      </c>
      <c r="D21" s="565">
        <v>100</v>
      </c>
      <c r="E21" s="566"/>
      <c r="F21" s="559">
        <f>SUMIF(94:94,E22,95:95)-SUMIF(94:94,C22,95:95)+100</f>
        <v>100</v>
      </c>
      <c r="G21" s="566"/>
      <c r="H21" s="553">
        <f>SUMIF(94:94,G22,95:95)-SUMIF(94:94,C22,95:95)+100</f>
        <v>105</v>
      </c>
      <c r="I21" s="566"/>
      <c r="J21" s="553">
        <f>SUMIF(94:94,I22,95:95)-SUMIF(94:94,C22,95:95)+100</f>
        <v>110</v>
      </c>
      <c r="K21" s="529">
        <v>5</v>
      </c>
      <c r="L21" s="2025"/>
      <c r="M21" s="2015"/>
      <c r="N21" s="2015"/>
      <c r="O21" s="2024"/>
      <c r="P21" s="3511"/>
      <c r="Q21" s="1507" t="str">
        <f>B21</f>
        <v>办公集聚程度</v>
      </c>
      <c r="R21" s="1508" t="s">
        <v>8</v>
      </c>
      <c r="S21" s="1509">
        <f>F21</f>
        <v>100</v>
      </c>
      <c r="T21" s="1508" t="s">
        <v>8</v>
      </c>
      <c r="U21" s="1509">
        <f>H21</f>
        <v>105</v>
      </c>
      <c r="V21" s="1508" t="s">
        <v>8</v>
      </c>
      <c r="W21" s="1509">
        <f>J21</f>
        <v>110</v>
      </c>
      <c r="X21" s="1502"/>
      <c r="Y21" s="3511"/>
      <c r="Z21" s="1510" t="str">
        <f>Q21</f>
        <v>办公集聚程度</v>
      </c>
      <c r="AA21" s="1511">
        <f t="shared" si="3"/>
        <v>1</v>
      </c>
      <c r="AB21" s="1511">
        <f t="shared" si="4"/>
        <v>0.95238095238095233</v>
      </c>
      <c r="AC21" s="1511">
        <f t="shared" si="5"/>
        <v>0.90909090909090906</v>
      </c>
    </row>
    <row r="22" spans="1:29" ht="20.25">
      <c r="A22" s="526"/>
      <c r="B22" s="560"/>
      <c r="C22" s="548" t="s">
        <v>3020</v>
      </c>
      <c r="D22" s="551"/>
      <c r="E22" s="552" t="s">
        <v>3020</v>
      </c>
      <c r="F22" s="549"/>
      <c r="G22" s="552" t="s">
        <v>3018</v>
      </c>
      <c r="H22" s="549"/>
      <c r="I22" s="552" t="s">
        <v>3019</v>
      </c>
      <c r="J22" s="549"/>
      <c r="K22" s="525"/>
      <c r="L22" s="2025"/>
      <c r="M22" s="2015"/>
      <c r="N22" s="2015"/>
      <c r="O22" s="2024"/>
      <c r="P22" s="3511"/>
      <c r="Q22" s="1507"/>
      <c r="R22" s="1508"/>
      <c r="S22" s="1509"/>
      <c r="T22" s="1508"/>
      <c r="U22" s="1509"/>
      <c r="V22" s="1508"/>
      <c r="W22" s="1509"/>
      <c r="X22" s="1502"/>
      <c r="Y22" s="3511"/>
      <c r="Z22" s="1510"/>
      <c r="AA22" s="1511">
        <v>1</v>
      </c>
      <c r="AB22" s="1511">
        <v>1</v>
      </c>
      <c r="AC22" s="1511">
        <v>1</v>
      </c>
    </row>
    <row r="23" spans="1:29" ht="20.25">
      <c r="A23" s="526"/>
      <c r="B23" s="554" t="s">
        <v>537</v>
      </c>
      <c r="C23" s="567">
        <f>估价对象房地状况!C18</f>
        <v>0</v>
      </c>
      <c r="D23" s="557">
        <v>100</v>
      </c>
      <c r="E23" s="558"/>
      <c r="F23" s="559">
        <f>SUMIF(96:96,E24,97:97)-SUMIF(96:96,C24,97:97)+100</f>
        <v>100</v>
      </c>
      <c r="G23" s="558"/>
      <c r="H23" s="553">
        <f>SUMIF(96:96,G24,97:97)-SUMIF(96:96,C24,97:97)+100</f>
        <v>105</v>
      </c>
      <c r="I23" s="558"/>
      <c r="J23" s="553">
        <f>SUMIF(96:96,I24,97:97)-SUMIF(96:96,C24,97:97)+100</f>
        <v>105</v>
      </c>
      <c r="K23" s="529">
        <v>5</v>
      </c>
      <c r="L23" s="2025"/>
      <c r="M23" s="2015"/>
      <c r="N23" s="2015"/>
      <c r="O23" s="2024"/>
      <c r="P23" s="3511"/>
      <c r="Q23" s="1507" t="str">
        <f>B23</f>
        <v>交通便捷度</v>
      </c>
      <c r="R23" s="1508" t="s">
        <v>8</v>
      </c>
      <c r="S23" s="1509">
        <f>F23</f>
        <v>100</v>
      </c>
      <c r="T23" s="1508" t="s">
        <v>8</v>
      </c>
      <c r="U23" s="1509">
        <f>H23</f>
        <v>105</v>
      </c>
      <c r="V23" s="1508" t="s">
        <v>8</v>
      </c>
      <c r="W23" s="1509">
        <f>J23</f>
        <v>105</v>
      </c>
      <c r="X23" s="1502"/>
      <c r="Y23" s="3511"/>
      <c r="Z23" s="1510" t="str">
        <f>Q23</f>
        <v>交通便捷度</v>
      </c>
      <c r="AA23" s="1511">
        <f t="shared" si="3"/>
        <v>1</v>
      </c>
      <c r="AB23" s="1511">
        <f t="shared" si="4"/>
        <v>0.95238095238095233</v>
      </c>
      <c r="AC23" s="1511">
        <f t="shared" si="5"/>
        <v>0.95238095238095233</v>
      </c>
    </row>
    <row r="24" spans="1:29" ht="20.25">
      <c r="A24" s="526"/>
      <c r="B24" s="572"/>
      <c r="C24" s="548" t="s">
        <v>3018</v>
      </c>
      <c r="D24" s="551"/>
      <c r="E24" s="552" t="s">
        <v>3018</v>
      </c>
      <c r="F24" s="549"/>
      <c r="G24" s="552" t="s">
        <v>3019</v>
      </c>
      <c r="H24" s="549"/>
      <c r="I24" s="552" t="s">
        <v>3019</v>
      </c>
      <c r="J24" s="549"/>
      <c r="K24" s="525"/>
      <c r="L24" s="2025"/>
      <c r="M24" s="2015"/>
      <c r="N24" s="2015"/>
      <c r="O24" s="2024"/>
      <c r="P24" s="3511"/>
      <c r="Q24" s="1507"/>
      <c r="R24" s="1508"/>
      <c r="S24" s="1509"/>
      <c r="T24" s="1508"/>
      <c r="U24" s="1509"/>
      <c r="V24" s="1508"/>
      <c r="W24" s="1509"/>
      <c r="X24" s="1502"/>
      <c r="Y24" s="3511"/>
      <c r="Z24" s="1510"/>
      <c r="AA24" s="1511">
        <v>1</v>
      </c>
      <c r="AB24" s="1511">
        <v>1</v>
      </c>
      <c r="AC24" s="1511">
        <v>1</v>
      </c>
    </row>
    <row r="25" spans="1:29" ht="27">
      <c r="A25" s="509"/>
      <c r="B25" s="257" t="s">
        <v>538</v>
      </c>
      <c r="C25" s="567">
        <f>估价对象房地状况!C19</f>
        <v>0</v>
      </c>
      <c r="D25" s="557">
        <v>100</v>
      </c>
      <c r="E25" s="558"/>
      <c r="F25" s="559">
        <f>SUMIF(98:98,E26,99:99)-SUMIF(98:98,C26,99:99)+100</f>
        <v>100</v>
      </c>
      <c r="G25" s="558"/>
      <c r="H25" s="553">
        <f>SUMIF(98:98,G26,99:99)-SUMIF(98:98,C26,99:99)+100</f>
        <v>103</v>
      </c>
      <c r="I25" s="558"/>
      <c r="J25" s="553">
        <f>SUMIF(98:98,I26,99:99)-SUMIF(98:98,C26,99:99)+100</f>
        <v>103</v>
      </c>
      <c r="K25" s="529">
        <v>3</v>
      </c>
      <c r="L25" s="2025"/>
      <c r="M25" s="2015"/>
      <c r="N25" s="2015"/>
      <c r="O25" s="2024"/>
      <c r="P25" s="3511"/>
      <c r="Q25" s="1507" t="str">
        <f t="shared" ref="Q25:Q39" si="8">B25</f>
        <v>区域土地利用方向</v>
      </c>
      <c r="R25" s="1508" t="s">
        <v>8</v>
      </c>
      <c r="S25" s="1509">
        <f>F25</f>
        <v>100</v>
      </c>
      <c r="T25" s="1508" t="s">
        <v>8</v>
      </c>
      <c r="U25" s="1509">
        <f>H25</f>
        <v>103</v>
      </c>
      <c r="V25" s="1508" t="s">
        <v>8</v>
      </c>
      <c r="W25" s="1509">
        <f>J25</f>
        <v>103</v>
      </c>
      <c r="X25" s="1502"/>
      <c r="Y25" s="3511"/>
      <c r="Z25" s="1510" t="str">
        <f>Q25</f>
        <v>区域土地利用方向</v>
      </c>
      <c r="AA25" s="1511">
        <f t="shared" si="3"/>
        <v>1</v>
      </c>
      <c r="AB25" s="1511">
        <f t="shared" si="4"/>
        <v>0.970873786407767</v>
      </c>
      <c r="AC25" s="1511">
        <f t="shared" si="5"/>
        <v>0.970873786407767</v>
      </c>
    </row>
    <row r="26" spans="1:29" ht="20.25">
      <c r="A26" s="509"/>
      <c r="B26" s="994"/>
      <c r="C26" s="548" t="s">
        <v>3018</v>
      </c>
      <c r="D26" s="551"/>
      <c r="E26" s="552" t="s">
        <v>3018</v>
      </c>
      <c r="F26" s="549"/>
      <c r="G26" s="552" t="s">
        <v>3019</v>
      </c>
      <c r="H26" s="549"/>
      <c r="I26" s="552" t="s">
        <v>3019</v>
      </c>
      <c r="J26" s="549"/>
      <c r="K26" s="525"/>
      <c r="L26" s="2025"/>
      <c r="M26" s="2015"/>
      <c r="N26" s="2015"/>
      <c r="O26" s="2024"/>
      <c r="P26" s="3511"/>
      <c r="Q26" s="1507"/>
      <c r="R26" s="1508"/>
      <c r="S26" s="1509"/>
      <c r="T26" s="1508"/>
      <c r="U26" s="1509"/>
      <c r="V26" s="1508"/>
      <c r="W26" s="1509"/>
      <c r="X26" s="1502"/>
      <c r="Y26" s="3511"/>
      <c r="Z26" s="1510"/>
      <c r="AA26" s="1511"/>
      <c r="AB26" s="1511"/>
      <c r="AC26" s="1511"/>
    </row>
    <row r="27" spans="1:29" ht="27">
      <c r="A27" s="509"/>
      <c r="B27" s="572" t="s">
        <v>539</v>
      </c>
      <c r="C27" s="555">
        <f>估价对象房地状况!C20</f>
        <v>0</v>
      </c>
      <c r="D27" s="557">
        <v>100</v>
      </c>
      <c r="E27" s="558"/>
      <c r="F27" s="553">
        <f>SUMIF(100:100,E28,101:101)-SUMIF(100:100,C28,101:101)+100</f>
        <v>100</v>
      </c>
      <c r="G27" s="558"/>
      <c r="H27" s="553">
        <f>SUMIF(100:100,G28,101:101)-SUMIF(100:100,C28,101:101)+100</f>
        <v>100</v>
      </c>
      <c r="I27" s="558"/>
      <c r="J27" s="553">
        <f>SUMIF(100:100,I28,101:101)-SUMIF(100:100,C28,101:101)+100</f>
        <v>100</v>
      </c>
      <c r="K27" s="529">
        <v>5</v>
      </c>
      <c r="L27" s="2025"/>
      <c r="M27" s="2015"/>
      <c r="N27" s="2015"/>
      <c r="O27" s="2024"/>
      <c r="P27" s="3511"/>
      <c r="Q27" s="1507" t="str">
        <f t="shared" si="8"/>
        <v>自然及人文环境状况</v>
      </c>
      <c r="R27" s="1508" t="s">
        <v>8</v>
      </c>
      <c r="S27" s="1509">
        <f>F27</f>
        <v>100</v>
      </c>
      <c r="T27" s="1508" t="s">
        <v>8</v>
      </c>
      <c r="U27" s="1509">
        <f>H27</f>
        <v>100</v>
      </c>
      <c r="V27" s="1508" t="s">
        <v>8</v>
      </c>
      <c r="W27" s="1509">
        <f>J27</f>
        <v>100</v>
      </c>
      <c r="X27" s="1502"/>
      <c r="Y27" s="3511"/>
      <c r="Z27" s="1510" t="str">
        <f>Q27</f>
        <v>自然及人文环境状况</v>
      </c>
      <c r="AA27" s="1511">
        <f t="shared" si="3"/>
        <v>1</v>
      </c>
      <c r="AB27" s="1511">
        <f t="shared" si="4"/>
        <v>1</v>
      </c>
      <c r="AC27" s="1511">
        <f t="shared" si="5"/>
        <v>1</v>
      </c>
    </row>
    <row r="28" spans="1:29" ht="20.25">
      <c r="A28" s="509"/>
      <c r="B28" s="560"/>
      <c r="C28" s="548" t="s">
        <v>3018</v>
      </c>
      <c r="D28" s="551"/>
      <c r="E28" s="570" t="s">
        <v>3018</v>
      </c>
      <c r="F28" s="549"/>
      <c r="G28" s="570" t="s">
        <v>3018</v>
      </c>
      <c r="H28" s="549"/>
      <c r="I28" s="570" t="s">
        <v>3018</v>
      </c>
      <c r="J28" s="549"/>
      <c r="K28" s="525"/>
      <c r="L28" s="2025"/>
      <c r="M28" s="2015"/>
      <c r="N28" s="2015"/>
      <c r="O28" s="2024"/>
      <c r="P28" s="3511"/>
      <c r="Q28" s="1507"/>
      <c r="R28" s="1508"/>
      <c r="S28" s="1509"/>
      <c r="T28" s="1508"/>
      <c r="U28" s="1509"/>
      <c r="V28" s="1508"/>
      <c r="W28" s="1509"/>
      <c r="X28" s="1502"/>
      <c r="Y28" s="3511"/>
      <c r="Z28" s="1510"/>
      <c r="AA28" s="1511">
        <v>1</v>
      </c>
      <c r="AB28" s="1511">
        <v>1</v>
      </c>
      <c r="AC28" s="1511">
        <v>1</v>
      </c>
    </row>
    <row r="29" spans="1:29" s="1203" customFormat="1" ht="20.25">
      <c r="A29" s="571"/>
      <c r="B29" s="2436" t="s">
        <v>2529</v>
      </c>
      <c r="C29" s="567">
        <f>估价对象房地状况!C21</f>
        <v>0</v>
      </c>
      <c r="D29" s="557">
        <v>100</v>
      </c>
      <c r="E29" s="558"/>
      <c r="F29" s="553">
        <f>SUMIF(102:102,E30,103:103)-SUMIF(102:102,C30,103:103)+100</f>
        <v>105</v>
      </c>
      <c r="G29" s="558"/>
      <c r="H29" s="553">
        <f>SUMIF(102:102,G30,103:103)-SUMIF(102:102,C30,103:103)+100</f>
        <v>105</v>
      </c>
      <c r="I29" s="558"/>
      <c r="J29" s="553">
        <f>SUMIF(102:102,I30,103:103)-SUMIF(102:102,C30,103:103)+100</f>
        <v>105</v>
      </c>
      <c r="K29" s="529">
        <v>5</v>
      </c>
      <c r="L29" s="2018"/>
      <c r="M29" s="2015"/>
      <c r="N29" s="2015"/>
      <c r="O29" s="2020"/>
      <c r="P29" s="3511"/>
      <c r="Q29" s="1134" t="str">
        <f t="shared" si="8"/>
        <v>公共配套设施</v>
      </c>
      <c r="R29" s="1503" t="s">
        <v>8</v>
      </c>
      <c r="S29" s="1504">
        <f>F29</f>
        <v>105</v>
      </c>
      <c r="T29" s="1503" t="s">
        <v>8</v>
      </c>
      <c r="U29" s="1504">
        <f>H29</f>
        <v>105</v>
      </c>
      <c r="V29" s="1503" t="s">
        <v>8</v>
      </c>
      <c r="W29" s="1504">
        <f>J29</f>
        <v>105</v>
      </c>
      <c r="X29" s="1505"/>
      <c r="Y29" s="3511"/>
      <c r="Z29" s="1133" t="str">
        <f>Q29</f>
        <v>公共配套设施</v>
      </c>
      <c r="AA29" s="1511">
        <f>D29/F29</f>
        <v>0.95238095238095233</v>
      </c>
      <c r="AB29" s="1511">
        <f>D29/H29</f>
        <v>0.95238095238095233</v>
      </c>
      <c r="AC29" s="1511">
        <f>D29/J29</f>
        <v>0.95238095238095233</v>
      </c>
    </row>
    <row r="30" spans="1:29" s="1203" customFormat="1" ht="20.25">
      <c r="A30" s="571"/>
      <c r="B30" s="560"/>
      <c r="C30" s="573" t="s">
        <v>3020</v>
      </c>
      <c r="D30" s="551"/>
      <c r="E30" s="570" t="s">
        <v>3018</v>
      </c>
      <c r="F30" s="549"/>
      <c r="G30" s="570" t="s">
        <v>3018</v>
      </c>
      <c r="H30" s="549"/>
      <c r="I30" s="570" t="s">
        <v>3018</v>
      </c>
      <c r="J30" s="549"/>
      <c r="K30" s="525"/>
      <c r="L30" s="2018"/>
      <c r="M30" s="2015"/>
      <c r="N30" s="2015"/>
      <c r="O30" s="2020"/>
      <c r="P30" s="3511"/>
      <c r="Q30" s="1134"/>
      <c r="R30" s="1503"/>
      <c r="S30" s="1504"/>
      <c r="T30" s="1503"/>
      <c r="U30" s="1504"/>
      <c r="V30" s="1503"/>
      <c r="W30" s="1504"/>
      <c r="X30" s="1505"/>
      <c r="Y30" s="3511"/>
      <c r="Z30" s="1133"/>
      <c r="AA30" s="1511">
        <v>1</v>
      </c>
      <c r="AB30" s="1511">
        <v>1</v>
      </c>
      <c r="AC30" s="1511">
        <v>1</v>
      </c>
    </row>
    <row r="31" spans="1:29" s="1203" customFormat="1" ht="20.25">
      <c r="A31" s="571"/>
      <c r="B31" s="2436" t="s">
        <v>2530</v>
      </c>
      <c r="C31" s="567">
        <f>估价对象房地状况!C22</f>
        <v>0</v>
      </c>
      <c r="D31" s="557">
        <v>100</v>
      </c>
      <c r="E31" s="558"/>
      <c r="F31" s="553">
        <f>SUMIF(104:104,E32,105:105)-SUMIF(104:104,C32,105:105)+100</f>
        <v>100</v>
      </c>
      <c r="G31" s="558"/>
      <c r="H31" s="553">
        <f>SUMIF(104:104,G32,105:105)-SUMIF(104:104,C32,105:105)+100</f>
        <v>100</v>
      </c>
      <c r="I31" s="558"/>
      <c r="J31" s="553">
        <f>SUMIF(104:104,I32,105:105)-SUMIF(104:104,C32,105:105)+100</f>
        <v>100</v>
      </c>
      <c r="K31" s="529">
        <v>1</v>
      </c>
      <c r="L31" s="2018"/>
      <c r="M31" s="2015"/>
      <c r="N31" s="2015"/>
      <c r="O31" s="2020"/>
      <c r="P31" s="3511"/>
      <c r="Q31" s="2429" t="str">
        <f t="shared" ref="Q31" si="9">B31</f>
        <v>基础设施水平</v>
      </c>
      <c r="R31" s="1503" t="s">
        <v>8</v>
      </c>
      <c r="S31" s="1504">
        <f>F31</f>
        <v>100</v>
      </c>
      <c r="T31" s="1503" t="s">
        <v>8</v>
      </c>
      <c r="U31" s="1504">
        <f>H31</f>
        <v>100</v>
      </c>
      <c r="V31" s="1503" t="s">
        <v>8</v>
      </c>
      <c r="W31" s="1504">
        <f>J31</f>
        <v>100</v>
      </c>
      <c r="X31" s="1505"/>
      <c r="Y31" s="3511"/>
      <c r="Z31" s="2428" t="str">
        <f>Q31</f>
        <v>基础设施水平</v>
      </c>
      <c r="AA31" s="1511">
        <f>D31/F31</f>
        <v>1</v>
      </c>
      <c r="AB31" s="1511">
        <f>D31/H31</f>
        <v>1</v>
      </c>
      <c r="AC31" s="1511">
        <f>D31/J31</f>
        <v>1</v>
      </c>
    </row>
    <row r="32" spans="1:29" s="1203" customFormat="1" ht="21" thickBot="1">
      <c r="A32" s="571"/>
      <c r="B32" s="560"/>
      <c r="C32" s="573" t="s">
        <v>3042</v>
      </c>
      <c r="D32" s="551"/>
      <c r="E32" s="2437" t="s">
        <v>3042</v>
      </c>
      <c r="F32" s="549"/>
      <c r="G32" s="2437" t="s">
        <v>3042</v>
      </c>
      <c r="H32" s="549"/>
      <c r="I32" s="2437" t="s">
        <v>3042</v>
      </c>
      <c r="J32" s="549"/>
      <c r="K32" s="525"/>
      <c r="L32" s="2018"/>
      <c r="M32" s="2015"/>
      <c r="N32" s="2015"/>
      <c r="O32" s="2020"/>
      <c r="P32" s="3511"/>
      <c r="Q32" s="2429"/>
      <c r="R32" s="1503"/>
      <c r="S32" s="1504"/>
      <c r="T32" s="1503"/>
      <c r="U32" s="1504"/>
      <c r="V32" s="1503"/>
      <c r="W32" s="1504"/>
      <c r="X32" s="1505"/>
      <c r="Y32" s="3511"/>
      <c r="Z32" s="2428"/>
      <c r="AA32" s="1511">
        <v>1</v>
      </c>
      <c r="AB32" s="1511">
        <v>1</v>
      </c>
      <c r="AC32" s="1511">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511"/>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511"/>
      <c r="Z33" s="1510" t="str">
        <f t="shared" ref="Z33:Z47" si="13">Q33</f>
        <v>临街状况</v>
      </c>
      <c r="AA33" s="1511">
        <f t="shared" si="3"/>
        <v>1</v>
      </c>
      <c r="AB33" s="1511">
        <f t="shared" si="4"/>
        <v>1</v>
      </c>
      <c r="AC33" s="1511">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511"/>
      <c r="Q34" s="1507" t="str">
        <f t="shared" si="8"/>
        <v>毗邻道路的类型与等级</v>
      </c>
      <c r="R34" s="1508" t="s">
        <v>8</v>
      </c>
      <c r="S34" s="1509">
        <f t="shared" si="10"/>
        <v>100</v>
      </c>
      <c r="T34" s="1508" t="s">
        <v>8</v>
      </c>
      <c r="U34" s="1509">
        <f t="shared" si="11"/>
        <v>100</v>
      </c>
      <c r="V34" s="1508" t="s">
        <v>8</v>
      </c>
      <c r="W34" s="1509">
        <f t="shared" si="12"/>
        <v>100</v>
      </c>
      <c r="X34" s="1502"/>
      <c r="Y34" s="3511"/>
      <c r="Z34" s="1510" t="str">
        <f t="shared" si="13"/>
        <v>毗邻道路的类型与等级</v>
      </c>
      <c r="AA34" s="1511">
        <f t="shared" si="3"/>
        <v>1</v>
      </c>
      <c r="AB34" s="1511">
        <f t="shared" si="4"/>
        <v>1</v>
      </c>
      <c r="AC34" s="1511">
        <f t="shared" si="5"/>
        <v>1</v>
      </c>
    </row>
    <row r="35" spans="1:29" ht="21" hidden="1" thickBot="1">
      <c r="A35" s="526"/>
      <c r="B35" s="560"/>
      <c r="C35" s="548"/>
      <c r="D35" s="551"/>
      <c r="E35" s="570"/>
      <c r="F35" s="549"/>
      <c r="G35" s="548"/>
      <c r="H35" s="549"/>
      <c r="I35" s="570"/>
      <c r="J35" s="549"/>
      <c r="K35" s="575"/>
      <c r="L35" s="2025"/>
      <c r="M35" s="2015"/>
      <c r="N35" s="2015"/>
      <c r="O35" s="2024"/>
      <c r="P35" s="3511"/>
      <c r="Q35" s="1507"/>
      <c r="R35" s="1508"/>
      <c r="S35" s="1509"/>
      <c r="T35" s="1508"/>
      <c r="U35" s="1509"/>
      <c r="V35" s="1508"/>
      <c r="W35" s="1509"/>
      <c r="X35" s="1502"/>
      <c r="Y35" s="3511"/>
      <c r="Z35" s="1510"/>
      <c r="AA35" s="1511">
        <v>1</v>
      </c>
      <c r="AB35" s="1511">
        <v>1</v>
      </c>
      <c r="AC35" s="1511">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511"/>
      <c r="Q36" s="1507" t="str">
        <f t="shared" si="8"/>
        <v>土地级别</v>
      </c>
      <c r="R36" s="1508" t="s">
        <v>8</v>
      </c>
      <c r="S36" s="1509">
        <f t="shared" si="10"/>
        <v>100</v>
      </c>
      <c r="T36" s="1508" t="s">
        <v>8</v>
      </c>
      <c r="U36" s="1509">
        <f t="shared" si="11"/>
        <v>100</v>
      </c>
      <c r="V36" s="1508" t="s">
        <v>8</v>
      </c>
      <c r="W36" s="1509">
        <f t="shared" si="12"/>
        <v>100</v>
      </c>
      <c r="X36" s="1502"/>
      <c r="Y36" s="3511"/>
      <c r="Z36" s="1510" t="str">
        <f t="shared" si="13"/>
        <v>土地级别</v>
      </c>
      <c r="AA36" s="1511">
        <f t="shared" si="3"/>
        <v>1</v>
      </c>
      <c r="AB36" s="1511">
        <f t="shared" si="4"/>
        <v>1</v>
      </c>
      <c r="AC36" s="1511">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511"/>
      <c r="Q37" s="1507">
        <f t="shared" si="8"/>
        <v>111</v>
      </c>
      <c r="R37" s="1508" t="s">
        <v>8</v>
      </c>
      <c r="S37" s="1509">
        <f t="shared" si="10"/>
        <v>100</v>
      </c>
      <c r="T37" s="1508" t="s">
        <v>8</v>
      </c>
      <c r="U37" s="1509">
        <f t="shared" si="11"/>
        <v>100</v>
      </c>
      <c r="V37" s="1508" t="s">
        <v>8</v>
      </c>
      <c r="W37" s="1509">
        <f t="shared" si="12"/>
        <v>100</v>
      </c>
      <c r="X37" s="1502"/>
      <c r="Y37" s="3511"/>
      <c r="Z37" s="1510">
        <f t="shared" si="13"/>
        <v>111</v>
      </c>
      <c r="AA37" s="1511">
        <f t="shared" si="3"/>
        <v>1</v>
      </c>
      <c r="AB37" s="1511">
        <f t="shared" si="4"/>
        <v>1</v>
      </c>
      <c r="AC37" s="1511">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512" t="s">
        <v>544</v>
      </c>
      <c r="Q38" s="1507">
        <f t="shared" si="8"/>
        <v>111</v>
      </c>
      <c r="R38" s="1508" t="s">
        <v>8</v>
      </c>
      <c r="S38" s="1509">
        <f t="shared" si="10"/>
        <v>100</v>
      </c>
      <c r="T38" s="1508" t="s">
        <v>8</v>
      </c>
      <c r="U38" s="1509">
        <f t="shared" si="11"/>
        <v>100</v>
      </c>
      <c r="V38" s="1508" t="s">
        <v>8</v>
      </c>
      <c r="W38" s="1509">
        <f t="shared" si="12"/>
        <v>100</v>
      </c>
      <c r="X38" s="1502"/>
      <c r="Y38" s="3513" t="s">
        <v>544</v>
      </c>
      <c r="Z38" s="1510">
        <f t="shared" si="13"/>
        <v>111</v>
      </c>
      <c r="AA38" s="1511">
        <f t="shared" si="3"/>
        <v>1</v>
      </c>
      <c r="AB38" s="1511">
        <f t="shared" si="4"/>
        <v>1</v>
      </c>
      <c r="AC38" s="1511">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513"/>
      <c r="Q39" s="1507">
        <f t="shared" si="8"/>
        <v>111</v>
      </c>
      <c r="R39" s="1512" t="s">
        <v>8</v>
      </c>
      <c r="S39" s="1513">
        <f t="shared" si="10"/>
        <v>100</v>
      </c>
      <c r="T39" s="1512" t="s">
        <v>8</v>
      </c>
      <c r="U39" s="1513">
        <f t="shared" si="11"/>
        <v>100</v>
      </c>
      <c r="V39" s="1512" t="s">
        <v>8</v>
      </c>
      <c r="W39" s="1513">
        <f t="shared" si="12"/>
        <v>100</v>
      </c>
      <c r="X39" s="1514"/>
      <c r="Y39" s="3513"/>
      <c r="Z39" s="1515">
        <f t="shared" si="13"/>
        <v>111</v>
      </c>
      <c r="AA39" s="1511">
        <f t="shared" si="3"/>
        <v>1</v>
      </c>
      <c r="AB39" s="1511">
        <f t="shared" si="4"/>
        <v>1</v>
      </c>
      <c r="AC39" s="1511">
        <f t="shared" si="5"/>
        <v>1</v>
      </c>
    </row>
    <row r="40" spans="1:29" ht="20.25">
      <c r="A40" s="2625" t="s">
        <v>2735</v>
      </c>
      <c r="B40" s="589" t="s">
        <v>546</v>
      </c>
      <c r="C40" s="590">
        <f>'数据-汇总表'!D3</f>
        <v>13141.8</v>
      </c>
      <c r="D40" s="591">
        <v>100</v>
      </c>
      <c r="E40" s="590">
        <v>170200.2</v>
      </c>
      <c r="F40" s="591">
        <f>LOOKUP(E40,119:119,120:120)-LOOKUP(C40,119:119,120:120)+100</f>
        <v>103</v>
      </c>
      <c r="G40" s="590">
        <v>12501.51</v>
      </c>
      <c r="H40" s="591">
        <f>LOOKUP(G40,119:119,120:120)-LOOKUP(C40,119:119,120:120)+100</f>
        <v>100</v>
      </c>
      <c r="I40" s="592">
        <v>28003.32</v>
      </c>
      <c r="J40" s="591">
        <f>LOOKUP(I40,119:119,120:120)-LOOKUP(C40,119:119,120:120)+100</f>
        <v>100</v>
      </c>
      <c r="K40" s="575"/>
      <c r="L40" s="2025"/>
      <c r="M40" s="2015"/>
      <c r="N40" s="2015"/>
      <c r="O40" s="2024"/>
      <c r="P40" s="3513"/>
      <c r="Q40" s="1507" t="str">
        <f>B40</f>
        <v>宗地面积</v>
      </c>
      <c r="R40" s="1508" t="s">
        <v>8</v>
      </c>
      <c r="S40" s="1509">
        <f t="shared" si="10"/>
        <v>103</v>
      </c>
      <c r="T40" s="1508" t="s">
        <v>8</v>
      </c>
      <c r="U40" s="1509">
        <f t="shared" si="11"/>
        <v>100</v>
      </c>
      <c r="V40" s="1508" t="s">
        <v>8</v>
      </c>
      <c r="W40" s="1509">
        <f t="shared" si="12"/>
        <v>100</v>
      </c>
      <c r="X40" s="1502"/>
      <c r="Y40" s="3513"/>
      <c r="Z40" s="1510" t="str">
        <f t="shared" si="13"/>
        <v>宗地面积</v>
      </c>
      <c r="AA40" s="1511">
        <f t="shared" si="3"/>
        <v>0.970873786407767</v>
      </c>
      <c r="AB40" s="1511">
        <f t="shared" si="4"/>
        <v>1</v>
      </c>
      <c r="AC40" s="1511">
        <f t="shared" si="5"/>
        <v>1</v>
      </c>
    </row>
    <row r="41" spans="1:29" ht="20.25">
      <c r="A41" s="588"/>
      <c r="B41" s="521" t="s">
        <v>547</v>
      </c>
      <c r="C41" s="3289" t="s">
        <v>3043</v>
      </c>
      <c r="D41" s="534">
        <v>100</v>
      </c>
      <c r="E41" s="3289" t="s">
        <v>3043</v>
      </c>
      <c r="F41" s="534">
        <f>SUMIF(121:121,E41,122:122)-SUMIF(121:121,C41,122:122)+100</f>
        <v>100</v>
      </c>
      <c r="G41" s="3289" t="s">
        <v>3043</v>
      </c>
      <c r="H41" s="534">
        <f>SUMIF(121:121,G41,122:122)-SUMIF(121:121,C41,122:122)+100</f>
        <v>100</v>
      </c>
      <c r="I41" s="3289" t="s">
        <v>3043</v>
      </c>
      <c r="J41" s="534">
        <f>SUMIF(121:121,I41,122:122)-SUMIF(121:121,C41,122:122)+100</f>
        <v>100</v>
      </c>
      <c r="K41" s="578">
        <v>1</v>
      </c>
      <c r="L41" s="2025"/>
      <c r="M41" s="2015"/>
      <c r="N41" s="2015"/>
      <c r="O41" s="2024"/>
      <c r="P41" s="3513"/>
      <c r="Q41" s="1507" t="str">
        <f t="shared" ref="Q41:Q47" si="14">B41</f>
        <v>宗地形状</v>
      </c>
      <c r="R41" s="1508" t="s">
        <v>8</v>
      </c>
      <c r="S41" s="1509">
        <f t="shared" si="10"/>
        <v>100</v>
      </c>
      <c r="T41" s="1508" t="s">
        <v>8</v>
      </c>
      <c r="U41" s="1509">
        <f t="shared" si="11"/>
        <v>100</v>
      </c>
      <c r="V41" s="1508" t="s">
        <v>8</v>
      </c>
      <c r="W41" s="1509">
        <f t="shared" si="12"/>
        <v>100</v>
      </c>
      <c r="X41" s="1502"/>
      <c r="Y41" s="3513"/>
      <c r="Z41" s="1510" t="str">
        <f t="shared" si="13"/>
        <v>宗地形状</v>
      </c>
      <c r="AA41" s="1511">
        <f t="shared" si="3"/>
        <v>1</v>
      </c>
      <c r="AB41" s="1511">
        <f t="shared" si="4"/>
        <v>1</v>
      </c>
      <c r="AC41" s="1511">
        <f t="shared" si="5"/>
        <v>1</v>
      </c>
    </row>
    <row r="42" spans="1:29" ht="20.25">
      <c r="A42" s="588"/>
      <c r="B42" s="521" t="s">
        <v>548</v>
      </c>
      <c r="C42" s="3289" t="s">
        <v>3043</v>
      </c>
      <c r="D42" s="534">
        <v>100</v>
      </c>
      <c r="E42" s="3289" t="s">
        <v>3043</v>
      </c>
      <c r="F42" s="534">
        <f>SUMIF(123:123,E42,124:124)-SUMIF(123:123,C42,124:124)+100</f>
        <v>100</v>
      </c>
      <c r="G42" s="3289" t="s">
        <v>3043</v>
      </c>
      <c r="H42" s="534">
        <f>SUMIF(123:123,G42,124:124)-SUMIF(123:123,C42,124:124)+100</f>
        <v>100</v>
      </c>
      <c r="I42" s="3289" t="s">
        <v>3043</v>
      </c>
      <c r="J42" s="534">
        <f>SUMIF(123:123,I42,124:124)-SUMIF(123:123,C42,124:124)+100</f>
        <v>100</v>
      </c>
      <c r="K42" s="578">
        <v>1</v>
      </c>
      <c r="L42" s="2025"/>
      <c r="M42" s="2015"/>
      <c r="N42" s="2015"/>
      <c r="O42" s="2024"/>
      <c r="P42" s="3513"/>
      <c r="Q42" s="1507" t="str">
        <f t="shared" si="14"/>
        <v>临街宽度及深度</v>
      </c>
      <c r="R42" s="1508" t="s">
        <v>8</v>
      </c>
      <c r="S42" s="1509">
        <f t="shared" si="10"/>
        <v>100</v>
      </c>
      <c r="T42" s="1508" t="s">
        <v>8</v>
      </c>
      <c r="U42" s="1509">
        <f t="shared" si="11"/>
        <v>100</v>
      </c>
      <c r="V42" s="1508" t="s">
        <v>8</v>
      </c>
      <c r="W42" s="1509">
        <f t="shared" si="12"/>
        <v>100</v>
      </c>
      <c r="X42" s="1502"/>
      <c r="Y42" s="3513"/>
      <c r="Z42" s="1510" t="str">
        <f t="shared" si="13"/>
        <v>临街宽度及深度</v>
      </c>
      <c r="AA42" s="1511">
        <f t="shared" si="3"/>
        <v>1</v>
      </c>
      <c r="AB42" s="1511">
        <f t="shared" si="4"/>
        <v>1</v>
      </c>
      <c r="AC42" s="1511">
        <f t="shared" si="5"/>
        <v>1</v>
      </c>
    </row>
    <row r="43" spans="1:29" s="1203" customFormat="1" ht="20.25">
      <c r="A43" s="594"/>
      <c r="B43" s="1810" t="s">
        <v>2409</v>
      </c>
      <c r="C43" s="3290" t="s">
        <v>3045</v>
      </c>
      <c r="D43" s="253">
        <v>100</v>
      </c>
      <c r="E43" s="3290" t="s">
        <v>3050</v>
      </c>
      <c r="F43" s="534">
        <f>SUMIF(125:125,E43,126:126)-SUMIF(125:125,C43,126:126)+100</f>
        <v>99</v>
      </c>
      <c r="G43" s="3290" t="s">
        <v>3045</v>
      </c>
      <c r="H43" s="534">
        <f>SUMIF(125:125,G43,126:126)-SUMIF(125:125,C43,126:126)+100</f>
        <v>100</v>
      </c>
      <c r="I43" s="3290" t="s">
        <v>3057</v>
      </c>
      <c r="J43" s="534">
        <f>SUMIF(125:125,I43,126:126)-SUMIF(125:125,C43,126:126)+100</f>
        <v>98.5</v>
      </c>
      <c r="K43" s="578">
        <v>0.5</v>
      </c>
      <c r="L43" s="2018"/>
      <c r="M43" s="2015"/>
      <c r="N43" s="2015"/>
      <c r="O43" s="2020"/>
      <c r="P43" s="3513"/>
      <c r="Q43" s="1507" t="str">
        <f t="shared" si="14"/>
        <v>宗地开发程度</v>
      </c>
      <c r="R43" s="1503" t="s">
        <v>8</v>
      </c>
      <c r="S43" s="1504">
        <f t="shared" si="10"/>
        <v>99</v>
      </c>
      <c r="T43" s="1503" t="s">
        <v>8</v>
      </c>
      <c r="U43" s="1504">
        <f t="shared" si="11"/>
        <v>100</v>
      </c>
      <c r="V43" s="1503" t="s">
        <v>8</v>
      </c>
      <c r="W43" s="1504">
        <f t="shared" si="12"/>
        <v>98.5</v>
      </c>
      <c r="X43" s="1505"/>
      <c r="Y43" s="3513"/>
      <c r="Z43" s="1133" t="str">
        <f t="shared" si="13"/>
        <v>宗地开发程度</v>
      </c>
      <c r="AA43" s="1506">
        <f t="shared" si="3"/>
        <v>1.0101010101010102</v>
      </c>
      <c r="AB43" s="1506">
        <f t="shared" si="4"/>
        <v>1</v>
      </c>
      <c r="AC43" s="1506">
        <f t="shared" si="5"/>
        <v>1.015228426395939</v>
      </c>
    </row>
    <row r="44" spans="1:29" ht="21" thickBot="1">
      <c r="A44" s="588"/>
      <c r="B44" s="521" t="s">
        <v>549</v>
      </c>
      <c r="C44" s="3289" t="s">
        <v>3043</v>
      </c>
      <c r="D44" s="534">
        <v>100</v>
      </c>
      <c r="E44" s="3289" t="s">
        <v>3043</v>
      </c>
      <c r="F44" s="534">
        <f>SUMIF(127:127,E44,128:128)-SUMIF(127:127,C44,128:128)+100</f>
        <v>100</v>
      </c>
      <c r="G44" s="3289" t="s">
        <v>3043</v>
      </c>
      <c r="H44" s="534">
        <f>SUMIF(127:127,G44,128:128)-SUMIF(127:127,C44,128:128)+100</f>
        <v>100</v>
      </c>
      <c r="I44" s="3289" t="s">
        <v>3043</v>
      </c>
      <c r="J44" s="534">
        <f>SUMIF(127:127,I44,128:128)-SUMIF(127:127,C44,128:128)+100</f>
        <v>100</v>
      </c>
      <c r="K44" s="578">
        <v>1</v>
      </c>
      <c r="L44" s="2025"/>
      <c r="M44" s="2015"/>
      <c r="N44" s="2015"/>
      <c r="O44" s="2024"/>
      <c r="P44" s="3513" t="s">
        <v>544</v>
      </c>
      <c r="Q44" s="1507" t="str">
        <f t="shared" si="14"/>
        <v>工程地质条件</v>
      </c>
      <c r="R44" s="1508" t="s">
        <v>8</v>
      </c>
      <c r="S44" s="1509">
        <f t="shared" si="10"/>
        <v>100</v>
      </c>
      <c r="T44" s="1508" t="s">
        <v>8</v>
      </c>
      <c r="U44" s="1509">
        <f t="shared" si="11"/>
        <v>100</v>
      </c>
      <c r="V44" s="1508" t="s">
        <v>8</v>
      </c>
      <c r="W44" s="1509">
        <f t="shared" si="12"/>
        <v>100</v>
      </c>
      <c r="X44" s="1502"/>
      <c r="Y44" s="3513" t="s">
        <v>544</v>
      </c>
      <c r="Z44" s="1510" t="str">
        <f t="shared" si="13"/>
        <v>工程地质条件</v>
      </c>
      <c r="AA44" s="1511">
        <f t="shared" si="3"/>
        <v>1</v>
      </c>
      <c r="AB44" s="1511">
        <f t="shared" si="4"/>
        <v>1</v>
      </c>
      <c r="AC44" s="1511">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513"/>
      <c r="Q45" s="1507">
        <f t="shared" si="14"/>
        <v>111</v>
      </c>
      <c r="R45" s="1508" t="s">
        <v>8</v>
      </c>
      <c r="S45" s="1509">
        <f t="shared" si="10"/>
        <v>100</v>
      </c>
      <c r="T45" s="1508" t="s">
        <v>8</v>
      </c>
      <c r="U45" s="1509">
        <f t="shared" si="11"/>
        <v>100</v>
      </c>
      <c r="V45" s="1508" t="s">
        <v>8</v>
      </c>
      <c r="W45" s="1509">
        <f t="shared" si="12"/>
        <v>100</v>
      </c>
      <c r="X45" s="1502"/>
      <c r="Y45" s="3513"/>
      <c r="Z45" s="1510">
        <f t="shared" si="13"/>
        <v>111</v>
      </c>
      <c r="AA45" s="1511">
        <f t="shared" si="3"/>
        <v>1</v>
      </c>
      <c r="AB45" s="1511">
        <f t="shared" si="4"/>
        <v>1</v>
      </c>
      <c r="AC45" s="1511">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513"/>
      <c r="Q46" s="1507">
        <f t="shared" si="14"/>
        <v>111</v>
      </c>
      <c r="R46" s="1508" t="s">
        <v>8</v>
      </c>
      <c r="S46" s="1509">
        <f t="shared" si="10"/>
        <v>100</v>
      </c>
      <c r="T46" s="1508" t="s">
        <v>8</v>
      </c>
      <c r="U46" s="1509">
        <f t="shared" si="11"/>
        <v>100</v>
      </c>
      <c r="V46" s="1508" t="s">
        <v>8</v>
      </c>
      <c r="W46" s="1509">
        <f t="shared" si="12"/>
        <v>100</v>
      </c>
      <c r="X46" s="1502"/>
      <c r="Y46" s="3513"/>
      <c r="Z46" s="1510">
        <f t="shared" si="13"/>
        <v>111</v>
      </c>
      <c r="AA46" s="1511">
        <f t="shared" si="3"/>
        <v>1</v>
      </c>
      <c r="AB46" s="1511">
        <f t="shared" si="4"/>
        <v>1</v>
      </c>
      <c r="AC46" s="1511">
        <f t="shared" si="5"/>
        <v>1</v>
      </c>
    </row>
    <row r="47" spans="1:29" s="129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513"/>
      <c r="Q47" s="1507">
        <f t="shared" si="14"/>
        <v>111</v>
      </c>
      <c r="R47" s="1512" t="s">
        <v>8</v>
      </c>
      <c r="S47" s="1513">
        <f t="shared" si="10"/>
        <v>100</v>
      </c>
      <c r="T47" s="1512" t="s">
        <v>8</v>
      </c>
      <c r="U47" s="1513">
        <f t="shared" si="11"/>
        <v>100</v>
      </c>
      <c r="V47" s="1512" t="s">
        <v>8</v>
      </c>
      <c r="W47" s="1513">
        <f t="shared" si="12"/>
        <v>100</v>
      </c>
      <c r="X47" s="1514"/>
      <c r="Y47" s="3513"/>
      <c r="Z47" s="1515">
        <f t="shared" si="13"/>
        <v>111</v>
      </c>
      <c r="AA47" s="1511">
        <f t="shared" si="3"/>
        <v>1</v>
      </c>
      <c r="AB47" s="1511">
        <f t="shared" si="4"/>
        <v>1</v>
      </c>
      <c r="AC47" s="1511">
        <f t="shared" si="5"/>
        <v>1</v>
      </c>
    </row>
    <row r="48" spans="1:29" ht="20.25">
      <c r="A48" s="601" t="s">
        <v>550</v>
      </c>
      <c r="B48" s="602" t="s">
        <v>3027</v>
      </c>
      <c r="C48" s="603" t="s">
        <v>1</v>
      </c>
      <c r="D48" s="604"/>
      <c r="E48" s="605">
        <v>10164</v>
      </c>
      <c r="F48" s="606"/>
      <c r="G48" s="607">
        <v>14931</v>
      </c>
      <c r="H48" s="608"/>
      <c r="I48" s="605">
        <v>13970</v>
      </c>
      <c r="J48" s="608"/>
      <c r="K48" s="1294"/>
      <c r="L48" s="2027"/>
      <c r="M48" s="2015"/>
      <c r="N48" s="2015"/>
      <c r="O48" s="2028"/>
      <c r="P48" s="3508" t="str">
        <f>A48</f>
        <v>成交单价</v>
      </c>
      <c r="Q48" s="3508"/>
      <c r="R48" s="3522">
        <f>E48</f>
        <v>10164</v>
      </c>
      <c r="S48" s="3522"/>
      <c r="T48" s="3522">
        <f>G48</f>
        <v>14931</v>
      </c>
      <c r="U48" s="3522"/>
      <c r="V48" s="3522">
        <f>I48</f>
        <v>13970</v>
      </c>
      <c r="W48" s="3522"/>
      <c r="X48" s="1497"/>
      <c r="Y48" s="1516"/>
      <c r="Z48" s="1497"/>
      <c r="AA48" s="1497"/>
      <c r="AB48" s="1497"/>
      <c r="AC48" s="1497"/>
    </row>
    <row r="49" spans="1:29" ht="21" thickBot="1">
      <c r="A49" s="609" t="s">
        <v>2673</v>
      </c>
      <c r="B49" s="610"/>
      <c r="C49" s="611">
        <f>R50</f>
        <v>10602</v>
      </c>
      <c r="D49" s="3014" t="s">
        <v>2960</v>
      </c>
      <c r="E49" s="611">
        <f>R49</f>
        <v>8560</v>
      </c>
      <c r="F49" s="3015"/>
      <c r="G49" s="612">
        <f>T49</f>
        <v>12047</v>
      </c>
      <c r="H49" s="3015"/>
      <c r="I49" s="611">
        <f>V49</f>
        <v>11198</v>
      </c>
      <c r="J49" s="3015"/>
      <c r="K49" s="3016">
        <f>F49+H49+J49</f>
        <v>0</v>
      </c>
      <c r="L49" s="2027"/>
      <c r="M49" s="2015"/>
      <c r="N49" s="2015"/>
      <c r="O49" s="2028"/>
      <c r="P49" s="3508" t="str">
        <f>A49</f>
        <v>比较价格（元/平方米）</v>
      </c>
      <c r="Q49" s="3508"/>
      <c r="R49" s="3533">
        <f>ROUND(PRODUCT(R48,AA9:AA47),0)</f>
        <v>8560</v>
      </c>
      <c r="S49" s="3533"/>
      <c r="T49" s="3533">
        <f>ROUND(PRODUCT(T48,AB9:AB47),0)</f>
        <v>12047</v>
      </c>
      <c r="U49" s="3533"/>
      <c r="V49" s="3533">
        <f>ROUND(PRODUCT(V48,AC9:AC47),0)</f>
        <v>11198</v>
      </c>
      <c r="W49" s="3533"/>
      <c r="X49" s="1497"/>
      <c r="Y49" s="1497"/>
      <c r="Z49" s="1497"/>
      <c r="AA49" s="1497"/>
      <c r="AB49" s="1497"/>
      <c r="AC49" s="1497"/>
    </row>
    <row r="50" spans="1:29" ht="21" thickBot="1">
      <c r="A50" s="613" t="s">
        <v>2893</v>
      </c>
      <c r="B50" s="614"/>
      <c r="C50" s="615">
        <f>R50</f>
        <v>10602</v>
      </c>
      <c r="D50" s="615"/>
      <c r="E50" s="615"/>
      <c r="F50" s="615"/>
      <c r="G50" s="615"/>
      <c r="H50" s="615"/>
      <c r="I50" s="615"/>
      <c r="J50" s="615"/>
      <c r="K50" s="1295"/>
      <c r="L50" s="2027"/>
      <c r="M50" s="2015"/>
      <c r="N50" s="2015"/>
      <c r="O50" s="2028"/>
      <c r="P50" s="3530" t="str">
        <f>A50</f>
        <v>估价对象XX用房的比较价格（楼面单价，元/平方米）</v>
      </c>
      <c r="Q50" s="3531"/>
      <c r="R50" s="3532">
        <f>ROUND(IF(D49="简单平均",AVERAGE(R49:W49),R49*F49+T49*H49+V49*J49),0)</f>
        <v>10602</v>
      </c>
      <c r="S50" s="3532"/>
      <c r="T50" s="3532"/>
      <c r="U50" s="3532"/>
      <c r="V50" s="3532"/>
      <c r="W50" s="3532"/>
      <c r="X50" s="1497"/>
      <c r="Y50" s="1497"/>
      <c r="Z50" s="1497"/>
      <c r="AA50" s="1497"/>
      <c r="AB50" s="1497"/>
      <c r="AC50" s="1497"/>
    </row>
    <row r="51" spans="1:29" ht="20.25">
      <c r="A51" s="3214"/>
      <c r="B51" s="3214"/>
      <c r="C51" s="3214"/>
      <c r="D51" s="3214"/>
      <c r="E51" s="3214"/>
      <c r="F51" s="3214"/>
      <c r="G51" s="3216"/>
      <c r="H51" s="3214"/>
      <c r="I51" s="3214"/>
      <c r="J51" s="3214"/>
      <c r="K51" s="3217"/>
      <c r="L51" s="2032"/>
      <c r="M51" s="2015"/>
      <c r="N51" s="2015"/>
      <c r="O51" s="2028"/>
      <c r="P51" s="2028"/>
      <c r="Q51" s="2028"/>
      <c r="R51" s="2028"/>
      <c r="S51" s="2028"/>
      <c r="T51" s="2028"/>
      <c r="U51" s="2028"/>
      <c r="V51" s="2028"/>
      <c r="W51" s="2028"/>
      <c r="X51" s="2028"/>
      <c r="Y51" s="2028"/>
      <c r="Z51" s="2028"/>
      <c r="AA51" s="2028"/>
      <c r="AB51" s="2028"/>
      <c r="AC51" s="2028"/>
    </row>
    <row r="52" spans="1:29" ht="20.25">
      <c r="A52" s="3214"/>
      <c r="B52" s="3214"/>
      <c r="C52" s="3214"/>
      <c r="D52" s="3214"/>
      <c r="E52" s="3214"/>
      <c r="F52" s="3214"/>
      <c r="G52" s="3214"/>
      <c r="H52" s="3214"/>
      <c r="I52" s="3214"/>
      <c r="J52" s="3214"/>
      <c r="K52" s="3217"/>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f>IF(E48&lt;E49,E49/E48-1,E48/E49-1)</f>
        <v>0.18738317757009337</v>
      </c>
      <c r="F53" s="619" t="str">
        <f>IF(OR(E53&gt;=0.3,E53&lt;=-0.3),"超过30%","")</f>
        <v/>
      </c>
      <c r="G53" s="618">
        <f>IF(G48&lt;G49,G49/G48-1,G48/G49-1)</f>
        <v>0.23939570017431722</v>
      </c>
      <c r="H53" s="619" t="str">
        <f>IF(OR(G53&gt;=0.3,G53&lt;=-0.3),"超过30%","")</f>
        <v/>
      </c>
      <c r="I53" s="618">
        <f>IF(I48&lt;I49,I49/I48-1,I48/I49-1)</f>
        <v>0.24754420432220048</v>
      </c>
      <c r="J53" s="619" t="str">
        <f>IF(OR(I53&gt;=0.3,I53&lt;=-0.3),"超过30%","")</f>
        <v/>
      </c>
      <c r="K53" s="3217"/>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f>IF(E49&lt;G49,G49/E49-1,E49/G49-1)</f>
        <v>0.40735981308411207</v>
      </c>
      <c r="F54" s="619" t="str">
        <f>IF(OR(E54&gt;=0.2,E54&lt;=-0.2),"超过20%","")</f>
        <v>超过20%</v>
      </c>
      <c r="G54" s="618">
        <f>IF(G49&lt;I49,I49/G49-1,G49/I49-1)</f>
        <v>7.581711019824966E-2</v>
      </c>
      <c r="H54" s="619" t="str">
        <f>IF(OR(G54&gt;=0.2,G54&lt;=-0.2),"超过20%","")</f>
        <v/>
      </c>
      <c r="I54" s="618">
        <f>IF(I49&lt;E49,E49/I49-1,I49/E49-1)</f>
        <v>0.30817757009345792</v>
      </c>
      <c r="J54" s="619" t="str">
        <f>IF(OR(I54&gt;=0.2,I54&lt;=-0.2),"超过20%","")</f>
        <v>超过20%</v>
      </c>
      <c r="K54" s="3217"/>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f>IF(E48&lt;G48,G48/E48-1,E48/G48-1)</f>
        <v>0.46900826446280997</v>
      </c>
      <c r="F55" s="619" t="str">
        <f>IF(OR(E55&gt;=0.3,E55&lt;=-0.3),"超过30%","")</f>
        <v>超过30%</v>
      </c>
      <c r="G55" s="618">
        <f>IF(G48&lt;I48,I48/G48-1,G48/I48-1)</f>
        <v>6.879026485325701E-2</v>
      </c>
      <c r="H55" s="619" t="str">
        <f>IF(OR(G55&gt;=0.3,G55&lt;=-0.3),"超过30%","")</f>
        <v/>
      </c>
      <c r="I55" s="618">
        <f>IF(I48&lt;E48,E48/I48-1,I48/E48-1)</f>
        <v>0.37445887445887438</v>
      </c>
      <c r="J55" s="619" t="str">
        <f>IF(OR(I55&gt;=0.3,I55&lt;=-0.3),"超过30%","")</f>
        <v>超过30%</v>
      </c>
      <c r="K55" s="3218"/>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 thickBot="1">
      <c r="A56" s="2029"/>
      <c r="B56" s="2030"/>
      <c r="C56" s="2033"/>
      <c r="D56" s="2029"/>
      <c r="E56" s="2029"/>
      <c r="F56" s="2029"/>
      <c r="G56" s="2029"/>
      <c r="H56" s="2029"/>
      <c r="I56" s="2029"/>
      <c r="J56" s="2029"/>
      <c r="K56" s="3218"/>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1715</v>
      </c>
      <c r="D57" s="2108" t="s">
        <v>2281</v>
      </c>
      <c r="E57" s="623" t="s">
        <v>556</v>
      </c>
      <c r="F57" s="624" t="s">
        <v>557</v>
      </c>
      <c r="G57" s="3492" t="s">
        <v>2269</v>
      </c>
      <c r="H57" s="3493"/>
      <c r="I57" s="1494" t="s">
        <v>1713</v>
      </c>
      <c r="J57" s="1494">
        <f>项目基本情况!F41</f>
        <v>0</v>
      </c>
      <c r="K57" s="2036" t="s">
        <v>1714</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2.75">
      <c r="A58" s="625" t="s">
        <v>558</v>
      </c>
      <c r="B58" s="626">
        <f>C50</f>
        <v>10602</v>
      </c>
      <c r="C58" s="627">
        <v>1</v>
      </c>
      <c r="D58" s="2109">
        <v>1</v>
      </c>
      <c r="E58" s="627">
        <f>'数据-汇总表'!E8+'数据-汇总表'!E9</f>
        <v>26283.599999999999</v>
      </c>
      <c r="F58" s="628">
        <f t="shared" ref="F58:F67" si="15">ROUND(B58*E58/10000,0)</f>
        <v>27866</v>
      </c>
      <c r="G58" s="3494"/>
      <c r="H58" s="3495"/>
      <c r="I58" s="1495">
        <v>1</v>
      </c>
      <c r="J58" s="1495">
        <v>1</v>
      </c>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559</v>
      </c>
      <c r="B59" s="630">
        <f>ROUND($C$50*C59*D59,0)</f>
        <v>1590</v>
      </c>
      <c r="C59" s="372">
        <f t="shared" ref="C59:C67" si="16">IF($C$57="北京市系数",I59,J59)</f>
        <v>0.6</v>
      </c>
      <c r="D59" s="2110">
        <v>0.25</v>
      </c>
      <c r="E59" s="631">
        <v>0</v>
      </c>
      <c r="F59" s="628">
        <f t="shared" si="15"/>
        <v>0</v>
      </c>
      <c r="G59" s="3496" t="s">
        <v>2270</v>
      </c>
      <c r="H59" s="1863" t="str">
        <f>项目基本情况!B43</f>
        <v>八级</v>
      </c>
      <c r="I59" s="1495">
        <f>SUMIF(修正!$A$45:$A$56,H59,修正!B45:B56)</f>
        <v>0.6</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560</v>
      </c>
      <c r="B60" s="630">
        <f t="shared" ref="B60:B67" si="17">ROUND($C$50*C60*D60,0)</f>
        <v>795</v>
      </c>
      <c r="C60" s="372">
        <f t="shared" si="16"/>
        <v>0.3</v>
      </c>
      <c r="D60" s="2110">
        <v>0.25</v>
      </c>
      <c r="E60" s="631">
        <v>0</v>
      </c>
      <c r="F60" s="628">
        <f t="shared" si="15"/>
        <v>0</v>
      </c>
      <c r="G60" s="3496"/>
      <c r="H60" s="1863" t="str">
        <f>项目基本情况!B43</f>
        <v>八级</v>
      </c>
      <c r="I60" s="1495">
        <f>SUMIF(修正!$A$45:$A$56,H60,修正!C45:C56)</f>
        <v>0.3</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561</v>
      </c>
      <c r="B61" s="630">
        <f t="shared" si="17"/>
        <v>530</v>
      </c>
      <c r="C61" s="372">
        <f t="shared" si="16"/>
        <v>0.2</v>
      </c>
      <c r="D61" s="2110">
        <v>0.25</v>
      </c>
      <c r="E61" s="631">
        <v>0</v>
      </c>
      <c r="F61" s="628">
        <f t="shared" si="15"/>
        <v>0</v>
      </c>
      <c r="G61" s="3496"/>
      <c r="H61" s="1863" t="str">
        <f>项目基本情况!B43</f>
        <v>八级</v>
      </c>
      <c r="I61" s="1495">
        <f>SUMIF(修正!$A$45:$A$56,H61,修正!D45:D56)</f>
        <v>0.2</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2.75">
      <c r="A62" s="629" t="s">
        <v>562</v>
      </c>
      <c r="B62" s="630">
        <f t="shared" si="17"/>
        <v>530</v>
      </c>
      <c r="C62" s="372">
        <f t="shared" si="16"/>
        <v>0.2</v>
      </c>
      <c r="D62" s="2110">
        <v>0.25</v>
      </c>
      <c r="E62" s="631">
        <v>0</v>
      </c>
      <c r="F62" s="628">
        <f t="shared" si="15"/>
        <v>0</v>
      </c>
      <c r="G62" s="3496"/>
      <c r="H62" s="1863" t="str">
        <f>项目基本情况!B43</f>
        <v>八级</v>
      </c>
      <c r="I62" s="1495">
        <f>SUMIF(修正!$A$45:$A$56,H62,修正!E45:E56)</f>
        <v>0.2</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2.75">
      <c r="A63" s="2212" t="s">
        <v>2316</v>
      </c>
      <c r="B63" s="630">
        <f t="shared" si="17"/>
        <v>530</v>
      </c>
      <c r="C63" s="372">
        <f t="shared" si="16"/>
        <v>0.2</v>
      </c>
      <c r="D63" s="2110">
        <v>0.25</v>
      </c>
      <c r="E63" s="633">
        <f>'数据-汇总表'!E11</f>
        <v>0</v>
      </c>
      <c r="F63" s="628">
        <f t="shared" si="15"/>
        <v>0</v>
      </c>
      <c r="G63" s="1860" t="s">
        <v>2271</v>
      </c>
      <c r="H63" s="1863" t="str">
        <f>项目基本情况!C43</f>
        <v>八级</v>
      </c>
      <c r="I63" s="1495">
        <f>SUMIF(修正!$A$45:$A$56,H63,修正!F45:F56)</f>
        <v>0.2</v>
      </c>
      <c r="J63" s="1496"/>
      <c r="K63" s="3219"/>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2.75">
      <c r="A64" s="629" t="s">
        <v>563</v>
      </c>
      <c r="B64" s="630">
        <f t="shared" si="17"/>
        <v>530</v>
      </c>
      <c r="C64" s="372">
        <f t="shared" si="16"/>
        <v>0.2</v>
      </c>
      <c r="D64" s="2110">
        <v>0.25</v>
      </c>
      <c r="E64" s="633">
        <f>'数据-汇总表'!E12</f>
        <v>0</v>
      </c>
      <c r="F64" s="628">
        <f t="shared" si="15"/>
        <v>0</v>
      </c>
      <c r="G64" s="1861" t="s">
        <v>1668</v>
      </c>
      <c r="H64" s="1859" t="str">
        <f>IF(G64="商业",项目基本情况!B43,IF(G64="办公",项目基本情况!C43,IF(G64="住宅",项目基本情况!D43,项目基本情况!E43)))</f>
        <v>八级</v>
      </c>
      <c r="I64" s="1495">
        <f>SUMIF(修正!$A$45:$A$56,H64,修正!G45:G56)</f>
        <v>0.2</v>
      </c>
      <c r="J64" s="1496"/>
      <c r="K64" s="3219"/>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2.75">
      <c r="A65" s="629" t="s">
        <v>564</v>
      </c>
      <c r="B65" s="630">
        <f t="shared" si="17"/>
        <v>0</v>
      </c>
      <c r="C65" s="372">
        <f t="shared" si="16"/>
        <v>0</v>
      </c>
      <c r="D65" s="2110">
        <v>0.25</v>
      </c>
      <c r="E65" s="633">
        <f>'数据-汇总表'!E13</f>
        <v>0</v>
      </c>
      <c r="F65" s="628">
        <f t="shared" si="15"/>
        <v>0</v>
      </c>
      <c r="G65" s="1861" t="s">
        <v>914</v>
      </c>
      <c r="H65" s="1859">
        <f>IF(G65="商业",项目基本情况!B43,IF(G65="办公",项目基本情况!C43,IF(G65="住宅",项目基本情况!D43,项目基本情况!E43)))</f>
        <v>0</v>
      </c>
      <c r="I65" s="1495">
        <f>SUMIF(修正!$A$45:$A$56,H65,修正!H45:H56)</f>
        <v>0</v>
      </c>
      <c r="J65" s="1496"/>
      <c r="K65" s="3219"/>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2.75">
      <c r="A66" s="629" t="s">
        <v>565</v>
      </c>
      <c r="B66" s="630">
        <f t="shared" si="17"/>
        <v>398</v>
      </c>
      <c r="C66" s="372">
        <f t="shared" si="16"/>
        <v>0.15</v>
      </c>
      <c r="D66" s="2110">
        <v>0.25</v>
      </c>
      <c r="E66" s="633">
        <f>'数据-汇总表'!E14</f>
        <v>0</v>
      </c>
      <c r="F66" s="628">
        <f t="shared" si="15"/>
        <v>0</v>
      </c>
      <c r="G66" s="1860" t="s">
        <v>2270</v>
      </c>
      <c r="H66" s="1863" t="str">
        <f>项目基本情况!B43</f>
        <v>八级</v>
      </c>
      <c r="I66" s="1495">
        <f>SUMIF(修正!$A$45:$A$56,H66,修正!H45:H56)</f>
        <v>0.15</v>
      </c>
      <c r="J66" s="1496"/>
      <c r="K66" s="3219"/>
      <c r="L66" s="2037"/>
      <c r="M66" s="2037"/>
      <c r="N66" s="2037"/>
      <c r="O66" s="2037"/>
      <c r="P66" s="2037"/>
      <c r="Q66" s="2037"/>
      <c r="R66" s="2037"/>
      <c r="S66" s="2037"/>
      <c r="T66" s="2037"/>
      <c r="U66" s="2037"/>
      <c r="V66" s="2037"/>
      <c r="W66" s="2037"/>
      <c r="X66" s="2037"/>
      <c r="Y66" s="2037"/>
      <c r="Z66" s="2037"/>
      <c r="AA66" s="2037"/>
      <c r="AB66" s="2037"/>
      <c r="AC66" s="2037"/>
    </row>
    <row r="67" spans="1:29" s="1299" customFormat="1" ht="13.5" thickBot="1">
      <c r="A67" s="629" t="s">
        <v>566</v>
      </c>
      <c r="B67" s="630">
        <f t="shared" si="17"/>
        <v>398</v>
      </c>
      <c r="C67" s="372">
        <f t="shared" si="16"/>
        <v>0.15</v>
      </c>
      <c r="D67" s="2110">
        <v>0.25</v>
      </c>
      <c r="E67" s="633">
        <f>'数据-汇总表'!E15</f>
        <v>0</v>
      </c>
      <c r="F67" s="628">
        <f t="shared" si="15"/>
        <v>0</v>
      </c>
      <c r="G67" s="1862" t="s">
        <v>2271</v>
      </c>
      <c r="H67" s="1864" t="str">
        <f>项目基本情况!C43</f>
        <v>八级</v>
      </c>
      <c r="I67" s="1495">
        <f>SUMIF(修正!$A$45:$A$56,H67,修正!H45:H56)</f>
        <v>0.15</v>
      </c>
      <c r="J67" s="1496"/>
      <c r="K67" s="3219"/>
      <c r="L67" s="2037"/>
      <c r="M67" s="2037"/>
      <c r="N67" s="2037"/>
      <c r="O67" s="2037"/>
      <c r="P67" s="2037"/>
      <c r="Q67" s="2037"/>
      <c r="R67" s="2037"/>
      <c r="S67" s="2037"/>
      <c r="T67" s="2037"/>
      <c r="U67" s="2037"/>
      <c r="V67" s="2037"/>
      <c r="W67" s="2037"/>
      <c r="X67" s="2037"/>
      <c r="Y67" s="2037"/>
      <c r="Z67" s="2037"/>
      <c r="AA67" s="2037"/>
      <c r="AB67" s="2037"/>
      <c r="AC67" s="2037"/>
    </row>
    <row r="68" spans="1:29" s="1299" customFormat="1" ht="13.5" thickBot="1">
      <c r="A68" s="634" t="s">
        <v>567</v>
      </c>
      <c r="B68" s="635" t="s">
        <v>17</v>
      </c>
      <c r="C68" s="635" t="s">
        <v>18</v>
      </c>
      <c r="D68" s="635" t="s">
        <v>2282</v>
      </c>
      <c r="E68" s="635">
        <f>IF(B48="楼面地价",SUM(E58:E67),'数据-汇总表'!D3)</f>
        <v>26283.599999999999</v>
      </c>
      <c r="F68" s="636">
        <f>IF(B48="楼面地价",SUM(F58:F67),ROUND(C50*E68/10000,0))</f>
        <v>27866</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2021-5-1</v>
      </c>
      <c r="D70" s="2517">
        <f>EDATE(C70,-3)</f>
        <v>44228</v>
      </c>
      <c r="E70" s="2517">
        <f t="shared" ref="E70:N70" si="18">EDATE(D70,-3)</f>
        <v>44136</v>
      </c>
      <c r="F70" s="2517">
        <f t="shared" si="18"/>
        <v>44044</v>
      </c>
      <c r="G70" s="2517">
        <f t="shared" si="18"/>
        <v>43952</v>
      </c>
      <c r="H70" s="2517">
        <f t="shared" si="18"/>
        <v>43862</v>
      </c>
      <c r="I70" s="2517">
        <f t="shared" si="18"/>
        <v>43770</v>
      </c>
      <c r="J70" s="2517">
        <f t="shared" si="18"/>
        <v>43678</v>
      </c>
      <c r="K70" s="2517">
        <f t="shared" si="18"/>
        <v>43586</v>
      </c>
      <c r="L70" s="2517">
        <f t="shared" si="18"/>
        <v>43497</v>
      </c>
      <c r="M70" s="2517">
        <f t="shared" si="18"/>
        <v>43405</v>
      </c>
      <c r="N70" s="2517">
        <f t="shared" si="18"/>
        <v>43313</v>
      </c>
      <c r="O70" s="2028"/>
      <c r="P70" s="2028"/>
      <c r="Q70" s="2028"/>
      <c r="R70" s="2028"/>
      <c r="S70" s="2028"/>
      <c r="T70" s="2028"/>
      <c r="U70" s="2028"/>
      <c r="V70" s="2028"/>
      <c r="W70" s="2028"/>
      <c r="X70" s="2028"/>
      <c r="Y70" s="2028"/>
      <c r="Z70" s="2028"/>
      <c r="AA70" s="2028"/>
      <c r="AB70" s="2028"/>
      <c r="AC70" s="2028"/>
    </row>
    <row r="71" spans="1:29" ht="21.75"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28.5">
      <c r="A72" s="2422" t="s">
        <v>2513</v>
      </c>
      <c r="B72" s="2423"/>
      <c r="C72" s="2514" t="str">
        <f>YEAR(C70)&amp;"-"&amp;ROUNDUP(MONTH(C70)/3,0)</f>
        <v>2021-2</v>
      </c>
      <c r="D72" s="2519" t="str">
        <f>YEAR(D70)&amp;"-"&amp;ROUNDUP(MONTH(D70)/3,0)</f>
        <v>2021-1</v>
      </c>
      <c r="E72" s="2519" t="str">
        <f t="shared" ref="E72:N72" si="19">YEAR(E70)&amp;"-"&amp;ROUNDUP(MONTH(E70)/3,0)</f>
        <v>2020-4</v>
      </c>
      <c r="F72" s="2519" t="str">
        <f t="shared" si="19"/>
        <v>2020-3</v>
      </c>
      <c r="G72" s="2519" t="str">
        <f t="shared" si="19"/>
        <v>2020-2</v>
      </c>
      <c r="H72" s="2519" t="str">
        <f t="shared" si="19"/>
        <v>2020-1</v>
      </c>
      <c r="I72" s="2519" t="str">
        <f t="shared" si="19"/>
        <v>2019-4</v>
      </c>
      <c r="J72" s="2519" t="str">
        <f t="shared" si="19"/>
        <v>2019-3</v>
      </c>
      <c r="K72" s="2519" t="str">
        <f t="shared" si="19"/>
        <v>2019-2</v>
      </c>
      <c r="L72" s="2519" t="str">
        <f t="shared" si="19"/>
        <v>2019-1</v>
      </c>
      <c r="M72" s="2519" t="str">
        <f t="shared" si="19"/>
        <v>2018-4</v>
      </c>
      <c r="N72" s="2519" t="str">
        <f t="shared" si="19"/>
        <v>2018-3</v>
      </c>
      <c r="O72" s="3288" t="s">
        <v>3032</v>
      </c>
      <c r="P72" s="3288" t="s">
        <v>3033</v>
      </c>
      <c r="Q72" s="3288" t="s">
        <v>3034</v>
      </c>
      <c r="R72" s="3288" t="s">
        <v>3035</v>
      </c>
      <c r="S72" s="3288" t="s">
        <v>3036</v>
      </c>
      <c r="T72" s="3288" t="s">
        <v>3037</v>
      </c>
      <c r="U72" s="3288"/>
      <c r="V72" s="2043"/>
      <c r="W72" s="2043"/>
      <c r="X72" s="2043"/>
      <c r="Y72" s="2043"/>
      <c r="Z72" s="2043"/>
      <c r="AA72" s="2043"/>
      <c r="AB72" s="2043"/>
      <c r="AC72" s="2043"/>
    </row>
    <row r="73" spans="1:29" s="1203" customFormat="1" ht="27" customHeight="1">
      <c r="A73" s="2524" t="s">
        <v>2627</v>
      </c>
      <c r="B73" s="473" t="str">
        <f>"北京市平均增长率"&amp;TEXT(SUMIF(基准地价!N21:N25,A73,基准地价!P21:P25),"0.00%")</f>
        <v>北京市平均增长率1.73%</v>
      </c>
      <c r="C73" s="883">
        <v>100</v>
      </c>
      <c r="D73" s="722">
        <v>99.5</v>
      </c>
      <c r="E73" s="722">
        <v>99</v>
      </c>
      <c r="F73" s="722">
        <v>98.5</v>
      </c>
      <c r="G73" s="722">
        <v>98</v>
      </c>
      <c r="H73" s="722">
        <v>97.5</v>
      </c>
      <c r="I73" s="722">
        <v>97</v>
      </c>
      <c r="J73" s="722">
        <v>96.5</v>
      </c>
      <c r="K73" s="722">
        <v>96</v>
      </c>
      <c r="L73" s="722">
        <v>95.5</v>
      </c>
      <c r="M73" s="722">
        <v>95</v>
      </c>
      <c r="N73" s="722">
        <v>94.5</v>
      </c>
      <c r="O73" s="722">
        <v>94</v>
      </c>
      <c r="P73" s="722">
        <v>93.5</v>
      </c>
      <c r="Q73" s="722">
        <v>93</v>
      </c>
      <c r="R73" s="722">
        <v>92.5</v>
      </c>
      <c r="S73" s="722">
        <v>92</v>
      </c>
      <c r="T73" s="722">
        <v>91.5</v>
      </c>
      <c r="U73" s="722"/>
      <c r="V73" s="1906"/>
      <c r="W73" s="1906"/>
      <c r="X73" s="1906"/>
      <c r="Y73" s="1906"/>
      <c r="Z73" s="1906"/>
      <c r="AA73" s="1906"/>
      <c r="AB73" s="1906"/>
      <c r="AC73" s="1906"/>
    </row>
    <row r="74" spans="1:29" s="1203" customFormat="1" ht="15" customHeight="1" thickBot="1">
      <c r="A74" s="2515" t="s">
        <v>2626</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5">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5.75"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ht="27.75">
      <c r="A77" s="656" t="s">
        <v>571</v>
      </c>
      <c r="B77" s="657" t="s">
        <v>528</v>
      </c>
      <c r="C77" s="3287" t="s">
        <v>3023</v>
      </c>
      <c r="D77" s="3287" t="s">
        <v>3029</v>
      </c>
      <c r="E77" s="592" t="s">
        <v>3028</v>
      </c>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7.75"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75" thickTop="1">
      <c r="A81" s="661"/>
      <c r="B81" s="673" t="s">
        <v>532</v>
      </c>
      <c r="C81" s="674" t="str">
        <f>C82&amp;"（含）"&amp;"-"&amp;D82</f>
        <v>0（含）-0.5</v>
      </c>
      <c r="D81" s="674" t="str">
        <f t="shared" ref="D81:L81" si="20">D82&amp;"（含）"&amp;"-"&amp;E82</f>
        <v>0.5（含）-1</v>
      </c>
      <c r="E81" s="674" t="str">
        <f t="shared" si="20"/>
        <v>1（含）-1.5</v>
      </c>
      <c r="F81" s="674" t="str">
        <f t="shared" si="20"/>
        <v>1.5（含）-2</v>
      </c>
      <c r="G81" s="674" t="str">
        <f t="shared" si="20"/>
        <v>2（含）-2.5</v>
      </c>
      <c r="H81" s="674" t="str">
        <f t="shared" si="20"/>
        <v>2.5（含）-3</v>
      </c>
      <c r="I81" s="674" t="str">
        <f t="shared" si="20"/>
        <v>3（含）-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ht="15">
      <c r="A82" s="661"/>
      <c r="B82" s="675"/>
      <c r="C82" s="535">
        <v>0</v>
      </c>
      <c r="D82" s="535">
        <v>0.5</v>
      </c>
      <c r="E82" s="535">
        <v>1</v>
      </c>
      <c r="F82" s="535">
        <v>1.5</v>
      </c>
      <c r="G82" s="535">
        <v>2</v>
      </c>
      <c r="H82" s="535">
        <v>2.5</v>
      </c>
      <c r="I82" s="535">
        <v>3</v>
      </c>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5.75" thickBot="1">
      <c r="A83" s="661"/>
      <c r="B83" s="662"/>
      <c r="C83" s="671">
        <v>100</v>
      </c>
      <c r="D83" s="671">
        <f>IF($B$48="单位面积地价",C83+$K13,C83-$K13)</f>
        <v>96</v>
      </c>
      <c r="E83" s="671">
        <f t="shared" ref="E83:M83" si="21">IF($B$48="单位面积地价",D83+$K13,D83-$K13)</f>
        <v>92</v>
      </c>
      <c r="F83" s="671">
        <f t="shared" si="21"/>
        <v>88</v>
      </c>
      <c r="G83" s="671">
        <f t="shared" si="21"/>
        <v>84</v>
      </c>
      <c r="H83" s="671">
        <f t="shared" si="21"/>
        <v>80</v>
      </c>
      <c r="I83" s="671">
        <f t="shared" si="21"/>
        <v>76</v>
      </c>
      <c r="J83" s="671">
        <f t="shared" si="21"/>
        <v>72</v>
      </c>
      <c r="K83" s="671">
        <f t="shared" si="21"/>
        <v>68</v>
      </c>
      <c r="L83" s="671">
        <f t="shared" si="21"/>
        <v>64</v>
      </c>
      <c r="M83" s="671">
        <f t="shared" si="21"/>
        <v>60</v>
      </c>
      <c r="N83" s="2048"/>
      <c r="O83" s="2048"/>
      <c r="P83" s="2047"/>
      <c r="Q83" s="2040"/>
      <c r="R83" s="2028"/>
      <c r="S83" s="2028"/>
      <c r="T83" s="2028"/>
      <c r="U83" s="2028"/>
      <c r="V83" s="2028"/>
      <c r="W83" s="2028"/>
      <c r="X83" s="2028"/>
      <c r="Y83" s="2028"/>
      <c r="Z83" s="2028"/>
      <c r="AA83" s="2028"/>
      <c r="AB83" s="2028"/>
      <c r="AC83" s="2028"/>
    </row>
    <row r="84" spans="1:29" s="1293" customFormat="1" ht="15.75" thickTop="1">
      <c r="A84" s="679"/>
      <c r="B84" s="665" t="str">
        <f>B14</f>
        <v>配建</v>
      </c>
      <c r="C84" s="3291" t="s">
        <v>3054</v>
      </c>
      <c r="D84" s="1327" t="s">
        <v>3055</v>
      </c>
      <c r="E84" s="1328" t="s">
        <v>3056</v>
      </c>
      <c r="F84" s="680" t="s">
        <v>3059</v>
      </c>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v>100</v>
      </c>
      <c r="D85" s="663">
        <v>95</v>
      </c>
      <c r="E85" s="663">
        <v>90</v>
      </c>
      <c r="F85" s="663">
        <v>85</v>
      </c>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5.75" thickTop="1">
      <c r="A86" s="679"/>
      <c r="B86" s="665">
        <f>B15</f>
        <v>111</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5.75"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5.75" thickTop="1">
      <c r="A88" s="679"/>
      <c r="B88" s="673">
        <f>B16</f>
        <v>111</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5.75"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5.75"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7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71">
        <v>100</v>
      </c>
      <c r="D93" s="671">
        <f>C93-$K19</f>
        <v>95</v>
      </c>
      <c r="E93" s="671">
        <f>D93-$K19</f>
        <v>90</v>
      </c>
      <c r="F93" s="671">
        <f>E93-$K19</f>
        <v>85</v>
      </c>
      <c r="G93" s="671">
        <f>F93-$K19</f>
        <v>80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7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71">
        <v>100</v>
      </c>
      <c r="D95" s="671">
        <f>C95-$K21</f>
        <v>95</v>
      </c>
      <c r="E95" s="671">
        <f>D95-$K21</f>
        <v>90</v>
      </c>
      <c r="F95" s="671">
        <f>E95-$K21</f>
        <v>85</v>
      </c>
      <c r="G95" s="671">
        <f>F95-$K21</f>
        <v>80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7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71">
        <v>100</v>
      </c>
      <c r="D97" s="671">
        <f>C97-$K23</f>
        <v>95</v>
      </c>
      <c r="E97" s="671">
        <f>D97-$K23</f>
        <v>90</v>
      </c>
      <c r="F97" s="671">
        <f>E97-$K23</f>
        <v>85</v>
      </c>
      <c r="G97" s="671">
        <f>F97-$K23</f>
        <v>80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5.75" thickBot="1">
      <c r="A99" s="701"/>
      <c r="B99" s="670"/>
      <c r="C99" s="704">
        <v>100</v>
      </c>
      <c r="D99" s="671">
        <f>C99-$K25</f>
        <v>97</v>
      </c>
      <c r="E99" s="671">
        <f>D99-$K25</f>
        <v>94</v>
      </c>
      <c r="F99" s="671">
        <f>E99-$K25</f>
        <v>91</v>
      </c>
      <c r="G99" s="671">
        <f>F99-$K25</f>
        <v>88</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5.75" thickBot="1">
      <c r="A101" s="701"/>
      <c r="B101" s="670"/>
      <c r="C101" s="671">
        <v>100</v>
      </c>
      <c r="D101" s="671">
        <f>C101-$K27</f>
        <v>95</v>
      </c>
      <c r="E101" s="671">
        <f>D101-$K27</f>
        <v>90</v>
      </c>
      <c r="F101" s="671">
        <f>E101-$K27</f>
        <v>85</v>
      </c>
      <c r="G101" s="671">
        <f>F101-$K27</f>
        <v>80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75" thickTop="1">
      <c r="A102" s="679"/>
      <c r="B102" s="1811" t="s">
        <v>2529</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5.75" thickBot="1">
      <c r="A103" s="679"/>
      <c r="B103" s="670"/>
      <c r="C103" s="671">
        <v>100</v>
      </c>
      <c r="D103" s="671">
        <f>C103-$K29</f>
        <v>95</v>
      </c>
      <c r="E103" s="671">
        <f>D103-$K29</f>
        <v>90</v>
      </c>
      <c r="F103" s="671">
        <f>E103-$K29</f>
        <v>85</v>
      </c>
      <c r="G103" s="671">
        <f>F103-$K29</f>
        <v>80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Top="1">
      <c r="A104" s="679"/>
      <c r="B104" s="2442" t="s">
        <v>2531</v>
      </c>
      <c r="C104" s="2443" t="s">
        <v>2532</v>
      </c>
      <c r="D104" s="2443" t="s">
        <v>2533</v>
      </c>
      <c r="E104" s="2443" t="s">
        <v>2534</v>
      </c>
      <c r="F104" s="2443" t="s">
        <v>2535</v>
      </c>
      <c r="G104" s="2443" t="s">
        <v>2536</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5.75" thickBot="1">
      <c r="A105" s="679"/>
      <c r="B105" s="673"/>
      <c r="C105" s="671">
        <v>100</v>
      </c>
      <c r="D105" s="671">
        <f>C105-$K31</f>
        <v>99</v>
      </c>
      <c r="E105" s="671">
        <f>D105-$K31</f>
        <v>98</v>
      </c>
      <c r="F105" s="671">
        <f>E105-$K31</f>
        <v>97</v>
      </c>
      <c r="G105" s="671">
        <f>F105-$K31</f>
        <v>96</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7.75"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7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5.75"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5"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5"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5.75"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8.5">
      <c r="A118" s="656" t="s">
        <v>545</v>
      </c>
      <c r="B118" s="657" t="s">
        <v>587</v>
      </c>
      <c r="C118" s="696" t="str">
        <f t="shared" ref="C118:L118" si="25">C119&amp;"(含)"&amp;"-"&amp;D119</f>
        <v>0(含)-50000</v>
      </c>
      <c r="D118" s="696" t="str">
        <f t="shared" si="25"/>
        <v>50000(含)-100000</v>
      </c>
      <c r="E118" s="696" t="str">
        <f t="shared" si="25"/>
        <v>100000(含)-150000</v>
      </c>
      <c r="F118" s="696" t="str">
        <f t="shared" si="25"/>
        <v>150000(含)-200000</v>
      </c>
      <c r="G118" s="696" t="str">
        <f t="shared" si="25"/>
        <v>200000(含)-</v>
      </c>
      <c r="H118" s="696" t="str">
        <f t="shared" si="25"/>
        <v>(含)-</v>
      </c>
      <c r="I118" s="696" t="str">
        <f t="shared" si="25"/>
        <v>(含)-</v>
      </c>
      <c r="J118" s="2780" t="str">
        <f t="shared" si="25"/>
        <v>(含)-</v>
      </c>
      <c r="K118" s="2780" t="str">
        <f t="shared" si="25"/>
        <v>(含)-</v>
      </c>
      <c r="L118" s="2781" t="str">
        <f t="shared" si="25"/>
        <v>(含)-</v>
      </c>
      <c r="M118" s="2782"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ht="15">
      <c r="A119" s="661"/>
      <c r="B119" s="673"/>
      <c r="C119" s="722">
        <v>0</v>
      </c>
      <c r="D119" s="722">
        <v>50000</v>
      </c>
      <c r="E119" s="722">
        <v>100000</v>
      </c>
      <c r="F119" s="722">
        <v>150000</v>
      </c>
      <c r="G119" s="722">
        <v>200000</v>
      </c>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5.75" thickBot="1">
      <c r="A120" s="661"/>
      <c r="B120" s="670"/>
      <c r="C120" s="692">
        <v>100</v>
      </c>
      <c r="D120" s="718">
        <v>101</v>
      </c>
      <c r="E120" s="692">
        <v>102</v>
      </c>
      <c r="F120" s="718">
        <v>103</v>
      </c>
      <c r="G120" s="718">
        <v>104</v>
      </c>
      <c r="H120" s="692"/>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5.75" thickBot="1">
      <c r="A122" s="661"/>
      <c r="B122" s="670"/>
      <c r="C122" s="671">
        <v>100</v>
      </c>
      <c r="D122" s="671">
        <f t="shared" ref="D122:M122" si="26">C122-$K41</f>
        <v>99</v>
      </c>
      <c r="E122" s="671">
        <f t="shared" si="26"/>
        <v>98</v>
      </c>
      <c r="F122" s="671">
        <f t="shared" si="26"/>
        <v>97</v>
      </c>
      <c r="G122" s="671">
        <f t="shared" si="26"/>
        <v>96</v>
      </c>
      <c r="H122" s="671">
        <f t="shared" si="26"/>
        <v>95</v>
      </c>
      <c r="I122" s="671">
        <f t="shared" si="26"/>
        <v>94</v>
      </c>
      <c r="J122" s="671">
        <f t="shared" si="26"/>
        <v>93</v>
      </c>
      <c r="K122" s="671">
        <f t="shared" si="26"/>
        <v>92</v>
      </c>
      <c r="L122" s="671">
        <f t="shared" si="26"/>
        <v>91</v>
      </c>
      <c r="M122" s="672">
        <f t="shared" si="26"/>
        <v>90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27">C124-$K42</f>
        <v>99</v>
      </c>
      <c r="E124" s="671">
        <f t="shared" si="27"/>
        <v>98</v>
      </c>
      <c r="F124" s="671">
        <f t="shared" si="27"/>
        <v>97</v>
      </c>
      <c r="G124" s="671">
        <f t="shared" si="27"/>
        <v>96</v>
      </c>
      <c r="H124" s="671">
        <f t="shared" si="27"/>
        <v>95</v>
      </c>
      <c r="I124" s="671">
        <f t="shared" si="27"/>
        <v>94</v>
      </c>
      <c r="J124" s="671">
        <f t="shared" si="27"/>
        <v>93</v>
      </c>
      <c r="K124" s="671">
        <f t="shared" si="27"/>
        <v>92</v>
      </c>
      <c r="L124" s="671">
        <f t="shared" si="27"/>
        <v>91</v>
      </c>
      <c r="M124" s="672">
        <f t="shared" si="27"/>
        <v>90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2410</v>
      </c>
      <c r="C125" s="1327" t="s">
        <v>3042</v>
      </c>
      <c r="D125" s="1327" t="s">
        <v>3051</v>
      </c>
      <c r="E125" s="1327" t="s">
        <v>3044</v>
      </c>
      <c r="F125" s="1327" t="s">
        <v>3052</v>
      </c>
      <c r="G125" s="1327" t="s">
        <v>3049</v>
      </c>
      <c r="H125" s="3292" t="s">
        <v>3057</v>
      </c>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5.75" thickBot="1">
      <c r="A126" s="679"/>
      <c r="B126" s="670"/>
      <c r="C126" s="671">
        <v>100</v>
      </c>
      <c r="D126" s="671">
        <f>C126-$K43</f>
        <v>99.5</v>
      </c>
      <c r="E126" s="671">
        <f t="shared" ref="E126:M126" si="28">D126-$K43</f>
        <v>99</v>
      </c>
      <c r="F126" s="671">
        <f t="shared" si="28"/>
        <v>98.5</v>
      </c>
      <c r="G126" s="671">
        <f t="shared" si="28"/>
        <v>98</v>
      </c>
      <c r="H126" s="671">
        <f t="shared" si="28"/>
        <v>97.5</v>
      </c>
      <c r="I126" s="671">
        <f t="shared" si="28"/>
        <v>97</v>
      </c>
      <c r="J126" s="671">
        <f t="shared" si="28"/>
        <v>96.5</v>
      </c>
      <c r="K126" s="671">
        <f t="shared" si="28"/>
        <v>96</v>
      </c>
      <c r="L126" s="671">
        <f t="shared" si="28"/>
        <v>95.5</v>
      </c>
      <c r="M126" s="672">
        <f t="shared" si="28"/>
        <v>95</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5.75" thickBot="1">
      <c r="A128" s="661"/>
      <c r="B128" s="670"/>
      <c r="C128" s="671">
        <v>100</v>
      </c>
      <c r="D128" s="671">
        <f t="shared" ref="D128:M128" si="29">C128-$K44</f>
        <v>99</v>
      </c>
      <c r="E128" s="671">
        <f t="shared" si="29"/>
        <v>98</v>
      </c>
      <c r="F128" s="671">
        <f t="shared" si="29"/>
        <v>97</v>
      </c>
      <c r="G128" s="671">
        <f t="shared" si="29"/>
        <v>96</v>
      </c>
      <c r="H128" s="671">
        <f t="shared" si="29"/>
        <v>95</v>
      </c>
      <c r="I128" s="671">
        <f t="shared" si="29"/>
        <v>94</v>
      </c>
      <c r="J128" s="671">
        <f t="shared" si="29"/>
        <v>93</v>
      </c>
      <c r="K128" s="671">
        <f t="shared" si="29"/>
        <v>92</v>
      </c>
      <c r="L128" s="671">
        <f t="shared" si="29"/>
        <v>91</v>
      </c>
      <c r="M128" s="672">
        <f t="shared" si="29"/>
        <v>90</v>
      </c>
      <c r="N128" s="2048"/>
      <c r="O128" s="2048"/>
      <c r="P128" s="2047"/>
      <c r="Q128" s="2040"/>
      <c r="R128" s="2028"/>
      <c r="S128" s="2028"/>
      <c r="T128" s="2028"/>
      <c r="U128" s="2028"/>
      <c r="V128" s="2028"/>
      <c r="W128" s="2028"/>
      <c r="X128" s="2028"/>
      <c r="Y128" s="2028"/>
      <c r="Z128" s="2028"/>
      <c r="AA128" s="2028"/>
      <c r="AB128" s="2028"/>
      <c r="AC128" s="2028"/>
    </row>
    <row r="129" spans="1:29" ht="15"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5"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5.75"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5"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5.75"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8" stopIfTrue="1" operator="containsText" text="超过">
      <formula>NOT(ISERROR(SEARCH("超过",F53)))</formula>
    </cfRule>
  </conditionalFormatting>
  <conditionalFormatting sqref="J55">
    <cfRule type="containsText" dxfId="162" priority="17" stopIfTrue="1" operator="containsText" text="超过">
      <formula>NOT(ISERROR(SEARCH("超过",J55)))</formula>
    </cfRule>
  </conditionalFormatting>
  <conditionalFormatting sqref="H55">
    <cfRule type="containsText" dxfId="161" priority="16" stopIfTrue="1" operator="containsText" text="超过">
      <formula>NOT(ISERROR(SEARCH("超过",H55)))</formula>
    </cfRule>
  </conditionalFormatting>
  <conditionalFormatting sqref="F55">
    <cfRule type="containsText" dxfId="160" priority="15" stopIfTrue="1" operator="containsText" text="超过">
      <formula>NOT(ISERROR(SEARCH("超过",F55)))</formula>
    </cfRule>
  </conditionalFormatting>
  <conditionalFormatting sqref="F54 H54 J54">
    <cfRule type="containsText" dxfId="159" priority="14" stopIfTrue="1" operator="containsText" text="超过">
      <formula>NOT(ISERROR(SEARCH("超过",F54)))</formula>
    </cfRule>
  </conditionalFormatting>
  <conditionalFormatting sqref="E53">
    <cfRule type="expression" dxfId="158" priority="13" stopIfTrue="1">
      <formula>$F$53="超过30%"</formula>
    </cfRule>
  </conditionalFormatting>
  <conditionalFormatting sqref="G55">
    <cfRule type="expression" dxfId="157" priority="12" stopIfTrue="1">
      <formula>$H$55="超过30%"</formula>
    </cfRule>
  </conditionalFormatting>
  <conditionalFormatting sqref="E54">
    <cfRule type="expression" dxfId="156" priority="11" stopIfTrue="1">
      <formula>$F$54="超过20%"</formula>
    </cfRule>
  </conditionalFormatting>
  <conditionalFormatting sqref="E55">
    <cfRule type="expression" dxfId="155" priority="10" stopIfTrue="1">
      <formula>$F$55="超过30%"</formula>
    </cfRule>
  </conditionalFormatting>
  <conditionalFormatting sqref="G53">
    <cfRule type="expression" dxfId="154" priority="9" stopIfTrue="1">
      <formula>$H$55+$H$53="超过30%"</formula>
    </cfRule>
  </conditionalFormatting>
  <conditionalFormatting sqref="G54">
    <cfRule type="expression" dxfId="153" priority="8" stopIfTrue="1">
      <formula>$H$54="超过20%"</formula>
    </cfRule>
  </conditionalFormatting>
  <conditionalFormatting sqref="I53">
    <cfRule type="expression" dxfId="152" priority="7" stopIfTrue="1">
      <formula>$J$53="超过30%"</formula>
    </cfRule>
  </conditionalFormatting>
  <conditionalFormatting sqref="I54">
    <cfRule type="expression" dxfId="151" priority="6" stopIfTrue="1">
      <formula>$J$54="超过20%"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9:F47 H9:H47 J9:J47">
    <cfRule type="cellIs" dxfId="146"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4" customWidth="1"/>
    <col min="2" max="2" width="10.75" style="1584" customWidth="1"/>
    <col min="3" max="4" width="11.625" style="1584" customWidth="1"/>
    <col min="5" max="5" width="6.625" style="1584" customWidth="1"/>
    <col min="6" max="16384" width="9" style="1584"/>
  </cols>
  <sheetData>
    <row r="36" spans="1:9">
      <c r="A36" s="1583" t="s">
        <v>1892</v>
      </c>
      <c r="B36" s="1583" t="s">
        <v>1893</v>
      </c>
    </row>
    <row r="37" spans="1:9" ht="28.5" customHeight="1">
      <c r="A37" s="1583"/>
      <c r="B37" s="3298" t="str">
        <f>项目基本情况!B1</f>
        <v>北京市出让国有建设用地使用权市场价格预评估</v>
      </c>
      <c r="C37" s="3298"/>
      <c r="D37" s="3298"/>
      <c r="E37" s="3298"/>
      <c r="F37" s="3298"/>
      <c r="G37" s="3298"/>
      <c r="H37" s="3298"/>
      <c r="I37" s="3298"/>
    </row>
    <row r="38" spans="1:9">
      <c r="A38" s="1585"/>
      <c r="B38" s="1585"/>
    </row>
    <row r="39" spans="1:9">
      <c r="A39" s="1583" t="s">
        <v>1892</v>
      </c>
      <c r="B39" s="1583" t="s">
        <v>2035</v>
      </c>
    </row>
    <row r="40" spans="1:9">
      <c r="A40" s="1583"/>
      <c r="B40" s="1583">
        <f>项目基本情况!B5</f>
        <v>0</v>
      </c>
    </row>
    <row r="41" spans="1:9">
      <c r="A41" s="1583"/>
      <c r="B41" s="1583"/>
    </row>
    <row r="42" spans="1:9">
      <c r="A42" s="1583" t="s">
        <v>1892</v>
      </c>
      <c r="B42" s="1583" t="s">
        <v>2036</v>
      </c>
    </row>
    <row r="43" spans="1:9">
      <c r="A43" s="1583"/>
      <c r="B43" s="1583" t="s">
        <v>1894</v>
      </c>
    </row>
    <row r="44" spans="1:9">
      <c r="A44" s="1583"/>
      <c r="B44" s="1583"/>
    </row>
    <row r="45" spans="1:9">
      <c r="A45" s="1583" t="s">
        <v>1892</v>
      </c>
      <c r="B45" s="1583" t="s">
        <v>2034</v>
      </c>
    </row>
    <row r="46" spans="1:9" s="1583" customFormat="1" ht="12.75">
      <c r="B46" s="1583" t="str">
        <f>项目基本情况!K4</f>
        <v>王鹏、郑燚</v>
      </c>
    </row>
    <row r="47" spans="1:9">
      <c r="A47" s="1583"/>
      <c r="B47" s="1583"/>
    </row>
    <row r="48" spans="1:9">
      <c r="A48" s="1583" t="s">
        <v>1892</v>
      </c>
      <c r="B48" s="1583" t="s">
        <v>2037</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2007" customWidth="1"/>
    <col min="2" max="2" width="25.75" style="1997" customWidth="1"/>
    <col min="3" max="3" width="10.375" style="2008" customWidth="1"/>
    <col min="4" max="4" width="12" style="1997" customWidth="1"/>
    <col min="5" max="5" width="9.5" style="2007" customWidth="1"/>
    <col min="6" max="6" width="10.125" style="1997" customWidth="1"/>
    <col min="7" max="7" width="11.62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31" s="1925" customFormat="1" ht="20.25">
      <c r="A1" s="1986"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31" s="1925" customFormat="1" ht="18" customHeight="1">
      <c r="A2" s="1984" t="s">
        <v>461</v>
      </c>
      <c r="B2" s="1988">
        <f ca="1">C36</f>
        <v>-11403</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1675</v>
      </c>
      <c r="B3" s="1990">
        <f ca="1">ROUND(B2*10000/IF(B1="",'数据-汇总表'!E3,INDIRECT("'数据-取费表'!K"&amp;$K$1)),0)</f>
        <v>-4338</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-8677</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-578</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1833</v>
      </c>
      <c r="B6" s="2547"/>
      <c r="C6" s="2548">
        <f>SUM(C10:K10)</f>
        <v>0</v>
      </c>
      <c r="D6" s="2547"/>
      <c r="E6" s="2547"/>
      <c r="F6" s="2547"/>
      <c r="G6" s="2547"/>
      <c r="H6" s="2547"/>
      <c r="I6" s="2547"/>
      <c r="J6" s="2547"/>
      <c r="K6" s="2549"/>
      <c r="L6" s="3197"/>
      <c r="M6" s="3197"/>
      <c r="N6" s="3197"/>
      <c r="O6" s="3197"/>
      <c r="P6" s="3197"/>
      <c r="Q6" s="3197"/>
      <c r="R6" s="3197"/>
      <c r="S6" s="3197"/>
      <c r="T6" s="3197"/>
      <c r="U6" s="3197"/>
      <c r="V6" s="3197"/>
      <c r="W6" s="3197"/>
      <c r="X6" s="3197"/>
      <c r="Y6" s="3197"/>
      <c r="Z6" s="3197"/>
    </row>
    <row r="7" spans="1:31" s="1996" customFormat="1" ht="15">
      <c r="A7" s="2550" t="s">
        <v>464</v>
      </c>
      <c r="B7" s="2551" t="s">
        <v>465</v>
      </c>
      <c r="C7" s="430"/>
      <c r="D7" s="430"/>
      <c r="E7" s="430"/>
      <c r="F7" s="430"/>
      <c r="G7" s="430"/>
      <c r="H7" s="430"/>
      <c r="I7" s="430"/>
      <c r="J7" s="430"/>
      <c r="K7" s="431"/>
      <c r="AA7" s="1995"/>
      <c r="AB7" s="1995"/>
      <c r="AC7" s="1995"/>
      <c r="AD7" s="1995"/>
      <c r="AE7" s="1995"/>
    </row>
    <row r="8" spans="1:31" s="1998" customFormat="1" ht="13.5" customHeight="1">
      <c r="A8" s="793" t="s">
        <v>1836</v>
      </c>
      <c r="B8" s="259" t="s">
        <v>466</v>
      </c>
      <c r="C8" s="2552"/>
      <c r="D8" s="2552"/>
      <c r="E8" s="2552"/>
      <c r="F8" s="2552"/>
      <c r="G8" s="2552"/>
      <c r="H8" s="2552"/>
      <c r="I8" s="2552"/>
      <c r="J8" s="2552"/>
      <c r="K8" s="2553"/>
      <c r="AA8" s="1997"/>
      <c r="AB8" s="1997"/>
      <c r="AC8" s="1997"/>
      <c r="AD8" s="1997"/>
      <c r="AE8" s="1997"/>
    </row>
    <row r="9" spans="1:31" s="1998" customFormat="1" ht="13.5" customHeight="1">
      <c r="A9" s="793" t="s">
        <v>1837</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1838</v>
      </c>
      <c r="B10" s="2540" t="s">
        <v>468</v>
      </c>
      <c r="C10" s="2742"/>
      <c r="D10" s="2742"/>
      <c r="E10" s="2742"/>
      <c r="F10" s="2555"/>
      <c r="G10" s="2555"/>
      <c r="H10" s="2555"/>
      <c r="I10" s="2555"/>
      <c r="J10" s="2555"/>
      <c r="K10" s="2556"/>
      <c r="AA10" s="1997"/>
      <c r="AB10" s="1997"/>
      <c r="AC10" s="1997"/>
      <c r="AD10" s="1997"/>
      <c r="AE10" s="1997"/>
    </row>
    <row r="11" spans="1:31" s="1994" customFormat="1" ht="16.5" customHeight="1">
      <c r="A11" s="2557" t="s">
        <v>1834</v>
      </c>
      <c r="B11" s="2547"/>
      <c r="C11" s="2547"/>
      <c r="D11" s="2547"/>
      <c r="E11" s="2547"/>
      <c r="F11" s="2547"/>
      <c r="G11" s="2547"/>
      <c r="H11" s="2547"/>
      <c r="I11" s="2547"/>
      <c r="J11" s="2547"/>
      <c r="K11" s="2549"/>
      <c r="L11" s="3197"/>
      <c r="M11" s="3197"/>
      <c r="N11" s="3197"/>
      <c r="O11" s="3197"/>
      <c r="P11" s="3197"/>
      <c r="Q11" s="3197"/>
      <c r="R11" s="3197"/>
      <c r="S11" s="3197"/>
      <c r="T11" s="3197"/>
      <c r="U11" s="3197"/>
      <c r="V11" s="3197"/>
      <c r="W11" s="3197"/>
      <c r="X11" s="3197"/>
      <c r="Y11" s="3197"/>
      <c r="Z11" s="3197"/>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8"/>
      <c r="M12" s="3198"/>
      <c r="N12" s="3198"/>
      <c r="O12" s="3198"/>
      <c r="P12" s="3198"/>
      <c r="Q12" s="3198"/>
      <c r="R12" s="3198"/>
      <c r="S12" s="3198"/>
      <c r="T12" s="3198"/>
      <c r="U12" s="3198"/>
      <c r="V12" s="3198"/>
      <c r="W12" s="3198"/>
      <c r="X12" s="3198"/>
      <c r="Y12" s="3198"/>
      <c r="Z12" s="3198"/>
    </row>
    <row r="13" spans="1:31" s="1999" customFormat="1" ht="13.5" customHeight="1">
      <c r="A13" s="2560" t="s">
        <v>1839</v>
      </c>
      <c r="B13" s="2561" t="s">
        <v>473</v>
      </c>
      <c r="C13" s="444">
        <f ca="1">IF(B1="",'数据-取费表'!P16,INDIRECT("'数据-取费表'!p"&amp;$K$1)+INDIRECT("'数据-取费表'!t"&amp;$K$1))</f>
        <v>10513</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1840</v>
      </c>
      <c r="B14" s="2561" t="s">
        <v>474</v>
      </c>
      <c r="C14" s="53">
        <f ca="1">ROUND(C13*F14,0)</f>
        <v>526</v>
      </c>
      <c r="D14" s="2562"/>
      <c r="E14" s="2563"/>
      <c r="F14" s="2565">
        <f>'数据-取费表'!B33</f>
        <v>0.05</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1841</v>
      </c>
      <c r="B15" s="2561" t="s">
        <v>476</v>
      </c>
      <c r="C15" s="53">
        <f ca="1">ROUND(IF(B1="",SUMIF('数据-取费表'!C:C,"住宅",'数据-取费表'!P:P)*F15,IF(INDIRECT("'数据-取费表'!c"&amp;$K$1)="住宅",INDIRECT("'数据-取费表'!P"&amp;$K$1)*F15,0)),0)</f>
        <v>0</v>
      </c>
      <c r="D15" s="2562"/>
      <c r="E15" s="2563"/>
      <c r="F15" s="2565">
        <f>'数据-取费表'!B34</f>
        <v>0</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1842</v>
      </c>
      <c r="B16" s="2561" t="s">
        <v>478</v>
      </c>
      <c r="C16" s="53">
        <f ca="1">ROUND(D16*E16/10000,0)</f>
        <v>526</v>
      </c>
      <c r="D16" s="2562">
        <f ca="1">IF(B1="",'数据-汇总表'!E3,INDIRECT("'数据-取费表'!K"&amp;$K$1)+INDIRECT("'数据-取费表'!S"&amp;$K$1))</f>
        <v>26283.599999999999</v>
      </c>
      <c r="E16" s="53">
        <f>'数据-取费表'!B35</f>
        <v>200</v>
      </c>
      <c r="F16" s="2565"/>
      <c r="G16" s="2530"/>
      <c r="H16" s="2531"/>
      <c r="I16" s="2531"/>
      <c r="J16" s="2531"/>
      <c r="K16" s="2532"/>
      <c r="AA16" s="1999"/>
      <c r="AB16" s="1999"/>
      <c r="AC16" s="1999"/>
      <c r="AD16" s="1999"/>
      <c r="AE16" s="1999"/>
    </row>
    <row r="17" spans="1:26" s="1999" customFormat="1" ht="13.5" customHeight="1">
      <c r="A17" s="2560" t="s">
        <v>1843</v>
      </c>
      <c r="B17" s="2561" t="s">
        <v>479</v>
      </c>
      <c r="C17" s="2566">
        <f ca="1">ROUND(C13*F17,0)</f>
        <v>158</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1844</v>
      </c>
      <c r="B18" s="2569" t="s">
        <v>481</v>
      </c>
      <c r="C18" s="2570">
        <f ca="1">SUM(C13:C17)</f>
        <v>11723</v>
      </c>
      <c r="D18" s="2571"/>
      <c r="E18" s="462"/>
      <c r="F18" s="462"/>
      <c r="G18" s="2534" t="s">
        <v>2414</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1845</v>
      </c>
      <c r="B19" s="2569" t="s">
        <v>482</v>
      </c>
      <c r="C19" s="2526">
        <f ca="1">ROUND(D19*E19/10000,0)</f>
        <v>0</v>
      </c>
      <c r="D19" s="2572">
        <f ca="1">D16</f>
        <v>26283.599999999999</v>
      </c>
      <c r="E19" s="2526">
        <f>'数据-取费表'!B32</f>
        <v>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1846</v>
      </c>
      <c r="B20" s="2569" t="s">
        <v>484</v>
      </c>
      <c r="C20" s="2526">
        <f ca="1">C21+C22-IF(B1="",'数据-取费表'!B29,IF(G20="已全部缴纳",C21+C22,H20))</f>
        <v>0</v>
      </c>
      <c r="D20" s="2572"/>
      <c r="E20" s="2526"/>
      <c r="F20" s="2573"/>
      <c r="G20" s="2776"/>
      <c r="H20" s="2528"/>
      <c r="I20" s="2529" t="s">
        <v>2631</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1847</v>
      </c>
      <c r="B21" s="2561" t="s">
        <v>485</v>
      </c>
      <c r="C21" s="53">
        <f ca="1">ROUND(D21*E21/10000,0)</f>
        <v>0</v>
      </c>
      <c r="D21" s="2562">
        <f ca="1">IF(B1="",'数据-汇总表'!E5,IF(INDIRECT("'数据-取费表'!c"&amp;$K$1)="住宅",INDIRECT("'数据-取费表'!k"&amp;$K$1),0))</f>
        <v>0</v>
      </c>
      <c r="E21" s="53">
        <f>'数据-取费表'!B27</f>
        <v>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1848</v>
      </c>
      <c r="B22" s="2561" t="s">
        <v>486</v>
      </c>
      <c r="C22" s="53">
        <f ca="1">ROUND(D22*E22/10000,0)</f>
        <v>0</v>
      </c>
      <c r="D22" s="2562">
        <f ca="1">IF(B1="",'数据-汇总表'!E6,IF(INDIRECT("'数据-取费表'!c"&amp;$K$1)="住宅",INDIRECT("'数据-取费表'!s"&amp;$K$1),INDIRECT("'数据-取费表'!k"&amp;$K$1)+INDIRECT("'数据-取费表'!s"&amp;$K$1)))</f>
        <v>26283.599999999999</v>
      </c>
      <c r="E22" s="53">
        <f>'数据-取费表'!B28</f>
        <v>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1849</v>
      </c>
      <c r="B23" s="2748" t="s">
        <v>2813</v>
      </c>
      <c r="C23" s="2570">
        <f ca="1">ROUND((C18+C19+C20)*F23,0)</f>
        <v>293</v>
      </c>
      <c r="D23" s="462"/>
      <c r="E23" s="462"/>
      <c r="F23" s="2574">
        <f>'数据-取费表'!B37</f>
        <v>2.5000000000000001E-2</v>
      </c>
      <c r="G23" s="2530" t="s">
        <v>2415</v>
      </c>
      <c r="H23" s="2531"/>
      <c r="I23" s="2531"/>
      <c r="J23" s="2531"/>
      <c r="K23" s="2532"/>
      <c r="L23" s="3199"/>
      <c r="M23" s="3199"/>
      <c r="N23" s="3199"/>
      <c r="O23" s="2000"/>
      <c r="P23" s="2000"/>
      <c r="Q23" s="2000"/>
      <c r="R23" s="2000"/>
      <c r="S23" s="2000"/>
      <c r="T23" s="2000"/>
      <c r="U23" s="2000"/>
      <c r="V23" s="2000"/>
      <c r="W23" s="2000"/>
      <c r="X23" s="2000"/>
      <c r="Y23" s="2000"/>
      <c r="Z23" s="2000"/>
    </row>
    <row r="24" spans="1:26" s="1999" customFormat="1" ht="13.5" customHeight="1">
      <c r="A24" s="2568" t="s">
        <v>1850</v>
      </c>
      <c r="B24" s="2748" t="s">
        <v>2816</v>
      </c>
      <c r="C24" s="2570">
        <f>ROUND(C6*F24,0)</f>
        <v>0</v>
      </c>
      <c r="D24" s="469"/>
      <c r="E24" s="467"/>
      <c r="F24" s="2574">
        <f>'数据-取费表'!B38</f>
        <v>0.03</v>
      </c>
      <c r="G24" s="2539" t="s">
        <v>493</v>
      </c>
      <c r="H24" s="2533"/>
      <c r="I24" s="2533"/>
      <c r="J24" s="2533"/>
      <c r="K24" s="277"/>
      <c r="L24" s="3199"/>
      <c r="M24" s="3199"/>
      <c r="N24" s="3199"/>
      <c r="O24" s="2000"/>
      <c r="P24" s="2000"/>
      <c r="Q24" s="2000"/>
      <c r="R24" s="2000"/>
      <c r="S24" s="2000"/>
      <c r="T24" s="2000"/>
      <c r="U24" s="2000"/>
      <c r="V24" s="2000"/>
      <c r="W24" s="2000"/>
      <c r="X24" s="2000"/>
      <c r="Y24" s="2000"/>
      <c r="Z24" s="2000"/>
    </row>
    <row r="25" spans="1:26" s="2002" customFormat="1" ht="13.5" customHeight="1">
      <c r="A25" s="2568" t="s">
        <v>1851</v>
      </c>
      <c r="B25" s="2748" t="s">
        <v>2814</v>
      </c>
      <c r="C25" s="461">
        <f>ROUND(F25/(1+'数据-取费表'!C42),4)</f>
        <v>2.9000000000000001E-2</v>
      </c>
      <c r="D25" s="456" t="s">
        <v>2808</v>
      </c>
      <c r="E25" s="463"/>
      <c r="F25" s="2574">
        <f>IF(项目基本情况!B8="出让",0,'数据-取费表'!B48+'数据-取费表'!B49)</f>
        <v>3.0499999999999999E-2</v>
      </c>
      <c r="G25" s="2538" t="s">
        <v>2277</v>
      </c>
      <c r="H25" s="2531"/>
      <c r="I25" s="2531"/>
      <c r="J25" s="2531"/>
      <c r="K25" s="2532"/>
      <c r="L25" s="3200"/>
      <c r="M25" s="3200"/>
      <c r="N25" s="3200"/>
      <c r="O25" s="3200"/>
      <c r="P25" s="3200"/>
      <c r="Q25" s="3200"/>
      <c r="R25" s="3200"/>
      <c r="S25" s="3200"/>
      <c r="T25" s="3200"/>
      <c r="U25" s="3200"/>
      <c r="V25" s="3200"/>
      <c r="W25" s="3200"/>
      <c r="X25" s="3200"/>
      <c r="Y25" s="3200"/>
      <c r="Z25" s="3200"/>
    </row>
    <row r="26" spans="1:26" s="2001" customFormat="1" ht="13.5" customHeight="1">
      <c r="A26" s="2568" t="s">
        <v>1852</v>
      </c>
      <c r="B26" s="2749" t="s">
        <v>2815</v>
      </c>
      <c r="C26" s="2575">
        <f ca="1">C28</f>
        <v>345</v>
      </c>
      <c r="D26" s="461">
        <f ca="1">C27</f>
        <v>0.06</v>
      </c>
      <c r="E26" s="463" t="s">
        <v>489</v>
      </c>
      <c r="F26" s="465">
        <f ca="1">'数据-取费表'!B40</f>
        <v>3.85E-2</v>
      </c>
      <c r="G26" s="2425" t="str">
        <f>IF('数据-取费表'!B22&lt;=1,"单利计息。","复利计息。")&amp;"后续开发成本、管理费用及销售费用产生的利息。"</f>
        <v>复利计息。后续开发成本、管理费用及销售费用产生的利息。</v>
      </c>
      <c r="H26" s="2535"/>
      <c r="I26" s="2535"/>
      <c r="J26" s="2535"/>
      <c r="K26" s="2536"/>
      <c r="L26" s="3199"/>
      <c r="M26" s="3199"/>
      <c r="N26" s="3199"/>
      <c r="O26" s="3199"/>
      <c r="P26" s="3199"/>
      <c r="Q26" s="3199"/>
      <c r="R26" s="3199"/>
      <c r="S26" s="3199"/>
      <c r="T26" s="3199"/>
      <c r="U26" s="3199"/>
      <c r="V26" s="3199"/>
      <c r="W26" s="3199"/>
      <c r="X26" s="3199"/>
      <c r="Y26" s="3199"/>
      <c r="Z26" s="3199"/>
    </row>
    <row r="27" spans="1:26" s="2003" customFormat="1" ht="13.5" customHeight="1">
      <c r="A27" s="793" t="s">
        <v>1847</v>
      </c>
      <c r="B27" s="2576" t="s">
        <v>490</v>
      </c>
      <c r="C27" s="2577">
        <f ca="1">ROUND(IF('数据-取费表'!B22&lt;=1,(1+C25)*F26*'数据-取费表'!B24,(1+C25)*(POWER((1+F26),'数据-取费表'!B24)-1)),4)</f>
        <v>0.06</v>
      </c>
      <c r="D27" s="466"/>
      <c r="E27" s="467"/>
      <c r="F27" s="468"/>
      <c r="G27" s="2425" t="str">
        <f>IF('数据-取费表'!B22&lt;=1,"（1+取得税费率/(1+5%)）×年利率×建设期","（1+取得税费率）/(1+5%)×((1+年利率)^建设期-1)")</f>
        <v>（1+取得税费率）/(1+5%)×((1+年利率)^建设期-1)</v>
      </c>
      <c r="H27" s="2533"/>
      <c r="I27" s="2533"/>
      <c r="J27" s="2533"/>
      <c r="K27" s="277"/>
      <c r="L27" s="3201"/>
      <c r="M27" s="3201"/>
      <c r="N27" s="3201"/>
      <c r="O27" s="3201"/>
      <c r="P27" s="3201"/>
      <c r="Q27" s="3201"/>
      <c r="R27" s="3201"/>
      <c r="S27" s="3201"/>
      <c r="T27" s="3201"/>
      <c r="U27" s="3201"/>
      <c r="V27" s="3201"/>
      <c r="W27" s="3201"/>
      <c r="X27" s="3201"/>
      <c r="Y27" s="3201"/>
      <c r="Z27" s="3201"/>
    </row>
    <row r="28" spans="1:26" s="2003" customFormat="1" ht="13.5" customHeight="1">
      <c r="A28" s="793" t="s">
        <v>1848</v>
      </c>
      <c r="B28" s="2576" t="s">
        <v>2817</v>
      </c>
      <c r="C28" s="2578">
        <f ca="1">ROUND(IF('数据-取费表'!B22&lt;=1,(C18+C19+C20+C23+C24)*F26*'数据-取费表'!B24/2,(C18+C19+C20+C23+C24)*(POWER((1+F26),'数据-取费表'!B24/2)-1)),0)</f>
        <v>345</v>
      </c>
      <c r="D28" s="466"/>
      <c r="E28" s="467"/>
      <c r="F28" s="468"/>
      <c r="G28" s="2425" t="str">
        <f>IF('数据-取费表'!B22&lt;=1,"（1）-（4）项×年利率×建设期÷2","（1）-（4）项×((1+年利率)^(建设期÷2)-1)")</f>
        <v>（1）-（4）项×((1+年利率)^(建设期÷2)-1)</v>
      </c>
      <c r="H28" s="2533"/>
      <c r="I28" s="2533"/>
      <c r="J28" s="2533"/>
      <c r="K28" s="277"/>
      <c r="L28" s="3201"/>
      <c r="M28" s="3201"/>
      <c r="N28" s="3201"/>
      <c r="O28" s="3201"/>
      <c r="P28" s="3201"/>
      <c r="Q28" s="3201"/>
      <c r="R28" s="3201"/>
      <c r="S28" s="3201"/>
      <c r="T28" s="3201"/>
      <c r="U28" s="3201"/>
      <c r="V28" s="3201"/>
      <c r="W28" s="3201"/>
      <c r="X28" s="3201"/>
      <c r="Y28" s="3201"/>
      <c r="Z28" s="3201"/>
    </row>
    <row r="29" spans="1:26" s="2003" customFormat="1" ht="13.5" customHeight="1">
      <c r="A29" s="2579" t="s">
        <v>1853</v>
      </c>
      <c r="B29" s="2569" t="s">
        <v>491</v>
      </c>
      <c r="C29" s="2570">
        <f>ROUND(C6*F29/(1+'数据-取费表'!C42),0)</f>
        <v>0</v>
      </c>
      <c r="D29" s="462"/>
      <c r="E29" s="462"/>
      <c r="F29" s="2750">
        <f>'数据-取费表'!B41</f>
        <v>5.5000000000000007E-2</v>
      </c>
      <c r="G29" s="2539" t="s">
        <v>492</v>
      </c>
      <c r="H29" s="2531"/>
      <c r="I29" s="2531"/>
      <c r="J29" s="2531"/>
      <c r="K29" s="2532"/>
      <c r="L29" s="3201"/>
      <c r="M29" s="3201"/>
      <c r="N29" s="3201"/>
      <c r="O29" s="3201"/>
      <c r="P29" s="3201"/>
      <c r="Q29" s="3201"/>
      <c r="R29" s="3201"/>
      <c r="S29" s="3201"/>
      <c r="T29" s="3201"/>
      <c r="U29" s="3201"/>
      <c r="V29" s="3201"/>
      <c r="W29" s="3201"/>
      <c r="X29" s="3201"/>
      <c r="Y29" s="3201"/>
      <c r="Z29" s="3201"/>
    </row>
    <row r="30" spans="1:26" s="2004" customFormat="1" ht="13.5" customHeight="1">
      <c r="A30" s="1564" t="s">
        <v>1854</v>
      </c>
      <c r="B30" s="2580" t="s">
        <v>494</v>
      </c>
      <c r="C30" s="2575">
        <f ca="1">C31</f>
        <v>12361</v>
      </c>
      <c r="D30" s="471">
        <f ca="1">C32</f>
        <v>8.8999999999999996E-2</v>
      </c>
      <c r="E30" s="463" t="s">
        <v>489</v>
      </c>
      <c r="F30" s="465"/>
      <c r="G30" s="2538" t="s">
        <v>2925</v>
      </c>
      <c r="H30" s="2531"/>
      <c r="I30" s="2531"/>
      <c r="J30" s="2531"/>
      <c r="K30" s="2532"/>
      <c r="L30" s="3202"/>
      <c r="M30" s="3202"/>
      <c r="N30" s="3202"/>
      <c r="O30" s="3202"/>
      <c r="P30" s="3202"/>
      <c r="Q30" s="3202"/>
      <c r="R30" s="3202"/>
      <c r="S30" s="3202"/>
      <c r="T30" s="3202"/>
      <c r="U30" s="3202"/>
      <c r="V30" s="3202"/>
      <c r="W30" s="3202"/>
      <c r="X30" s="3202"/>
      <c r="Y30" s="3202"/>
      <c r="Z30" s="3202"/>
    </row>
    <row r="31" spans="1:26" s="2003" customFormat="1" ht="13.5" customHeight="1">
      <c r="A31" s="793" t="s">
        <v>1847</v>
      </c>
      <c r="B31" s="2576"/>
      <c r="C31" s="444">
        <f ca="1">C18+C19+C20+C23+C24+C26+C29</f>
        <v>12361</v>
      </c>
      <c r="D31" s="466"/>
      <c r="E31" s="467"/>
      <c r="F31" s="468"/>
      <c r="G31" s="259"/>
      <c r="H31" s="2533"/>
      <c r="I31" s="2533"/>
      <c r="J31" s="2533"/>
      <c r="K31" s="277"/>
      <c r="L31" s="3201"/>
      <c r="M31" s="3201"/>
      <c r="N31" s="3201"/>
      <c r="O31" s="3201"/>
      <c r="P31" s="3201"/>
      <c r="Q31" s="3201"/>
      <c r="R31" s="3201"/>
      <c r="S31" s="3201"/>
      <c r="T31" s="3201"/>
      <c r="U31" s="3201"/>
      <c r="V31" s="3201"/>
      <c r="W31" s="3201"/>
      <c r="X31" s="3201"/>
      <c r="Y31" s="3201"/>
      <c r="Z31" s="3201"/>
    </row>
    <row r="32" spans="1:26" s="2003" customFormat="1" ht="13.5" customHeight="1">
      <c r="A32" s="793" t="s">
        <v>1848</v>
      </c>
      <c r="B32" s="2576"/>
      <c r="C32" s="53">
        <f ca="1">ROUND(C25+D26,4)</f>
        <v>8.8999999999999996E-2</v>
      </c>
      <c r="D32" s="466"/>
      <c r="E32" s="467"/>
      <c r="F32" s="468"/>
      <c r="G32" s="259"/>
      <c r="H32" s="2533"/>
      <c r="I32" s="2533"/>
      <c r="J32" s="2533"/>
      <c r="K32" s="277"/>
      <c r="L32" s="3201"/>
      <c r="M32" s="3201"/>
      <c r="N32" s="3201"/>
      <c r="O32" s="3201"/>
      <c r="P32" s="3201"/>
      <c r="Q32" s="3201"/>
      <c r="R32" s="3201"/>
      <c r="S32" s="3201"/>
      <c r="T32" s="3201"/>
      <c r="U32" s="3201"/>
      <c r="V32" s="3201"/>
      <c r="W32" s="3201"/>
      <c r="X32" s="3201"/>
      <c r="Y32" s="3201"/>
      <c r="Z32" s="3201"/>
    </row>
    <row r="33" spans="1:26" s="2005" customFormat="1" ht="13.5" customHeight="1">
      <c r="A33" s="2747" t="s">
        <v>2812</v>
      </c>
      <c r="B33" s="2745" t="s">
        <v>2810</v>
      </c>
      <c r="C33" s="472">
        <f ca="1">C35</f>
        <v>2403</v>
      </c>
      <c r="D33" s="461">
        <f ca="1">C34</f>
        <v>0.20580000000000001</v>
      </c>
      <c r="E33" s="463" t="s">
        <v>489</v>
      </c>
      <c r="F33" s="473">
        <f ca="1">IF(B1="",'数据-取费表'!Q16,INDIRECT("'数据-取费表'!q"&amp;$K$1))</f>
        <v>0.2</v>
      </c>
      <c r="G33" s="2534"/>
      <c r="H33" s="2535"/>
      <c r="I33" s="2535"/>
      <c r="J33" s="2535"/>
      <c r="K33" s="2536"/>
      <c r="L33" s="3203"/>
      <c r="M33" s="3203"/>
      <c r="N33" s="3203"/>
      <c r="O33" s="3203"/>
      <c r="P33" s="3203"/>
      <c r="Q33" s="3203"/>
      <c r="R33" s="3203"/>
      <c r="S33" s="3203"/>
      <c r="T33" s="3203"/>
      <c r="U33" s="3203"/>
      <c r="V33" s="3203"/>
      <c r="W33" s="3203"/>
      <c r="X33" s="3203"/>
      <c r="Y33" s="3203"/>
      <c r="Z33" s="3203"/>
    </row>
    <row r="34" spans="1:26" s="2006" customFormat="1" ht="13.5" customHeight="1">
      <c r="A34" s="369" t="s">
        <v>1847</v>
      </c>
      <c r="B34" s="2581" t="s">
        <v>495</v>
      </c>
      <c r="C34" s="466">
        <f ca="1">ROUND((1+C25)*F33,4)</f>
        <v>0.20580000000000001</v>
      </c>
      <c r="D34" s="466"/>
      <c r="E34" s="467"/>
      <c r="F34" s="474"/>
      <c r="G34" s="259" t="s">
        <v>2278</v>
      </c>
      <c r="H34" s="2533"/>
      <c r="I34" s="2533"/>
      <c r="J34" s="2533"/>
      <c r="K34" s="277"/>
      <c r="L34" s="3204"/>
      <c r="M34" s="3204"/>
      <c r="N34" s="3204"/>
      <c r="O34" s="3204"/>
      <c r="P34" s="3204"/>
      <c r="Q34" s="3204"/>
      <c r="R34" s="3204"/>
      <c r="S34" s="3204"/>
      <c r="T34" s="3204"/>
      <c r="U34" s="3204"/>
      <c r="V34" s="3204"/>
      <c r="W34" s="3204"/>
      <c r="X34" s="3204"/>
      <c r="Y34" s="3204"/>
      <c r="Z34" s="3204"/>
    </row>
    <row r="35" spans="1:26" s="2006" customFormat="1" ht="13.5" customHeight="1" thickBot="1">
      <c r="A35" s="1565" t="s">
        <v>1848</v>
      </c>
      <c r="B35" s="2746" t="s">
        <v>2818</v>
      </c>
      <c r="C35" s="1557">
        <f ca="1">ROUND((C18+C19+C20+C23+C24)*F33,0)</f>
        <v>2403</v>
      </c>
      <c r="D35" s="1558"/>
      <c r="E35" s="2582"/>
      <c r="F35" s="1559"/>
      <c r="G35" s="2540"/>
      <c r="H35" s="2541"/>
      <c r="I35" s="2541"/>
      <c r="J35" s="2541"/>
      <c r="K35" s="2542"/>
      <c r="L35" s="3204"/>
      <c r="M35" s="3204"/>
      <c r="N35" s="3204"/>
      <c r="O35" s="3204"/>
      <c r="P35" s="3204"/>
      <c r="Q35" s="3204"/>
      <c r="R35" s="3204"/>
      <c r="S35" s="3204"/>
      <c r="T35" s="3204"/>
      <c r="U35" s="3204"/>
      <c r="V35" s="3204"/>
      <c r="W35" s="3204"/>
      <c r="X35" s="3204"/>
      <c r="Y35" s="3204"/>
      <c r="Z35" s="3204"/>
    </row>
    <row r="36" spans="1:26" s="1968" customFormat="1" ht="13.5" customHeight="1" thickBot="1">
      <c r="A36" s="282" t="s">
        <v>1835</v>
      </c>
      <c r="B36" s="2544"/>
      <c r="C36" s="2583">
        <f ca="1">ROUND((C6-C30-C33)/(1+D30+D33),0)</f>
        <v>-11403</v>
      </c>
      <c r="D36" s="2544"/>
      <c r="E36" s="2544"/>
      <c r="F36" s="2544"/>
      <c r="G36" s="2543" t="s">
        <v>2819</v>
      </c>
      <c r="H36" s="2544"/>
      <c r="I36" s="2544"/>
      <c r="J36" s="2544"/>
      <c r="K36" s="2545"/>
      <c r="L36" s="3198"/>
      <c r="M36" s="3198"/>
      <c r="N36" s="3198"/>
      <c r="O36" s="3198"/>
      <c r="P36" s="3198"/>
      <c r="Q36" s="3198"/>
      <c r="R36" s="3198"/>
      <c r="S36" s="3198"/>
      <c r="T36" s="3198"/>
      <c r="U36" s="3198"/>
      <c r="V36" s="3198"/>
      <c r="W36" s="3198"/>
      <c r="X36" s="3198"/>
      <c r="Y36" s="3198"/>
      <c r="Z36" s="3198"/>
    </row>
    <row r="37" spans="1:26" s="1998" customFormat="1">
      <c r="A37" s="3205"/>
      <c r="C37" s="3206"/>
      <c r="E37" s="3205"/>
    </row>
    <row r="38" spans="1:26" s="1998" customFormat="1" ht="12.75" customHeight="1">
      <c r="A38" s="3205"/>
      <c r="C38" s="3206"/>
      <c r="E38" s="3205"/>
    </row>
    <row r="39" spans="1:26" s="1998" customFormat="1">
      <c r="A39" s="3205"/>
      <c r="C39" s="3206"/>
      <c r="E39" s="3205"/>
    </row>
    <row r="40" spans="1:26" s="1998" customFormat="1">
      <c r="A40" s="3205"/>
      <c r="C40" s="3206"/>
      <c r="E40" s="3205"/>
    </row>
    <row r="41" spans="1:26" s="1998" customFormat="1">
      <c r="A41" s="3205"/>
      <c r="C41" s="3206"/>
      <c r="E41" s="3205"/>
    </row>
    <row r="42" spans="1:26" s="1998" customFormat="1">
      <c r="A42" s="3205"/>
      <c r="C42" s="3206"/>
      <c r="E42" s="3205"/>
    </row>
    <row r="43" spans="1:26" s="1998" customFormat="1">
      <c r="A43" s="3205"/>
      <c r="C43" s="3206"/>
      <c r="E43" s="3205"/>
    </row>
    <row r="44" spans="1:26" s="1998" customFormat="1">
      <c r="A44" s="3205"/>
      <c r="C44" s="3206"/>
      <c r="E44" s="3205"/>
    </row>
    <row r="45" spans="1:26" s="1998" customFormat="1">
      <c r="A45" s="3205"/>
      <c r="C45" s="3206"/>
      <c r="E45" s="3205"/>
    </row>
    <row r="46" spans="1:26" s="1998" customFormat="1">
      <c r="A46" s="3205"/>
      <c r="C46" s="3206"/>
      <c r="E46" s="3205"/>
    </row>
    <row r="47" spans="1:26" s="1998" customFormat="1">
      <c r="A47" s="3205"/>
      <c r="C47" s="3206"/>
      <c r="E47" s="3205"/>
    </row>
    <row r="48" spans="1:26"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row r="226" spans="1:5" s="1998" customFormat="1">
      <c r="A226" s="3205"/>
      <c r="C226" s="3206"/>
      <c r="E226" s="3205"/>
    </row>
    <row r="227" spans="1:5" s="1998" customFormat="1">
      <c r="A227" s="3205"/>
      <c r="C227" s="3206"/>
      <c r="E227" s="3205"/>
    </row>
    <row r="228" spans="1:5" s="1998" customFormat="1">
      <c r="A228" s="3205"/>
      <c r="C228" s="3206"/>
      <c r="E228" s="3205"/>
    </row>
    <row r="229" spans="1:5" s="1998" customFormat="1">
      <c r="A229" s="3205"/>
      <c r="C229" s="3206"/>
      <c r="E229" s="3205"/>
    </row>
    <row r="230" spans="1:5" s="1998" customFormat="1">
      <c r="A230" s="3205"/>
      <c r="C230" s="3206"/>
      <c r="E230" s="3205"/>
    </row>
    <row r="231" spans="1:5" s="1998" customFormat="1">
      <c r="A231" s="3205"/>
      <c r="C231" s="3206"/>
      <c r="E231" s="3205"/>
    </row>
    <row r="232" spans="1:5" s="1998" customFormat="1">
      <c r="A232" s="3205"/>
      <c r="C232" s="3206"/>
      <c r="E232" s="3205"/>
    </row>
    <row r="233" spans="1:5" s="1998" customFormat="1">
      <c r="A233" s="3205"/>
      <c r="C233" s="3206"/>
      <c r="E233" s="3205"/>
    </row>
    <row r="234" spans="1:5" s="1998" customFormat="1">
      <c r="A234" s="3205"/>
      <c r="C234" s="3206"/>
      <c r="E234" s="3205"/>
    </row>
    <row r="235" spans="1:5" s="1998" customFormat="1">
      <c r="A235" s="3205"/>
      <c r="C235" s="3206"/>
      <c r="E235" s="3205"/>
    </row>
    <row r="236" spans="1:5" s="1998" customFormat="1">
      <c r="A236" s="3205"/>
      <c r="C236" s="3206"/>
      <c r="E236" s="3205"/>
    </row>
    <row r="237" spans="1:5" s="1998" customFormat="1">
      <c r="A237" s="3205"/>
      <c r="C237" s="3206"/>
      <c r="E237" s="3205"/>
    </row>
    <row r="238" spans="1:5" s="1998" customFormat="1">
      <c r="A238" s="3205"/>
      <c r="C238" s="3206"/>
      <c r="E238" s="3205"/>
    </row>
    <row r="239" spans="1:5" s="1998" customFormat="1">
      <c r="A239" s="3205"/>
      <c r="C239" s="3206"/>
      <c r="E239" s="3205"/>
    </row>
    <row r="240" spans="1:5" s="1998" customFormat="1">
      <c r="A240" s="3205"/>
      <c r="C240" s="3206"/>
      <c r="E240" s="3205"/>
    </row>
    <row r="241" spans="1:5" s="1998" customFormat="1">
      <c r="A241" s="3205"/>
      <c r="C241" s="3206"/>
      <c r="E241" s="3205"/>
    </row>
    <row r="242" spans="1:5" s="1998" customFormat="1">
      <c r="A242" s="3205"/>
      <c r="C242" s="3206"/>
      <c r="E242" s="3205"/>
    </row>
    <row r="243" spans="1:5" s="1998" customFormat="1">
      <c r="A243" s="3205"/>
      <c r="C243" s="3206"/>
      <c r="E243" s="3205"/>
    </row>
    <row r="244" spans="1:5" s="1998" customFormat="1">
      <c r="A244" s="3205"/>
      <c r="C244" s="3206"/>
      <c r="E244" s="3205"/>
    </row>
    <row r="245" spans="1:5" s="1998" customFormat="1">
      <c r="A245" s="3205"/>
      <c r="C245" s="3206"/>
      <c r="E245" s="3205"/>
    </row>
    <row r="246" spans="1:5" s="1998" customFormat="1">
      <c r="A246" s="3205"/>
      <c r="C246" s="3206"/>
      <c r="E246" s="3205"/>
    </row>
    <row r="247" spans="1:5" s="1998" customFormat="1">
      <c r="A247" s="3205"/>
      <c r="C247" s="3206"/>
      <c r="E247" s="3205"/>
    </row>
    <row r="248" spans="1:5" s="1998" customFormat="1">
      <c r="A248" s="3205"/>
      <c r="C248" s="3206"/>
      <c r="E248" s="3205"/>
    </row>
    <row r="249" spans="1:5" s="1998" customFormat="1">
      <c r="A249" s="3205"/>
      <c r="C249" s="3206"/>
      <c r="E249" s="3205"/>
    </row>
    <row r="250" spans="1:5" s="1998" customFormat="1">
      <c r="A250" s="3205"/>
      <c r="C250" s="3206"/>
      <c r="E250" s="3205"/>
    </row>
    <row r="251" spans="1:5" s="1998" customFormat="1">
      <c r="A251" s="3205"/>
      <c r="C251" s="3206"/>
      <c r="E251" s="3205"/>
    </row>
    <row r="252" spans="1:5" s="1998" customFormat="1">
      <c r="A252" s="3205"/>
      <c r="C252" s="3206"/>
      <c r="E252" s="3205"/>
    </row>
    <row r="253" spans="1:5" s="1998" customFormat="1">
      <c r="A253" s="3205"/>
      <c r="C253" s="3206"/>
      <c r="E253" s="3205"/>
    </row>
    <row r="254" spans="1:5" s="1998" customFormat="1">
      <c r="A254" s="3205"/>
      <c r="C254" s="3206"/>
      <c r="E254" s="3205"/>
    </row>
    <row r="255" spans="1:5" s="1998" customFormat="1">
      <c r="A255" s="3205"/>
      <c r="C255" s="3206"/>
      <c r="E255" s="3205"/>
    </row>
    <row r="256" spans="1:5" s="1998" customFormat="1">
      <c r="A256" s="3205"/>
      <c r="C256" s="3206"/>
      <c r="E256" s="3205"/>
    </row>
    <row r="257" spans="1:5" s="1998" customFormat="1">
      <c r="A257" s="3205"/>
      <c r="C257" s="3206"/>
      <c r="E257" s="3205"/>
    </row>
    <row r="258" spans="1:5" s="1998" customFormat="1">
      <c r="A258" s="3205"/>
      <c r="C258" s="3206"/>
      <c r="E258" s="3205"/>
    </row>
    <row r="259" spans="1:5" s="1998" customFormat="1">
      <c r="A259" s="3205"/>
      <c r="C259" s="3206"/>
      <c r="E259" s="3205"/>
    </row>
    <row r="260" spans="1:5" s="1998" customFormat="1">
      <c r="A260" s="3205"/>
      <c r="C260" s="3206"/>
      <c r="E260" s="3205"/>
    </row>
    <row r="261" spans="1:5" s="1998" customFormat="1">
      <c r="A261" s="3205"/>
      <c r="C261" s="3206"/>
      <c r="E261" s="3205"/>
    </row>
    <row r="262" spans="1:5" s="1998" customFormat="1">
      <c r="A262" s="3205"/>
      <c r="C262" s="3206"/>
      <c r="E262" s="3205"/>
    </row>
    <row r="263" spans="1:5" s="1998" customFormat="1">
      <c r="A263" s="3205"/>
      <c r="C263" s="3206"/>
      <c r="E263" s="3205"/>
    </row>
    <row r="264" spans="1:5" s="1998" customFormat="1">
      <c r="A264" s="3205"/>
      <c r="C264" s="3206"/>
      <c r="E264" s="3205"/>
    </row>
    <row r="265" spans="1:5" s="1998" customFormat="1">
      <c r="A265" s="3205"/>
      <c r="C265" s="3206"/>
      <c r="E265" s="3205"/>
    </row>
    <row r="266" spans="1:5" s="1998" customFormat="1">
      <c r="A266" s="3205"/>
      <c r="C266" s="3206"/>
      <c r="E266" s="3205"/>
    </row>
    <row r="267" spans="1:5" s="1998" customFormat="1">
      <c r="A267" s="3205"/>
      <c r="C267" s="3206"/>
      <c r="E267" s="3205"/>
    </row>
    <row r="268" spans="1:5" s="1998" customFormat="1">
      <c r="A268" s="3205"/>
      <c r="C268" s="3206"/>
      <c r="E268" s="3205"/>
    </row>
    <row r="269" spans="1:5" s="1998" customFormat="1">
      <c r="A269" s="3205"/>
      <c r="C269" s="3206"/>
      <c r="E269" s="3205"/>
    </row>
    <row r="270" spans="1:5" s="1998" customFormat="1">
      <c r="A270" s="3205"/>
      <c r="C270" s="3206"/>
      <c r="E270" s="3205"/>
    </row>
    <row r="271" spans="1:5" s="1998" customFormat="1">
      <c r="A271" s="3205"/>
      <c r="C271" s="3206"/>
      <c r="E271" s="3205"/>
    </row>
    <row r="272" spans="1:5" s="1998" customFormat="1">
      <c r="A272" s="3205"/>
      <c r="C272" s="3206"/>
      <c r="E272" s="3205"/>
    </row>
    <row r="273" spans="1:5" s="1998" customFormat="1">
      <c r="A273" s="3205"/>
      <c r="C273" s="3206"/>
      <c r="E273" s="3205"/>
    </row>
    <row r="274" spans="1:5" s="1998" customFormat="1">
      <c r="A274" s="3205"/>
      <c r="C274" s="3206"/>
      <c r="E274" s="3205"/>
    </row>
    <row r="275" spans="1:5" s="1998" customFormat="1">
      <c r="A275" s="3205"/>
      <c r="C275" s="3206"/>
      <c r="E275" s="3205"/>
    </row>
    <row r="276" spans="1:5" s="1998" customFormat="1">
      <c r="A276" s="3205"/>
      <c r="C276" s="3206"/>
      <c r="E276" s="3205"/>
    </row>
    <row r="277" spans="1:5" s="1998" customFormat="1">
      <c r="A277" s="3205"/>
      <c r="C277" s="3206"/>
      <c r="E277" s="3205"/>
    </row>
    <row r="278" spans="1:5" s="1998" customFormat="1">
      <c r="A278" s="3205"/>
      <c r="C278" s="3206"/>
      <c r="E278" s="3205"/>
    </row>
    <row r="279" spans="1:5" s="1998" customFormat="1">
      <c r="A279" s="3205"/>
      <c r="C279" s="3206"/>
      <c r="E279" s="3205"/>
    </row>
    <row r="280" spans="1:5" s="1998" customFormat="1">
      <c r="A280" s="3205"/>
      <c r="C280" s="3206"/>
      <c r="E280" s="3205"/>
    </row>
    <row r="281" spans="1:5" s="1998" customFormat="1">
      <c r="A281" s="3205"/>
      <c r="C281" s="3206"/>
      <c r="E281" s="3205"/>
    </row>
    <row r="282" spans="1:5" s="1998" customFormat="1">
      <c r="A282" s="3205"/>
      <c r="C282" s="3206"/>
      <c r="E282" s="3205"/>
    </row>
    <row r="283" spans="1:5" s="1998" customFormat="1">
      <c r="A283" s="3205"/>
      <c r="C283" s="3206"/>
      <c r="E283" s="3205"/>
    </row>
    <row r="284" spans="1:5" s="1998" customFormat="1">
      <c r="A284" s="3205"/>
      <c r="C284" s="3206"/>
      <c r="E284" s="3205"/>
    </row>
    <row r="285" spans="1:5" s="1998" customFormat="1">
      <c r="A285" s="3205"/>
      <c r="C285" s="3206"/>
      <c r="E285" s="3205"/>
    </row>
    <row r="286" spans="1:5" s="1998" customFormat="1">
      <c r="A286" s="3205"/>
      <c r="C286" s="3206"/>
      <c r="E286" s="3205"/>
    </row>
    <row r="287" spans="1:5" s="1998" customFormat="1">
      <c r="A287" s="3205"/>
      <c r="C287" s="3206"/>
      <c r="E287" s="3205"/>
    </row>
    <row r="288" spans="1:5" s="1998" customFormat="1">
      <c r="A288" s="3205"/>
      <c r="C288" s="3206"/>
      <c r="E288" s="3205"/>
    </row>
    <row r="289" spans="1:5" s="1998" customFormat="1">
      <c r="A289" s="3205"/>
      <c r="C289" s="3206"/>
      <c r="E289" s="3205"/>
    </row>
    <row r="290" spans="1:5" s="1998" customFormat="1">
      <c r="A290" s="3205"/>
      <c r="C290" s="3206"/>
      <c r="E290" s="3205"/>
    </row>
    <row r="291" spans="1:5" s="1998" customFormat="1">
      <c r="A291" s="3205"/>
      <c r="C291" s="3206"/>
      <c r="E291" s="3205"/>
    </row>
    <row r="292" spans="1:5" s="1998" customFormat="1">
      <c r="A292" s="3205"/>
      <c r="C292" s="3206"/>
      <c r="E292" s="3205"/>
    </row>
    <row r="293" spans="1:5" s="1998" customFormat="1">
      <c r="A293" s="3205"/>
      <c r="C293" s="3206"/>
      <c r="E293" s="3205"/>
    </row>
    <row r="294" spans="1:5" s="1998" customFormat="1">
      <c r="A294" s="3205"/>
      <c r="C294" s="3206"/>
      <c r="E294" s="3205"/>
    </row>
    <row r="295" spans="1:5" s="1998" customFormat="1">
      <c r="A295" s="3205"/>
      <c r="C295" s="3206"/>
      <c r="E295" s="3205"/>
    </row>
    <row r="296" spans="1:5" s="1998" customFormat="1">
      <c r="A296" s="3205"/>
      <c r="C296" s="3206"/>
      <c r="E296" s="3205"/>
    </row>
    <row r="297" spans="1:5" s="1998" customFormat="1">
      <c r="A297" s="3205"/>
      <c r="C297" s="3206"/>
      <c r="E297" s="3205"/>
    </row>
    <row r="298" spans="1:5" s="1998" customFormat="1">
      <c r="A298" s="3205"/>
      <c r="C298" s="3206"/>
      <c r="E298" s="3205"/>
    </row>
    <row r="299" spans="1:5" s="1998" customFormat="1">
      <c r="A299" s="3205"/>
      <c r="C299" s="3206"/>
      <c r="E299" s="3205"/>
    </row>
    <row r="300" spans="1:5" s="1998" customFormat="1">
      <c r="A300" s="3205"/>
      <c r="C300" s="3206"/>
      <c r="E300" s="3205"/>
    </row>
    <row r="301" spans="1:5" s="1998" customFormat="1">
      <c r="A301" s="3205"/>
      <c r="C301" s="3206"/>
      <c r="E301" s="3205"/>
    </row>
    <row r="302" spans="1:5" s="1998" customFormat="1">
      <c r="A302" s="3205"/>
      <c r="C302" s="3206"/>
      <c r="E302" s="3205"/>
    </row>
    <row r="303" spans="1:5" s="1998" customFormat="1">
      <c r="A303" s="3205"/>
      <c r="C303" s="3206"/>
      <c r="E303" s="3205"/>
    </row>
    <row r="304" spans="1:5" s="1998" customFormat="1">
      <c r="A304" s="3205"/>
      <c r="C304" s="3206"/>
      <c r="E304" s="3205"/>
    </row>
    <row r="305" spans="1:5" s="1998" customFormat="1">
      <c r="A305" s="3205"/>
      <c r="C305" s="3206"/>
      <c r="E305" s="3205"/>
    </row>
    <row r="306" spans="1:5" s="1998" customFormat="1">
      <c r="A306" s="3205"/>
      <c r="C306" s="3206"/>
      <c r="E306" s="3205"/>
    </row>
    <row r="307" spans="1:5" s="1998" customFormat="1">
      <c r="A307" s="3205"/>
      <c r="C307" s="3206"/>
      <c r="E307" s="3205"/>
    </row>
    <row r="308" spans="1:5" s="1998" customFormat="1">
      <c r="A308" s="3205"/>
      <c r="C308" s="3206"/>
      <c r="E308" s="3205"/>
    </row>
    <row r="309" spans="1:5" s="1998" customFormat="1">
      <c r="A309" s="3205"/>
      <c r="C309" s="3206"/>
      <c r="E309" s="3205"/>
    </row>
    <row r="310" spans="1:5" s="1998" customFormat="1">
      <c r="A310" s="3205"/>
      <c r="C310" s="3206"/>
      <c r="E310" s="3205"/>
    </row>
    <row r="311" spans="1:5" s="1998" customFormat="1">
      <c r="A311" s="3205"/>
      <c r="C311" s="3206"/>
      <c r="E311" s="3205"/>
    </row>
    <row r="312" spans="1:5" s="1998" customFormat="1">
      <c r="A312" s="3205"/>
      <c r="C312" s="3206"/>
      <c r="E312" s="3205"/>
    </row>
    <row r="313" spans="1:5" s="1998" customFormat="1">
      <c r="A313" s="3205"/>
      <c r="C313" s="3206"/>
      <c r="E313" s="3205"/>
    </row>
    <row r="314" spans="1:5" s="1998" customFormat="1">
      <c r="A314" s="3205"/>
      <c r="C314" s="3206"/>
      <c r="E314" s="3205"/>
    </row>
    <row r="315" spans="1:5" s="1998" customFormat="1">
      <c r="A315" s="3205"/>
      <c r="C315" s="3206"/>
      <c r="E315" s="3205"/>
    </row>
    <row r="316" spans="1:5" s="1998" customFormat="1">
      <c r="A316" s="3205"/>
      <c r="C316" s="3206"/>
      <c r="E316" s="3205"/>
    </row>
    <row r="317" spans="1:5" s="1998" customFormat="1">
      <c r="A317" s="3205"/>
      <c r="C317" s="3206"/>
      <c r="E317" s="3205"/>
    </row>
    <row r="318" spans="1:5" s="1998" customFormat="1">
      <c r="A318" s="3205"/>
      <c r="C318" s="3206"/>
      <c r="E318" s="3205"/>
    </row>
    <row r="319" spans="1:5" s="1998" customFormat="1">
      <c r="A319" s="3205"/>
      <c r="C319" s="3206"/>
      <c r="E319" s="3205"/>
    </row>
    <row r="320" spans="1:5" s="1998" customFormat="1">
      <c r="A320" s="3205"/>
      <c r="C320" s="3206"/>
      <c r="E320" s="3205"/>
    </row>
    <row r="321" spans="1:5" s="1998" customFormat="1">
      <c r="A321" s="3205"/>
      <c r="C321" s="3206"/>
      <c r="E321" s="3205"/>
    </row>
    <row r="322" spans="1:5" s="1998" customFormat="1">
      <c r="A322" s="3205"/>
      <c r="C322" s="3206"/>
      <c r="E322" s="3205"/>
    </row>
    <row r="323" spans="1:5" s="1998" customFormat="1">
      <c r="A323" s="3205"/>
      <c r="C323" s="3206"/>
      <c r="E323" s="3205"/>
    </row>
    <row r="324" spans="1:5" s="1998" customFormat="1">
      <c r="A324" s="3205"/>
      <c r="C324" s="3206"/>
      <c r="E324" s="3205"/>
    </row>
    <row r="325" spans="1:5" s="1998" customFormat="1">
      <c r="A325" s="3205"/>
      <c r="C325" s="3206"/>
      <c r="E325" s="3205"/>
    </row>
    <row r="326" spans="1:5" s="1998" customFormat="1">
      <c r="A326" s="3205"/>
      <c r="C326" s="3206"/>
      <c r="E326" s="3205"/>
    </row>
    <row r="327" spans="1:5" s="1998" customFormat="1">
      <c r="A327" s="3205"/>
      <c r="C327" s="3206"/>
      <c r="E327" s="3205"/>
    </row>
    <row r="328" spans="1:5" s="1998" customFormat="1">
      <c r="A328" s="3205"/>
      <c r="C328" s="3206"/>
      <c r="E328" s="3205"/>
    </row>
    <row r="329" spans="1:5" s="1998" customFormat="1">
      <c r="A329" s="3205"/>
      <c r="C329" s="3206"/>
      <c r="E329" s="3205"/>
    </row>
    <row r="330" spans="1:5" s="1998" customFormat="1">
      <c r="A330" s="3205"/>
      <c r="C330" s="3206"/>
      <c r="E330" s="3205"/>
    </row>
    <row r="331" spans="1:5" s="1998" customFormat="1">
      <c r="A331" s="3205"/>
      <c r="C331" s="3206"/>
      <c r="E331" s="3205"/>
    </row>
    <row r="332" spans="1:5" s="1998" customFormat="1">
      <c r="A332" s="3205"/>
      <c r="C332" s="3206"/>
      <c r="E332" s="3205"/>
    </row>
    <row r="333" spans="1:5" s="1998" customFormat="1">
      <c r="A333" s="3205"/>
      <c r="C333" s="3206"/>
      <c r="E333" s="3205"/>
    </row>
    <row r="334" spans="1:5" s="1998" customFormat="1">
      <c r="A334" s="3205"/>
      <c r="C334" s="3206"/>
      <c r="E334" s="3205"/>
    </row>
    <row r="335" spans="1:5" s="1998" customFormat="1">
      <c r="A335" s="3205"/>
      <c r="C335" s="3206"/>
      <c r="E335" s="3205"/>
    </row>
    <row r="336" spans="1:5" s="1998" customFormat="1">
      <c r="A336" s="3205"/>
      <c r="C336" s="3206"/>
      <c r="E336" s="3205"/>
    </row>
    <row r="337" spans="1:5" s="1998" customFormat="1">
      <c r="A337" s="3205"/>
      <c r="C337" s="3206"/>
      <c r="E337" s="3205"/>
    </row>
    <row r="338" spans="1:5" s="1998" customFormat="1">
      <c r="A338" s="3205"/>
      <c r="C338" s="3206"/>
      <c r="E338" s="3205"/>
    </row>
    <row r="339" spans="1:5" s="1998" customFormat="1">
      <c r="A339" s="3205"/>
      <c r="C339" s="3206"/>
      <c r="E339" s="3205"/>
    </row>
    <row r="340" spans="1:5" s="1998" customFormat="1">
      <c r="A340" s="3205"/>
      <c r="C340" s="3206"/>
      <c r="E340" s="3205"/>
    </row>
    <row r="341" spans="1:5" s="1998" customFormat="1">
      <c r="A341" s="3205"/>
      <c r="C341" s="3206"/>
      <c r="E341" s="3205"/>
    </row>
    <row r="342" spans="1:5" s="1998" customFormat="1">
      <c r="A342" s="3205"/>
      <c r="C342" s="3206"/>
      <c r="E342" s="3205"/>
    </row>
    <row r="343" spans="1:5" s="1998" customFormat="1">
      <c r="A343" s="3205"/>
      <c r="C343" s="3206"/>
      <c r="E343" s="3205"/>
    </row>
    <row r="344" spans="1:5" s="1998" customFormat="1">
      <c r="A344" s="3205"/>
      <c r="C344" s="3206"/>
      <c r="E344" s="3205"/>
    </row>
    <row r="345" spans="1:5" s="1998" customFormat="1">
      <c r="A345" s="3205"/>
      <c r="C345" s="3206"/>
      <c r="E345" s="3205"/>
    </row>
    <row r="346" spans="1:5" s="1998" customFormat="1">
      <c r="A346" s="3205"/>
      <c r="C346" s="3206"/>
      <c r="E346" s="3205"/>
    </row>
    <row r="347" spans="1:5" s="1998" customFormat="1">
      <c r="A347" s="3205"/>
      <c r="C347" s="3206"/>
      <c r="E347" s="3205"/>
    </row>
    <row r="348" spans="1:5" s="1998" customFormat="1">
      <c r="A348" s="3205"/>
      <c r="C348" s="3206"/>
      <c r="E348" s="3205"/>
    </row>
    <row r="349" spans="1:5" s="1998" customFormat="1">
      <c r="A349" s="3205"/>
      <c r="C349" s="3206"/>
      <c r="E349" s="3205"/>
    </row>
    <row r="350" spans="1:5" s="1998" customFormat="1">
      <c r="A350" s="3205"/>
      <c r="C350" s="3206"/>
      <c r="E350" s="3205"/>
    </row>
    <row r="351" spans="1:5" s="1998" customFormat="1">
      <c r="A351" s="3205"/>
      <c r="C351" s="3206"/>
      <c r="E351" s="3205"/>
    </row>
    <row r="352" spans="1:5" s="1998" customFormat="1">
      <c r="A352" s="3205"/>
      <c r="C352" s="3206"/>
      <c r="E352" s="3205"/>
    </row>
    <row r="353" spans="1:5" s="1998" customFormat="1">
      <c r="A353" s="3205"/>
      <c r="C353" s="3206"/>
      <c r="E353" s="3205"/>
    </row>
    <row r="354" spans="1:5" s="1998" customFormat="1">
      <c r="A354" s="3205"/>
      <c r="C354" s="3206"/>
      <c r="E354" s="3205"/>
    </row>
    <row r="355" spans="1:5" s="1998" customFormat="1">
      <c r="A355" s="3205"/>
      <c r="C355" s="3206"/>
      <c r="E355" s="3205"/>
    </row>
    <row r="356" spans="1:5" s="1998" customFormat="1">
      <c r="A356" s="3205"/>
      <c r="C356" s="3206"/>
      <c r="E356" s="3205"/>
    </row>
    <row r="357" spans="1:5" s="1998" customFormat="1">
      <c r="A357" s="3205"/>
      <c r="C357" s="3206"/>
      <c r="E357" s="3205"/>
    </row>
    <row r="358" spans="1:5" s="1998" customFormat="1">
      <c r="A358" s="3205"/>
      <c r="C358" s="3206"/>
      <c r="E358" s="3205"/>
    </row>
    <row r="359" spans="1:5" s="1998" customFormat="1">
      <c r="A359" s="3205"/>
      <c r="C359" s="3206"/>
      <c r="E359" s="3205"/>
    </row>
    <row r="360" spans="1:5" s="1998" customFormat="1">
      <c r="A360" s="3205"/>
      <c r="C360" s="3206"/>
      <c r="E360" s="3205"/>
    </row>
    <row r="361" spans="1:5" s="1998" customFormat="1">
      <c r="A361" s="3205"/>
      <c r="C361" s="3206"/>
      <c r="E361" s="3205"/>
    </row>
    <row r="362" spans="1:5" s="1998" customFormat="1">
      <c r="A362" s="3205"/>
      <c r="C362" s="3206"/>
      <c r="E362" s="3205"/>
    </row>
    <row r="363" spans="1:5" s="1998" customFormat="1">
      <c r="A363" s="3205"/>
      <c r="C363" s="3206"/>
      <c r="E363" s="3205"/>
    </row>
    <row r="364" spans="1:5" s="1998" customFormat="1">
      <c r="A364" s="3205"/>
      <c r="C364" s="3206"/>
      <c r="E364" s="3205"/>
    </row>
    <row r="365" spans="1:5" s="1998" customFormat="1">
      <c r="A365" s="3205"/>
      <c r="C365" s="3206"/>
      <c r="E365" s="3205"/>
    </row>
    <row r="366" spans="1:5" s="1998" customFormat="1">
      <c r="A366" s="3205"/>
      <c r="C366" s="3206"/>
      <c r="E366" s="3205"/>
    </row>
    <row r="367" spans="1:5" s="1998" customFormat="1">
      <c r="A367" s="3205"/>
      <c r="C367" s="3206"/>
      <c r="E367" s="3205"/>
    </row>
    <row r="368" spans="1:5" s="1998" customFormat="1">
      <c r="A368" s="3205"/>
      <c r="C368" s="3206"/>
      <c r="E368" s="3205"/>
    </row>
    <row r="369" spans="1:5" s="1998" customFormat="1">
      <c r="A369" s="3205"/>
      <c r="C369" s="3206"/>
      <c r="E369" s="3205"/>
    </row>
    <row r="370" spans="1:5" s="1998" customFormat="1">
      <c r="A370" s="3205"/>
      <c r="C370" s="3206"/>
      <c r="E370" s="3205"/>
    </row>
    <row r="371" spans="1:5" s="1998" customFormat="1">
      <c r="A371" s="3205"/>
      <c r="C371" s="3206"/>
      <c r="E371" s="3205"/>
    </row>
    <row r="372" spans="1:5" s="1998" customFormat="1">
      <c r="A372" s="3205"/>
      <c r="C372" s="3206"/>
      <c r="E372" s="3205"/>
    </row>
    <row r="373" spans="1:5" s="1998" customFormat="1">
      <c r="A373" s="3205"/>
      <c r="C373" s="3206"/>
      <c r="E373" s="3205"/>
    </row>
    <row r="374" spans="1:5" s="1998" customFormat="1">
      <c r="A374" s="3205"/>
      <c r="C374" s="3206"/>
      <c r="E374" s="3205"/>
    </row>
    <row r="375" spans="1:5" s="1998" customFormat="1">
      <c r="A375" s="3205"/>
      <c r="C375" s="3206"/>
      <c r="E375" s="3205"/>
    </row>
    <row r="376" spans="1:5" s="1998" customFormat="1">
      <c r="A376" s="3205"/>
      <c r="C376" s="3206"/>
      <c r="E376" s="3205"/>
    </row>
    <row r="377" spans="1:5" s="1998" customFormat="1">
      <c r="A377" s="3205"/>
      <c r="C377" s="3206"/>
      <c r="E377" s="3205"/>
    </row>
    <row r="378" spans="1:5" s="1998" customFormat="1">
      <c r="A378" s="3205"/>
      <c r="C378" s="3206"/>
      <c r="E378" s="3205"/>
    </row>
    <row r="379" spans="1:5" s="1998" customFormat="1">
      <c r="A379" s="3205"/>
      <c r="C379" s="3206"/>
      <c r="E379" s="3205"/>
    </row>
    <row r="380" spans="1:5" s="1998" customFormat="1">
      <c r="A380" s="3205"/>
      <c r="C380" s="3206"/>
      <c r="E380" s="3205"/>
    </row>
    <row r="381" spans="1:5" s="1998" customFormat="1">
      <c r="A381" s="3205"/>
      <c r="C381" s="3206"/>
      <c r="E381" s="3205"/>
    </row>
    <row r="382" spans="1:5" s="1998" customFormat="1">
      <c r="A382" s="3205"/>
      <c r="C382" s="3206"/>
      <c r="E382" s="3205"/>
    </row>
    <row r="383" spans="1:5" s="1998" customFormat="1">
      <c r="A383" s="3205"/>
      <c r="C383" s="3206"/>
      <c r="E383" s="3205"/>
    </row>
    <row r="384" spans="1:5" s="1998" customFormat="1">
      <c r="A384" s="3205"/>
      <c r="C384" s="3206"/>
      <c r="E384" s="3205"/>
    </row>
    <row r="385" spans="1:5" s="1998" customFormat="1">
      <c r="A385" s="3205"/>
      <c r="C385" s="3206"/>
      <c r="E385" s="3205"/>
    </row>
    <row r="386" spans="1:5" s="1998" customFormat="1">
      <c r="A386" s="3205"/>
      <c r="C386" s="3206"/>
      <c r="E386" s="3205"/>
    </row>
    <row r="387" spans="1:5" s="1998" customFormat="1">
      <c r="A387" s="3205"/>
      <c r="C387" s="3206"/>
      <c r="E387" s="3205"/>
    </row>
    <row r="388" spans="1:5" s="1998" customFormat="1">
      <c r="A388" s="3205"/>
      <c r="C388" s="3206"/>
      <c r="E388" s="3205"/>
    </row>
    <row r="389" spans="1:5" s="1998" customFormat="1">
      <c r="A389" s="3205"/>
      <c r="C389" s="3206"/>
      <c r="E389" s="3205"/>
    </row>
    <row r="390" spans="1:5" s="1998" customFormat="1">
      <c r="A390" s="3205"/>
      <c r="C390" s="3206"/>
      <c r="E390" s="3205"/>
    </row>
    <row r="391" spans="1:5" s="1998" customFormat="1">
      <c r="A391" s="3205"/>
      <c r="C391" s="3206"/>
      <c r="E391" s="3205"/>
    </row>
    <row r="392" spans="1:5" s="1998" customFormat="1">
      <c r="A392" s="3205"/>
      <c r="C392" s="3206"/>
      <c r="E392" s="3205"/>
    </row>
    <row r="393" spans="1:5" s="1998" customFormat="1">
      <c r="A393" s="3205"/>
      <c r="C393" s="3206"/>
      <c r="E393" s="3205"/>
    </row>
    <row r="394" spans="1:5" s="1998" customFormat="1">
      <c r="A394" s="3205"/>
      <c r="C394" s="3206"/>
      <c r="E394" s="3205"/>
    </row>
    <row r="395" spans="1:5" s="1998" customFormat="1">
      <c r="A395" s="3205"/>
      <c r="C395" s="3206"/>
      <c r="E395" s="3205"/>
    </row>
    <row r="396" spans="1:5" s="1998" customFormat="1">
      <c r="A396" s="3205"/>
      <c r="C396" s="3206"/>
      <c r="E396" s="3205"/>
    </row>
    <row r="397" spans="1:5" s="1998" customFormat="1">
      <c r="A397" s="3205"/>
      <c r="C397" s="3206"/>
      <c r="E397" s="3205"/>
    </row>
    <row r="398" spans="1:5" s="1998" customFormat="1">
      <c r="A398" s="3205"/>
      <c r="C398" s="3206"/>
      <c r="E398" s="3205"/>
    </row>
    <row r="399" spans="1:5" s="1998" customFormat="1">
      <c r="A399" s="3205"/>
      <c r="C399" s="3206"/>
      <c r="E399" s="3205"/>
    </row>
    <row r="400" spans="1:5" s="1998" customFormat="1">
      <c r="A400" s="3205"/>
      <c r="C400" s="3206"/>
      <c r="E400" s="3205"/>
    </row>
    <row r="401" spans="1:5" s="1998" customFormat="1">
      <c r="A401" s="3205"/>
      <c r="C401" s="3206"/>
      <c r="E401" s="3205"/>
    </row>
    <row r="402" spans="1:5" s="1998" customFormat="1">
      <c r="A402" s="3205"/>
      <c r="C402" s="3206"/>
      <c r="E402" s="3205"/>
    </row>
    <row r="403" spans="1:5" s="1998" customFormat="1">
      <c r="A403" s="3205"/>
      <c r="C403" s="3206"/>
      <c r="E403" s="3205"/>
    </row>
    <row r="404" spans="1:5" s="1998" customFormat="1">
      <c r="A404" s="3205"/>
      <c r="C404" s="3206"/>
      <c r="E404" s="3205"/>
    </row>
    <row r="405" spans="1:5" s="1998" customFormat="1">
      <c r="A405" s="3205"/>
      <c r="C405" s="3206"/>
      <c r="E405" s="3205"/>
    </row>
    <row r="406" spans="1:5" s="1998" customFormat="1">
      <c r="A406" s="3205"/>
      <c r="C406" s="3206"/>
      <c r="E406" s="3205"/>
    </row>
    <row r="407" spans="1:5" s="1998" customFormat="1">
      <c r="A407" s="3205"/>
      <c r="C407" s="3206"/>
      <c r="E407" s="3205"/>
    </row>
    <row r="408" spans="1:5" s="1998" customFormat="1">
      <c r="A408" s="3205"/>
      <c r="C408" s="3206"/>
      <c r="E408" s="3205"/>
    </row>
    <row r="409" spans="1:5" s="1998" customFormat="1">
      <c r="A409" s="3205"/>
      <c r="C409" s="3206"/>
      <c r="E409" s="3205"/>
    </row>
    <row r="410" spans="1:5" s="1998" customFormat="1">
      <c r="A410" s="3205"/>
      <c r="C410" s="3206"/>
      <c r="E410" s="3205"/>
    </row>
    <row r="411" spans="1:5" s="1998" customFormat="1">
      <c r="A411" s="3205"/>
      <c r="C411" s="3206"/>
      <c r="E411" s="3205"/>
    </row>
    <row r="412" spans="1:5" s="1998" customFormat="1">
      <c r="A412" s="3205"/>
      <c r="C412" s="3206"/>
      <c r="E412" s="3205"/>
    </row>
    <row r="413" spans="1:5" s="1998" customFormat="1">
      <c r="A413" s="3205"/>
      <c r="C413" s="3206"/>
      <c r="E413" s="3205"/>
    </row>
    <row r="414" spans="1:5" s="1998" customFormat="1">
      <c r="A414" s="3205"/>
      <c r="C414" s="3206"/>
      <c r="E414" s="3205"/>
    </row>
    <row r="415" spans="1:5" s="1998" customFormat="1">
      <c r="A415" s="3205"/>
      <c r="C415" s="3206"/>
      <c r="E415" s="3205"/>
    </row>
    <row r="416" spans="1:5" s="1998" customFormat="1">
      <c r="A416" s="3205"/>
      <c r="C416" s="3206"/>
      <c r="E416" s="3205"/>
    </row>
    <row r="417" spans="1:5" s="1998" customFormat="1">
      <c r="A417" s="3205"/>
      <c r="C417" s="3206"/>
      <c r="E417" s="3205"/>
    </row>
    <row r="418" spans="1:5" s="1998" customFormat="1">
      <c r="A418" s="3205"/>
      <c r="C418" s="3206"/>
      <c r="E418" s="3205"/>
    </row>
    <row r="419" spans="1:5" s="1998" customFormat="1">
      <c r="A419" s="3205"/>
      <c r="C419" s="3206"/>
      <c r="E419" s="3205"/>
    </row>
    <row r="420" spans="1:5" s="1998" customFormat="1">
      <c r="A420" s="3205"/>
      <c r="C420" s="3206"/>
      <c r="E420" s="3205"/>
    </row>
    <row r="421" spans="1:5" s="1998" customFormat="1">
      <c r="A421" s="3205"/>
      <c r="C421" s="3206"/>
      <c r="E421" s="3205"/>
    </row>
    <row r="422" spans="1:5" s="1998" customFormat="1">
      <c r="A422" s="3205"/>
      <c r="C422" s="3206"/>
      <c r="E422" s="3205"/>
    </row>
    <row r="423" spans="1:5" s="1998" customFormat="1">
      <c r="A423" s="3205"/>
      <c r="C423" s="3206"/>
      <c r="E423" s="3205"/>
    </row>
    <row r="424" spans="1:5" s="1998" customFormat="1">
      <c r="A424" s="3205"/>
      <c r="C424" s="3206"/>
      <c r="E424" s="3205"/>
    </row>
    <row r="425" spans="1:5" s="1998" customFormat="1">
      <c r="A425" s="3205"/>
      <c r="C425" s="3206"/>
      <c r="E425" s="3205"/>
    </row>
    <row r="426" spans="1:5" s="1998" customFormat="1">
      <c r="A426" s="3205"/>
      <c r="C426" s="3206"/>
      <c r="E426" s="3205"/>
    </row>
    <row r="427" spans="1:5" s="1998" customFormat="1">
      <c r="A427" s="3205"/>
      <c r="C427" s="3206"/>
      <c r="E427" s="3205"/>
    </row>
    <row r="428" spans="1:5" s="1998" customFormat="1">
      <c r="A428" s="3205"/>
      <c r="C428" s="3206"/>
      <c r="E428" s="3205"/>
    </row>
    <row r="429" spans="1:5" s="1998" customFormat="1">
      <c r="A429" s="3205"/>
      <c r="C429" s="3206"/>
      <c r="E429" s="3205"/>
    </row>
    <row r="430" spans="1:5" s="1998" customFormat="1">
      <c r="A430" s="3205"/>
      <c r="C430" s="3206"/>
      <c r="E430" s="3205"/>
    </row>
    <row r="431" spans="1:5" s="1998" customFormat="1">
      <c r="A431" s="3205"/>
      <c r="C431" s="3206"/>
      <c r="E431" s="3205"/>
    </row>
    <row r="432" spans="1:5" s="1998" customFormat="1">
      <c r="A432" s="3205"/>
      <c r="C432" s="3206"/>
      <c r="E432" s="3205"/>
    </row>
    <row r="433" spans="1:5" s="1998" customFormat="1">
      <c r="A433" s="3205"/>
      <c r="C433" s="3206"/>
      <c r="E433" s="3205"/>
    </row>
    <row r="434" spans="1:5" s="1998" customFormat="1">
      <c r="A434" s="3205"/>
      <c r="C434" s="3206"/>
      <c r="E434" s="3205"/>
    </row>
    <row r="435" spans="1:5" s="1998" customFormat="1">
      <c r="A435" s="3205"/>
      <c r="C435" s="3206"/>
      <c r="E435" s="3205"/>
    </row>
    <row r="436" spans="1:5" s="1998" customFormat="1">
      <c r="A436" s="3205"/>
      <c r="C436" s="3206"/>
      <c r="E436" s="3205"/>
    </row>
    <row r="437" spans="1:5" s="1998" customFormat="1">
      <c r="A437" s="3205"/>
      <c r="C437" s="3206"/>
      <c r="E437" s="3205"/>
    </row>
    <row r="438" spans="1:5" s="1998" customFormat="1">
      <c r="A438" s="3205"/>
      <c r="C438" s="3206"/>
      <c r="E438" s="3205"/>
    </row>
    <row r="439" spans="1:5" s="1998" customFormat="1">
      <c r="A439" s="3205"/>
      <c r="C439" s="3206"/>
      <c r="E439" s="3205"/>
    </row>
    <row r="440" spans="1:5" s="1998" customFormat="1">
      <c r="A440" s="3205"/>
      <c r="C440" s="3206"/>
      <c r="E440" s="3205"/>
    </row>
    <row r="441" spans="1:5" s="1998" customFormat="1">
      <c r="A441" s="3205"/>
      <c r="C441" s="3206"/>
      <c r="E441" s="3205"/>
    </row>
    <row r="442" spans="1:5" s="1998" customFormat="1">
      <c r="A442" s="3205"/>
      <c r="C442" s="3206"/>
      <c r="E442" s="3205"/>
    </row>
    <row r="443" spans="1:5" s="1998" customFormat="1">
      <c r="A443" s="3205"/>
      <c r="C443" s="3206"/>
      <c r="E443" s="3205"/>
    </row>
    <row r="444" spans="1:5" s="1998" customFormat="1">
      <c r="A444" s="3205"/>
      <c r="C444" s="3206"/>
      <c r="E444" s="3205"/>
    </row>
    <row r="445" spans="1:5" s="1998" customFormat="1">
      <c r="A445" s="3205"/>
      <c r="C445" s="3206"/>
      <c r="E445" s="3205"/>
    </row>
    <row r="446" spans="1:5" s="1998" customFormat="1">
      <c r="A446" s="3205"/>
      <c r="C446" s="3206"/>
      <c r="E446" s="3205"/>
    </row>
    <row r="447" spans="1:5" s="1998" customFormat="1">
      <c r="A447" s="3205"/>
      <c r="C447" s="3206"/>
      <c r="E447" s="3205"/>
    </row>
    <row r="448" spans="1:5" s="1998" customFormat="1">
      <c r="A448" s="3205"/>
      <c r="C448" s="3206"/>
      <c r="E448" s="3205"/>
    </row>
    <row r="449" spans="1:5" s="1998" customFormat="1">
      <c r="A449" s="3205"/>
      <c r="C449" s="3206"/>
      <c r="E449" s="3205"/>
    </row>
    <row r="450" spans="1:5" s="1998" customFormat="1">
      <c r="A450" s="3205"/>
      <c r="C450" s="3206"/>
      <c r="E450" s="3205"/>
    </row>
    <row r="451" spans="1:5" s="1998" customFormat="1">
      <c r="A451" s="3205"/>
      <c r="C451" s="3206"/>
      <c r="E451" s="3205"/>
    </row>
    <row r="452" spans="1:5" s="1998" customFormat="1">
      <c r="A452" s="3205"/>
      <c r="C452" s="3206"/>
      <c r="E452" s="3205"/>
    </row>
    <row r="453" spans="1:5" s="1998" customFormat="1">
      <c r="A453" s="3205"/>
      <c r="C453" s="3206"/>
      <c r="E453" s="3205"/>
    </row>
    <row r="454" spans="1:5" s="1998" customFormat="1">
      <c r="A454" s="3205"/>
      <c r="C454" s="3206"/>
      <c r="E454" s="3205"/>
    </row>
    <row r="455" spans="1:5" s="1998" customFormat="1">
      <c r="A455" s="3205"/>
      <c r="C455" s="3206"/>
      <c r="E455" s="3205"/>
    </row>
    <row r="456" spans="1:5" s="1998" customFormat="1">
      <c r="A456" s="3205"/>
      <c r="C456" s="3206"/>
      <c r="E456" s="3205"/>
    </row>
    <row r="457" spans="1:5" s="1998" customFormat="1">
      <c r="A457" s="3205"/>
      <c r="C457" s="3206"/>
      <c r="E457" s="3205"/>
    </row>
    <row r="458" spans="1:5" s="1998" customFormat="1">
      <c r="A458" s="3205"/>
      <c r="C458" s="3206"/>
      <c r="E458" s="3205"/>
    </row>
    <row r="459" spans="1:5" s="1998" customFormat="1">
      <c r="A459" s="3205"/>
      <c r="C459" s="3206"/>
      <c r="E459" s="3205"/>
    </row>
    <row r="460" spans="1:5" s="1998" customFormat="1">
      <c r="A460" s="3205"/>
      <c r="C460" s="3206"/>
      <c r="E460" s="3205"/>
    </row>
    <row r="461" spans="1:5" s="1998" customFormat="1">
      <c r="A461" s="3205"/>
      <c r="C461" s="3206"/>
      <c r="E461" s="3205"/>
    </row>
    <row r="462" spans="1:5" s="1998" customFormat="1">
      <c r="A462" s="3205"/>
      <c r="C462" s="3206"/>
      <c r="E462" s="3205"/>
    </row>
    <row r="463" spans="1:5" s="1998" customFormat="1">
      <c r="A463" s="3205"/>
      <c r="C463" s="3206"/>
      <c r="E463" s="3205"/>
    </row>
    <row r="464" spans="1:5" s="1998" customFormat="1">
      <c r="A464" s="3205"/>
      <c r="C464" s="3206"/>
      <c r="E464" s="3205"/>
    </row>
    <row r="465" spans="1:5" s="1998" customFormat="1">
      <c r="A465" s="3205"/>
      <c r="C465" s="3206"/>
      <c r="E465" s="3205"/>
    </row>
    <row r="466" spans="1:5" s="1998" customFormat="1">
      <c r="A466" s="3205"/>
      <c r="C466" s="3206"/>
      <c r="E466" s="3205"/>
    </row>
    <row r="467" spans="1:5" s="1998" customFormat="1">
      <c r="A467" s="3205"/>
      <c r="C467" s="3206"/>
      <c r="E467" s="3205"/>
    </row>
    <row r="468" spans="1:5" s="1998" customFormat="1">
      <c r="A468" s="3205"/>
      <c r="C468" s="3206"/>
      <c r="E468" s="3205"/>
    </row>
    <row r="469" spans="1:5" s="1998" customFormat="1">
      <c r="A469" s="3205"/>
      <c r="C469" s="3206"/>
      <c r="E469" s="3205"/>
    </row>
    <row r="470" spans="1:5" s="1998" customFormat="1">
      <c r="A470" s="3205"/>
      <c r="C470" s="3206"/>
      <c r="E470" s="3205"/>
    </row>
    <row r="471" spans="1:5" s="1998" customFormat="1">
      <c r="A471" s="3205"/>
      <c r="C471" s="3206"/>
      <c r="E471" s="3205"/>
    </row>
    <row r="472" spans="1:5" s="1998" customFormat="1">
      <c r="A472" s="3205"/>
      <c r="C472" s="3206"/>
      <c r="E472" s="3205"/>
    </row>
    <row r="473" spans="1:5" s="1998" customFormat="1">
      <c r="A473" s="3205"/>
      <c r="C473" s="3206"/>
      <c r="E473" s="3205"/>
    </row>
    <row r="474" spans="1:5" s="1998" customFormat="1">
      <c r="A474" s="3205"/>
      <c r="C474" s="3206"/>
      <c r="E474" s="3205"/>
    </row>
    <row r="475" spans="1:5" s="1998" customFormat="1">
      <c r="A475" s="3205"/>
      <c r="C475" s="3206"/>
      <c r="E475" s="3205"/>
    </row>
    <row r="476" spans="1:5" s="1998" customFormat="1">
      <c r="A476" s="3205"/>
      <c r="C476" s="3206"/>
      <c r="E476" s="3205"/>
    </row>
    <row r="477" spans="1:5" s="1998" customFormat="1">
      <c r="A477" s="3205"/>
      <c r="C477" s="3206"/>
      <c r="E477" s="3205"/>
    </row>
    <row r="478" spans="1:5" s="1998" customFormat="1">
      <c r="A478" s="3205"/>
      <c r="C478" s="3206"/>
      <c r="E478" s="3205"/>
    </row>
    <row r="479" spans="1:5" s="1998" customFormat="1">
      <c r="A479" s="3205"/>
      <c r="C479" s="3206"/>
      <c r="E479" s="3205"/>
    </row>
    <row r="480" spans="1:5" s="1998" customFormat="1">
      <c r="A480" s="3205"/>
      <c r="C480" s="3206"/>
      <c r="E480" s="3205"/>
    </row>
    <row r="481" spans="1:5" s="1998" customFormat="1">
      <c r="A481" s="3205"/>
      <c r="C481" s="3206"/>
      <c r="E481" s="3205"/>
    </row>
    <row r="482" spans="1:5" s="1998" customFormat="1">
      <c r="A482" s="3205"/>
      <c r="C482" s="3206"/>
      <c r="E482" s="3205"/>
    </row>
    <row r="483" spans="1:5" s="1998" customFormat="1">
      <c r="A483" s="3205"/>
      <c r="C483" s="3206"/>
      <c r="E483" s="3205"/>
    </row>
    <row r="484" spans="1:5" s="1998" customFormat="1">
      <c r="A484" s="3205"/>
      <c r="C484" s="3206"/>
      <c r="E484" s="3205"/>
    </row>
    <row r="485" spans="1:5" s="1998" customFormat="1">
      <c r="A485" s="3205"/>
      <c r="C485" s="3206"/>
      <c r="E485" s="3205"/>
    </row>
    <row r="486" spans="1:5" s="1998" customFormat="1">
      <c r="A486" s="3205"/>
      <c r="C486" s="3206"/>
      <c r="E486" s="3205"/>
    </row>
    <row r="487" spans="1:5" s="1998" customFormat="1">
      <c r="A487" s="3205"/>
      <c r="C487" s="3206"/>
      <c r="E487" s="3205"/>
    </row>
    <row r="488" spans="1:5" s="1998" customFormat="1">
      <c r="A488" s="3205"/>
      <c r="C488" s="3206"/>
      <c r="E488" s="3205"/>
    </row>
    <row r="489" spans="1:5" s="1998" customFormat="1">
      <c r="A489" s="3205"/>
      <c r="C489" s="3206"/>
      <c r="E489" s="3205"/>
    </row>
    <row r="490" spans="1:5" s="1998" customFormat="1">
      <c r="A490" s="3205"/>
      <c r="C490" s="3206"/>
      <c r="E490" s="3205"/>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M30" sqref="M30"/>
    </sheetView>
  </sheetViews>
  <sheetFormatPr defaultColWidth="6.625" defaultRowHeight="12.75"/>
  <cols>
    <col min="1" max="1" width="10.125" style="2007" customWidth="1"/>
    <col min="2" max="2" width="25.75" style="1997" customWidth="1"/>
    <col min="3" max="3" width="10.375" style="2008" customWidth="1"/>
    <col min="4" max="4" width="12" style="1997" customWidth="1"/>
    <col min="5" max="5" width="9.5" style="2007" customWidth="1"/>
    <col min="6" max="6" width="10.125" style="1997" customWidth="1"/>
    <col min="7" max="7" width="9.5" style="1997" customWidth="1"/>
    <col min="8" max="8" width="10" style="1997" customWidth="1"/>
    <col min="9" max="11" width="9.5" style="1997" customWidth="1"/>
    <col min="12" max="12" width="9" style="1998" customWidth="1"/>
    <col min="13" max="13" width="10.5" style="1998" bestFit="1" customWidth="1"/>
    <col min="14" max="26" width="9" style="1998" customWidth="1"/>
    <col min="27" max="254" width="9" style="1997" customWidth="1"/>
    <col min="255" max="16384" width="6.625" style="1997"/>
  </cols>
  <sheetData>
    <row r="1" spans="1:41" s="1925" customFormat="1" ht="20.25">
      <c r="A1" s="415" t="s">
        <v>460</v>
      </c>
      <c r="B1" s="2527"/>
      <c r="C1" s="1987"/>
      <c r="D1" s="1987"/>
      <c r="E1" s="1987"/>
      <c r="F1" s="1987"/>
      <c r="G1" s="1987"/>
      <c r="H1" s="1987"/>
      <c r="I1" s="1987"/>
      <c r="J1" s="1987"/>
      <c r="K1" s="416">
        <f>MATCH(B1,'数据-取费表'!A6:A16,0)+5</f>
        <v>7</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1675</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2632</v>
      </c>
      <c r="B6" s="427"/>
      <c r="C6" s="1552">
        <f>SUM(C10:K10)</f>
        <v>0</v>
      </c>
      <c r="D6" s="1992"/>
      <c r="E6" s="1992"/>
      <c r="F6" s="1992"/>
      <c r="G6" s="1992"/>
      <c r="H6" s="1992"/>
      <c r="I6" s="1992"/>
      <c r="J6" s="1992"/>
      <c r="K6" s="1993"/>
      <c r="L6" s="3197"/>
      <c r="M6" s="3197"/>
      <c r="N6" s="3197"/>
      <c r="O6" s="3197"/>
      <c r="P6" s="3197"/>
      <c r="Q6" s="3197"/>
      <c r="R6" s="3197"/>
      <c r="S6" s="3197"/>
      <c r="T6" s="3197"/>
      <c r="U6" s="3197"/>
      <c r="V6" s="3197"/>
      <c r="W6" s="3197"/>
      <c r="X6" s="3197"/>
      <c r="Y6" s="3197"/>
      <c r="Z6" s="3197"/>
    </row>
    <row r="7" spans="1:41" s="1996" customFormat="1" ht="15">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1836</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1838</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1855</v>
      </c>
      <c r="B11" s="1550"/>
      <c r="C11" s="1550"/>
      <c r="D11" s="1550"/>
      <c r="E11" s="1550"/>
      <c r="F11" s="1550"/>
      <c r="G11" s="1550"/>
      <c r="H11" s="1550"/>
      <c r="I11" s="1550"/>
      <c r="J11" s="1550"/>
      <c r="K11" s="1551"/>
      <c r="L11" s="3197"/>
      <c r="M11" s="3197"/>
      <c r="N11" s="3197"/>
      <c r="O11" s="3197"/>
      <c r="P11" s="3197"/>
      <c r="Q11" s="3197"/>
      <c r="R11" s="3197"/>
      <c r="S11" s="3197"/>
      <c r="T11" s="3197"/>
      <c r="U11" s="3197"/>
      <c r="V11" s="3197"/>
      <c r="W11" s="3197"/>
      <c r="X11" s="3197"/>
      <c r="Y11" s="3197"/>
      <c r="Z11" s="3197"/>
    </row>
    <row r="12" spans="1:41" s="1968"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9" customFormat="1" ht="13.5" customHeight="1">
      <c r="A13" s="1562" t="s">
        <v>1839</v>
      </c>
      <c r="B13" s="443" t="s">
        <v>473</v>
      </c>
      <c r="C13" s="444">
        <f ca="1">IF(B1="",'数据-取费表'!M16,INDIRECT("'数据-取费表'!M"&amp;$K$1)+INDIRECT("'数据-取费表'!t"&amp;$K$1))</f>
        <v>10513</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1840</v>
      </c>
      <c r="B14" s="443" t="s">
        <v>474</v>
      </c>
      <c r="C14" s="53">
        <f ca="1">ROUND(C13*F14,0)</f>
        <v>526</v>
      </c>
      <c r="D14" s="445"/>
      <c r="E14" s="363"/>
      <c r="F14" s="447">
        <f>'数据-取费表'!B33</f>
        <v>0.05</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1841</v>
      </c>
      <c r="B15" s="443" t="s">
        <v>476</v>
      </c>
      <c r="C15" s="53">
        <f ca="1">ROUND(IF(B1="",SUMIF('数据-取费表'!C:C,"住宅",'数据-取费表'!M:M)*F15,IF(INDIRECT("'数据-取费表'!c"&amp;$K$1)="住宅",INDIRECT("'数据-取费表'!M"&amp;$K$1)*F15,0)),0)</f>
        <v>0</v>
      </c>
      <c r="D15" s="445"/>
      <c r="E15" s="363"/>
      <c r="F15" s="447">
        <f>'数据-取费表'!B34</f>
        <v>0</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1842</v>
      </c>
      <c r="B16" s="443" t="s">
        <v>478</v>
      </c>
      <c r="C16" s="53">
        <f ca="1">ROUND(D16*E16/10000,0)</f>
        <v>526</v>
      </c>
      <c r="D16" s="445">
        <f ca="1">IF(B1="",'数据-汇总表'!E3,INDIRECT("'数据-取费表'!K"&amp;$K$1)+INDIRECT("'数据-取费表'!S"&amp;$K$1))</f>
        <v>26283.599999999999</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1843</v>
      </c>
      <c r="B17" s="443" t="s">
        <v>479</v>
      </c>
      <c r="C17" s="448">
        <f ca="1">ROUND(C13*F17,0)</f>
        <v>158</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1844</v>
      </c>
      <c r="B18" s="453" t="s">
        <v>481</v>
      </c>
      <c r="C18" s="454">
        <f ca="1">SUM(C13:C17)</f>
        <v>11723</v>
      </c>
      <c r="D18" s="455"/>
      <c r="E18" s="456"/>
      <c r="F18" s="456"/>
      <c r="G18" s="1281"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2" customFormat="1" ht="13.5" customHeight="1">
      <c r="A19" s="1563" t="s">
        <v>1845</v>
      </c>
      <c r="B19" s="453" t="s">
        <v>487</v>
      </c>
      <c r="C19" s="454">
        <f ca="1">ROUND(C18*F19,0)</f>
        <v>293</v>
      </c>
      <c r="D19" s="456"/>
      <c r="E19" s="456"/>
      <c r="F19" s="460">
        <f>'数据-取费表'!B37</f>
        <v>2.5000000000000001E-2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2" customFormat="1" ht="13.5" customHeight="1">
      <c r="A20" s="1563" t="s">
        <v>1846</v>
      </c>
      <c r="B20" s="453" t="s">
        <v>498</v>
      </c>
      <c r="C20" s="2743">
        <f>F20</f>
        <v>0.03</v>
      </c>
      <c r="D20" s="463" t="s">
        <v>499</v>
      </c>
      <c r="E20" s="463"/>
      <c r="F20" s="480">
        <f>'数据-取费表'!B38</f>
        <v>0.03</v>
      </c>
      <c r="G20" s="1281"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4" customFormat="1" ht="13.5" customHeight="1">
      <c r="A21" s="1563" t="s">
        <v>1849</v>
      </c>
      <c r="B21" s="455" t="s">
        <v>488</v>
      </c>
      <c r="C21" s="464">
        <f ca="1">C22</f>
        <v>345</v>
      </c>
      <c r="D21" s="461">
        <f ca="1">C23</f>
        <v>8.9999999999999998E-4</v>
      </c>
      <c r="E21" s="463" t="s">
        <v>501</v>
      </c>
      <c r="F21" s="465">
        <f ca="1">'数据-取费表'!B40</f>
        <v>3.85E-2</v>
      </c>
      <c r="G21" s="1281"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3" customFormat="1" ht="13.5" customHeight="1">
      <c r="A22" s="1562" t="s">
        <v>1839</v>
      </c>
      <c r="B22" s="1282" t="s">
        <v>2419</v>
      </c>
      <c r="C22" s="481">
        <f ca="1">ROUND(IF('数据-取费表'!B22&lt;=1,(C18+C19)*F21*'数据-取费表'!B20/2,(C18+C19)*(POWER((1+F21),'数据-取费表'!B20/2)-1)),0)</f>
        <v>345</v>
      </c>
      <c r="D22" s="466"/>
      <c r="E22" s="467"/>
      <c r="F22" s="468"/>
      <c r="G22" s="2421"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3" customFormat="1" ht="13.5" customHeight="1">
      <c r="A23" s="1562" t="s">
        <v>1840</v>
      </c>
      <c r="B23" s="1282" t="s">
        <v>502</v>
      </c>
      <c r="C23" s="482">
        <f ca="1">ROUND(IF('数据-取费表'!B22&lt;=1,F20*F21*'数据-取费表'!B20/2,F20*(POWER((1+F21),'数据-取费表'!B20/2)-1)),4)</f>
        <v>8.9999999999999998E-4</v>
      </c>
      <c r="D23" s="466"/>
      <c r="E23" s="467"/>
      <c r="F23" s="468"/>
      <c r="G23" s="2421"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3" customFormat="1" ht="13.5" customHeight="1">
      <c r="A24" s="1563" t="s">
        <v>1850</v>
      </c>
      <c r="B24" s="2745" t="s">
        <v>2811</v>
      </c>
      <c r="C24" s="472">
        <f ca="1">C25</f>
        <v>2403</v>
      </c>
      <c r="D24" s="483">
        <f ca="1">C26</f>
        <v>6.0000000000000001E-3</v>
      </c>
      <c r="E24" s="463" t="s">
        <v>501</v>
      </c>
      <c r="F24" s="473">
        <f ca="1">IF(B1="",'数据-取费表'!Q16,INDIRECT("'数据-取费表'!q"&amp;$K$1))</f>
        <v>0.2</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3" customFormat="1" ht="13.5" customHeight="1">
      <c r="A25" s="1562" t="s">
        <v>1839</v>
      </c>
      <c r="B25" s="1282" t="s">
        <v>2420</v>
      </c>
      <c r="C25" s="484">
        <f ca="1">ROUND((C18+C19)*F24,0)</f>
        <v>2403</v>
      </c>
      <c r="D25" s="466"/>
      <c r="E25" s="467"/>
      <c r="F25" s="474"/>
      <c r="G25" s="1280"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3" customFormat="1" ht="13.5" customHeight="1">
      <c r="A26" s="1562" t="s">
        <v>1840</v>
      </c>
      <c r="B26" s="1282" t="s">
        <v>503</v>
      </c>
      <c r="C26" s="485">
        <f ca="1">ROUND(F20*F24,4)</f>
        <v>6.0000000000000001E-3</v>
      </c>
      <c r="D26" s="466"/>
      <c r="E26" s="475"/>
      <c r="F26" s="474"/>
      <c r="G26" s="1280"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3" customFormat="1" ht="13.5" customHeight="1">
      <c r="A27" s="1566" t="s">
        <v>1858</v>
      </c>
      <c r="B27" s="453" t="s">
        <v>505</v>
      </c>
      <c r="C27" s="2744">
        <f>ROUND(F27/(1+'数据-取费表'!C42),4)</f>
        <v>5.2400000000000002E-2</v>
      </c>
      <c r="D27" s="456" t="s">
        <v>2809</v>
      </c>
      <c r="E27" s="456"/>
      <c r="F27" s="460">
        <f>'数据-取费表'!B41</f>
        <v>5.5000000000000007E-2</v>
      </c>
      <c r="G27" s="1875"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4" customFormat="1" ht="13.5" customHeight="1">
      <c r="A28" s="1566" t="s">
        <v>1859</v>
      </c>
      <c r="B28" s="470" t="s">
        <v>506</v>
      </c>
      <c r="C28" s="464">
        <f ca="1">ROUND((C18+C19+C21+C24)/(1-C20-D21-D24-C27),0)</f>
        <v>16212</v>
      </c>
      <c r="D28" s="471"/>
      <c r="E28" s="463"/>
      <c r="F28" s="465"/>
      <c r="G28" s="1281"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4" customFormat="1" ht="13.5" customHeight="1">
      <c r="A29" s="1566"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4" customFormat="1" ht="13.5" customHeight="1">
      <c r="A30" s="437">
        <v>2</v>
      </c>
      <c r="B30" s="470" t="s">
        <v>508</v>
      </c>
      <c r="C30" s="491">
        <f ca="1">ROUND(C28*C29,0)</f>
        <v>0</v>
      </c>
      <c r="D30" s="487"/>
      <c r="E30" s="492"/>
      <c r="F30" s="493"/>
      <c r="G30" s="1283"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9" customFormat="1" ht="13.5" customHeight="1">
      <c r="A31" s="2336" t="s">
        <v>1856</v>
      </c>
      <c r="B31" s="1284"/>
      <c r="C31" s="494">
        <f>ROUND(C6*F31/(1+'数据-取费表'!C42),0)</f>
        <v>0</v>
      </c>
      <c r="D31" s="1285"/>
      <c r="E31" s="1285"/>
      <c r="F31" s="495">
        <f>'数据-取费表'!B41</f>
        <v>5.5000000000000007E-2</v>
      </c>
      <c r="G31" s="1286"/>
      <c r="H31" s="1286"/>
      <c r="I31" s="1286"/>
      <c r="J31" s="1287"/>
      <c r="K31" s="1288"/>
      <c r="L31" s="3207"/>
      <c r="M31" s="3207"/>
      <c r="N31" s="3207"/>
      <c r="O31" s="3207"/>
      <c r="P31" s="3207"/>
      <c r="Q31" s="3207"/>
      <c r="R31" s="3207"/>
      <c r="S31" s="3207"/>
      <c r="T31" s="3207"/>
      <c r="U31" s="3207"/>
      <c r="V31" s="3207"/>
      <c r="W31" s="3207"/>
      <c r="X31" s="3207"/>
      <c r="Y31" s="3207"/>
      <c r="Z31" s="3207"/>
    </row>
    <row r="32" spans="1:26" s="1968"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7" t="s">
        <v>2926</v>
      </c>
      <c r="H32" s="477"/>
      <c r="I32" s="477"/>
      <c r="J32" s="477"/>
      <c r="K32" s="479"/>
      <c r="L32" s="3198"/>
      <c r="M32" s="3198"/>
      <c r="N32" s="3198"/>
      <c r="O32" s="3198"/>
      <c r="P32" s="3198"/>
      <c r="Q32" s="3198"/>
      <c r="R32" s="3198"/>
      <c r="S32" s="3198"/>
      <c r="T32" s="3198"/>
      <c r="U32" s="3198"/>
      <c r="V32" s="3198"/>
      <c r="W32" s="3198"/>
      <c r="X32" s="3198"/>
      <c r="Y32" s="3198"/>
      <c r="Z32" s="3198"/>
    </row>
    <row r="33" spans="1:5" s="1998" customFormat="1">
      <c r="A33" s="3205"/>
      <c r="C33" s="3206"/>
      <c r="E33" s="3205"/>
    </row>
    <row r="34" spans="1:5" s="1998" customFormat="1" ht="12.75" customHeight="1">
      <c r="A34" s="3205"/>
      <c r="C34" s="3206"/>
      <c r="E34" s="3205"/>
    </row>
    <row r="35" spans="1:5" s="1998" customFormat="1">
      <c r="A35" s="3205"/>
      <c r="C35" s="3206"/>
      <c r="E35" s="3205"/>
    </row>
    <row r="36" spans="1:5" s="1998" customFormat="1">
      <c r="A36" s="3205"/>
      <c r="C36" s="3206"/>
      <c r="E36" s="3205"/>
    </row>
    <row r="37" spans="1:5" s="1998" customFormat="1">
      <c r="A37" s="3205"/>
      <c r="C37" s="3206"/>
      <c r="E37" s="3205"/>
    </row>
    <row r="38" spans="1:5" s="1998" customFormat="1">
      <c r="A38" s="3205"/>
      <c r="C38" s="3206"/>
      <c r="E38" s="3205"/>
    </row>
    <row r="39" spans="1:5" s="1998" customFormat="1">
      <c r="A39" s="3205"/>
      <c r="C39" s="3206"/>
      <c r="E39" s="3205"/>
    </row>
    <row r="40" spans="1:5" s="1998" customFormat="1">
      <c r="A40" s="3205"/>
      <c r="C40" s="3206"/>
      <c r="E40" s="3205"/>
    </row>
    <row r="41" spans="1:5" s="1998" customFormat="1">
      <c r="A41" s="3205"/>
      <c r="C41" s="3206"/>
      <c r="E41" s="3205"/>
    </row>
    <row r="42" spans="1:5" s="1998" customFormat="1">
      <c r="A42" s="3205"/>
      <c r="C42" s="3206"/>
      <c r="E42" s="3205"/>
    </row>
    <row r="43" spans="1:5" s="1998" customFormat="1">
      <c r="A43" s="3205"/>
      <c r="C43" s="3206"/>
      <c r="E43" s="3205"/>
    </row>
    <row r="44" spans="1:5" s="1998" customFormat="1">
      <c r="A44" s="3205"/>
      <c r="C44" s="3206"/>
      <c r="E44" s="3205"/>
    </row>
    <row r="45" spans="1:5" s="1998" customFormat="1">
      <c r="A45" s="3205"/>
      <c r="C45" s="3206"/>
      <c r="E45" s="3205"/>
    </row>
    <row r="46" spans="1:5" s="1998" customFormat="1">
      <c r="A46" s="3205"/>
      <c r="C46" s="3206"/>
      <c r="E46" s="3205"/>
    </row>
    <row r="47" spans="1:5" s="1998" customFormat="1">
      <c r="A47" s="3205"/>
      <c r="C47" s="3206"/>
      <c r="E47" s="3205"/>
    </row>
    <row r="48" spans="1:5" s="1998" customFormat="1">
      <c r="A48" s="3205"/>
      <c r="C48" s="3206"/>
      <c r="E48" s="3205"/>
    </row>
    <row r="49" spans="1:5" s="1998" customFormat="1">
      <c r="A49" s="3205"/>
      <c r="C49" s="3206"/>
      <c r="E49" s="3205"/>
    </row>
    <row r="50" spans="1:5" s="1998" customFormat="1">
      <c r="A50" s="3205"/>
      <c r="C50" s="3206"/>
      <c r="E50" s="3205"/>
    </row>
    <row r="51" spans="1:5" s="1998" customFormat="1">
      <c r="A51" s="3205"/>
      <c r="C51" s="3206"/>
      <c r="E51" s="3205"/>
    </row>
    <row r="52" spans="1:5" s="1998" customFormat="1">
      <c r="A52" s="3205"/>
      <c r="C52" s="3206"/>
      <c r="E52" s="3205"/>
    </row>
    <row r="53" spans="1:5" s="1998" customFormat="1">
      <c r="A53" s="3205"/>
      <c r="C53" s="3206"/>
      <c r="E53" s="3205"/>
    </row>
    <row r="54" spans="1:5" s="1998" customFormat="1">
      <c r="A54" s="3205"/>
      <c r="C54" s="3206"/>
      <c r="E54" s="3205"/>
    </row>
    <row r="55" spans="1:5" s="1998" customFormat="1">
      <c r="A55" s="3205"/>
      <c r="C55" s="3206"/>
      <c r="E55" s="3205"/>
    </row>
    <row r="56" spans="1:5" s="1998" customFormat="1">
      <c r="A56" s="3205"/>
      <c r="C56" s="3206"/>
      <c r="E56" s="3205"/>
    </row>
    <row r="57" spans="1:5" s="1998" customFormat="1">
      <c r="A57" s="3205"/>
      <c r="C57" s="3206"/>
      <c r="E57" s="3205"/>
    </row>
    <row r="58" spans="1:5" s="1998" customFormat="1">
      <c r="A58" s="3205"/>
      <c r="C58" s="3206"/>
      <c r="E58" s="3205"/>
    </row>
    <row r="59" spans="1:5" s="1998" customFormat="1">
      <c r="A59" s="3205"/>
      <c r="C59" s="3206"/>
      <c r="E59" s="3205"/>
    </row>
    <row r="60" spans="1:5" s="1998" customFormat="1">
      <c r="A60" s="3205"/>
      <c r="C60" s="3206"/>
      <c r="E60" s="3205"/>
    </row>
    <row r="61" spans="1:5" s="1998" customFormat="1">
      <c r="A61" s="3205"/>
      <c r="C61" s="3206"/>
      <c r="E61" s="3205"/>
    </row>
    <row r="62" spans="1:5" s="1998" customFormat="1">
      <c r="A62" s="3205"/>
      <c r="C62" s="3206"/>
      <c r="E62" s="3205"/>
    </row>
    <row r="63" spans="1:5" s="1998" customFormat="1">
      <c r="A63" s="3205"/>
      <c r="C63" s="3206"/>
      <c r="E63" s="3205"/>
    </row>
    <row r="64" spans="1:5" s="1998" customFormat="1">
      <c r="A64" s="3205"/>
      <c r="C64" s="3206"/>
      <c r="E64" s="3205"/>
    </row>
    <row r="65" spans="1:5" s="1998" customFormat="1">
      <c r="A65" s="3205"/>
      <c r="C65" s="3206"/>
      <c r="E65" s="3205"/>
    </row>
    <row r="66" spans="1:5" s="1998" customFormat="1">
      <c r="A66" s="3205"/>
      <c r="C66" s="3206"/>
      <c r="E66" s="3205"/>
    </row>
    <row r="67" spans="1:5" s="1998" customFormat="1">
      <c r="A67" s="3205"/>
      <c r="C67" s="3206"/>
      <c r="E67" s="3205"/>
    </row>
    <row r="68" spans="1:5" s="1998" customFormat="1">
      <c r="A68" s="3205"/>
      <c r="C68" s="3206"/>
      <c r="E68" s="3205"/>
    </row>
    <row r="69" spans="1:5" s="1998" customFormat="1">
      <c r="A69" s="3205"/>
      <c r="C69" s="3206"/>
      <c r="E69" s="3205"/>
    </row>
    <row r="70" spans="1:5" s="1998" customFormat="1">
      <c r="A70" s="3205"/>
      <c r="C70" s="3206"/>
      <c r="E70" s="3205"/>
    </row>
    <row r="71" spans="1:5" s="1998" customFormat="1">
      <c r="A71" s="3205"/>
      <c r="C71" s="3206"/>
      <c r="E71" s="3205"/>
    </row>
    <row r="72" spans="1:5" s="1998" customFormat="1">
      <c r="A72" s="3205"/>
      <c r="C72" s="3206"/>
      <c r="E72" s="3205"/>
    </row>
    <row r="73" spans="1:5" s="1998" customFormat="1">
      <c r="A73" s="3205"/>
      <c r="C73" s="3206"/>
      <c r="E73" s="3205"/>
    </row>
    <row r="74" spans="1:5" s="1998" customFormat="1">
      <c r="A74" s="3205"/>
      <c r="C74" s="3206"/>
      <c r="E74" s="3205"/>
    </row>
    <row r="75" spans="1:5" s="1998" customFormat="1">
      <c r="A75" s="3205"/>
      <c r="C75" s="3206"/>
      <c r="E75" s="3205"/>
    </row>
    <row r="76" spans="1:5" s="1998" customFormat="1">
      <c r="A76" s="3205"/>
      <c r="C76" s="3206"/>
      <c r="E76" s="3205"/>
    </row>
    <row r="77" spans="1:5" s="1998" customFormat="1">
      <c r="A77" s="3205"/>
      <c r="C77" s="3206"/>
      <c r="E77" s="3205"/>
    </row>
    <row r="78" spans="1:5" s="1998" customFormat="1">
      <c r="A78" s="3205"/>
      <c r="C78" s="3206"/>
      <c r="E78" s="3205"/>
    </row>
    <row r="79" spans="1:5" s="1998" customFormat="1">
      <c r="A79" s="3205"/>
      <c r="C79" s="3206"/>
      <c r="E79" s="3205"/>
    </row>
    <row r="80" spans="1:5" s="1998" customFormat="1">
      <c r="A80" s="3205"/>
      <c r="C80" s="3206"/>
      <c r="E80" s="3205"/>
    </row>
    <row r="81" spans="1:5" s="1998" customFormat="1">
      <c r="A81" s="3205"/>
      <c r="C81" s="3206"/>
      <c r="E81" s="3205"/>
    </row>
    <row r="82" spans="1:5" s="1998" customFormat="1">
      <c r="A82" s="3205"/>
      <c r="C82" s="3206"/>
      <c r="E82" s="3205"/>
    </row>
    <row r="83" spans="1:5" s="1998" customFormat="1">
      <c r="A83" s="3205"/>
      <c r="C83" s="3206"/>
      <c r="E83" s="3205"/>
    </row>
    <row r="84" spans="1:5" s="1998" customFormat="1">
      <c r="A84" s="3205"/>
      <c r="C84" s="3206"/>
      <c r="E84" s="3205"/>
    </row>
    <row r="85" spans="1:5" s="1998" customFormat="1">
      <c r="A85" s="3205"/>
      <c r="C85" s="3206"/>
      <c r="E85" s="3205"/>
    </row>
    <row r="86" spans="1:5" s="1998" customFormat="1">
      <c r="A86" s="3205"/>
      <c r="C86" s="3206"/>
      <c r="E86" s="3205"/>
    </row>
    <row r="87" spans="1:5" s="1998" customFormat="1">
      <c r="A87" s="3205"/>
      <c r="C87" s="3206"/>
      <c r="E87" s="3205"/>
    </row>
    <row r="88" spans="1:5" s="1998" customFormat="1">
      <c r="A88" s="3205"/>
      <c r="C88" s="3206"/>
      <c r="E88" s="3205"/>
    </row>
    <row r="89" spans="1:5" s="1998" customFormat="1">
      <c r="A89" s="3205"/>
      <c r="C89" s="3206"/>
      <c r="E89" s="3205"/>
    </row>
    <row r="90" spans="1:5" s="1998" customFormat="1">
      <c r="A90" s="3205"/>
      <c r="C90" s="3206"/>
      <c r="E90" s="3205"/>
    </row>
    <row r="91" spans="1:5" s="1998" customFormat="1">
      <c r="A91" s="3205"/>
      <c r="C91" s="3206"/>
      <c r="E91" s="3205"/>
    </row>
    <row r="92" spans="1:5" s="1998" customFormat="1">
      <c r="A92" s="3205"/>
      <c r="C92" s="3206"/>
      <c r="E92" s="3205"/>
    </row>
    <row r="93" spans="1:5" s="1998" customFormat="1">
      <c r="A93" s="3205"/>
      <c r="C93" s="3206"/>
      <c r="E93" s="3205"/>
    </row>
    <row r="94" spans="1:5" s="1998" customFormat="1">
      <c r="A94" s="3205"/>
      <c r="C94" s="3206"/>
      <c r="E94" s="3205"/>
    </row>
    <row r="95" spans="1:5" s="1998" customFormat="1">
      <c r="A95" s="3205"/>
      <c r="C95" s="3206"/>
      <c r="E95" s="3205"/>
    </row>
    <row r="96" spans="1:5" s="1998" customFormat="1">
      <c r="A96" s="3205"/>
      <c r="C96" s="3206"/>
      <c r="E96" s="3205"/>
    </row>
    <row r="97" spans="1:5" s="1998" customFormat="1">
      <c r="A97" s="3205"/>
      <c r="C97" s="3206"/>
      <c r="E97" s="3205"/>
    </row>
    <row r="98" spans="1:5" s="1998" customFormat="1">
      <c r="A98" s="3205"/>
      <c r="C98" s="3206"/>
      <c r="E98" s="3205"/>
    </row>
    <row r="99" spans="1:5" s="1998" customFormat="1">
      <c r="A99" s="3205"/>
      <c r="C99" s="3206"/>
      <c r="E99" s="3205"/>
    </row>
    <row r="100" spans="1:5" s="1998" customFormat="1">
      <c r="A100" s="3205"/>
      <c r="C100" s="3206"/>
      <c r="E100" s="3205"/>
    </row>
    <row r="101" spans="1:5" s="1998" customFormat="1">
      <c r="A101" s="3205"/>
      <c r="C101" s="3206"/>
      <c r="E101" s="3205"/>
    </row>
    <row r="102" spans="1:5" s="1998" customFormat="1">
      <c r="A102" s="3205"/>
      <c r="C102" s="3206"/>
      <c r="E102" s="3205"/>
    </row>
    <row r="103" spans="1:5" s="1998" customFormat="1">
      <c r="A103" s="3205"/>
      <c r="C103" s="3206"/>
      <c r="E103" s="3205"/>
    </row>
    <row r="104" spans="1:5" s="1998" customFormat="1">
      <c r="A104" s="3205"/>
      <c r="C104" s="3206"/>
      <c r="E104" s="3205"/>
    </row>
    <row r="105" spans="1:5" s="1998" customFormat="1">
      <c r="A105" s="3205"/>
      <c r="C105" s="3206"/>
      <c r="E105" s="3205"/>
    </row>
    <row r="106" spans="1:5" s="1998" customFormat="1">
      <c r="A106" s="3205"/>
      <c r="C106" s="3206"/>
      <c r="E106" s="3205"/>
    </row>
    <row r="107" spans="1:5" s="1998" customFormat="1">
      <c r="A107" s="3205"/>
      <c r="C107" s="3206"/>
      <c r="E107" s="3205"/>
    </row>
    <row r="108" spans="1:5" s="1998" customFormat="1">
      <c r="A108" s="3205"/>
      <c r="C108" s="3206"/>
      <c r="E108" s="3205"/>
    </row>
    <row r="109" spans="1:5" s="1998" customFormat="1">
      <c r="A109" s="3205"/>
      <c r="C109" s="3206"/>
      <c r="E109" s="3205"/>
    </row>
    <row r="110" spans="1:5" s="1998" customFormat="1">
      <c r="A110" s="3205"/>
      <c r="C110" s="3206"/>
      <c r="E110" s="3205"/>
    </row>
    <row r="111" spans="1:5" s="1998" customFormat="1">
      <c r="A111" s="3205"/>
      <c r="C111" s="3206"/>
      <c r="E111" s="3205"/>
    </row>
    <row r="112" spans="1:5" s="1998" customFormat="1">
      <c r="A112" s="3205"/>
      <c r="C112" s="3206"/>
      <c r="E112" s="3205"/>
    </row>
    <row r="113" spans="1:5" s="1998" customFormat="1">
      <c r="A113" s="3205"/>
      <c r="C113" s="3206"/>
      <c r="E113" s="3205"/>
    </row>
    <row r="114" spans="1:5" s="1998" customFormat="1">
      <c r="A114" s="3205"/>
      <c r="C114" s="3206"/>
      <c r="E114" s="3205"/>
    </row>
    <row r="115" spans="1:5" s="1998" customFormat="1">
      <c r="A115" s="3205"/>
      <c r="C115" s="3206"/>
      <c r="E115" s="3205"/>
    </row>
    <row r="116" spans="1:5" s="1998" customFormat="1">
      <c r="A116" s="3205"/>
      <c r="C116" s="3206"/>
      <c r="E116" s="3205"/>
    </row>
    <row r="117" spans="1:5" s="1998" customFormat="1">
      <c r="A117" s="3205"/>
      <c r="C117" s="3206"/>
      <c r="E117" s="3205"/>
    </row>
    <row r="118" spans="1:5" s="1998" customFormat="1">
      <c r="A118" s="3205"/>
      <c r="C118" s="3206"/>
      <c r="E118" s="3205"/>
    </row>
    <row r="119" spans="1:5" s="1998" customFormat="1">
      <c r="A119" s="3205"/>
      <c r="C119" s="3206"/>
      <c r="E119" s="3205"/>
    </row>
    <row r="120" spans="1:5" s="1998" customFormat="1">
      <c r="A120" s="3205"/>
      <c r="C120" s="3206"/>
      <c r="E120" s="3205"/>
    </row>
    <row r="121" spans="1:5" s="1998" customFormat="1">
      <c r="A121" s="3205"/>
      <c r="C121" s="3206"/>
      <c r="E121" s="3205"/>
    </row>
    <row r="122" spans="1:5" s="1998" customFormat="1">
      <c r="A122" s="3205"/>
      <c r="C122" s="3206"/>
      <c r="E122" s="3205"/>
    </row>
    <row r="123" spans="1:5" s="1998" customFormat="1">
      <c r="A123" s="3205"/>
      <c r="C123" s="3206"/>
      <c r="E123" s="3205"/>
    </row>
    <row r="124" spans="1:5" s="1998" customFormat="1">
      <c r="A124" s="3205"/>
      <c r="C124" s="3206"/>
      <c r="E124" s="3205"/>
    </row>
    <row r="125" spans="1:5" s="1998" customFormat="1">
      <c r="A125" s="3205"/>
      <c r="C125" s="3206"/>
      <c r="E125" s="3205"/>
    </row>
    <row r="126" spans="1:5" s="1998" customFormat="1">
      <c r="A126" s="3205"/>
      <c r="C126" s="3206"/>
      <c r="E126" s="3205"/>
    </row>
    <row r="127" spans="1:5" s="1998" customFormat="1">
      <c r="A127" s="3205"/>
      <c r="C127" s="3206"/>
      <c r="E127" s="3205"/>
    </row>
    <row r="128" spans="1:5" s="1998" customFormat="1">
      <c r="A128" s="3205"/>
      <c r="C128" s="3206"/>
      <c r="E128" s="3205"/>
    </row>
    <row r="129" spans="1:5" s="1998" customFormat="1">
      <c r="A129" s="3205"/>
      <c r="C129" s="3206"/>
      <c r="E129" s="3205"/>
    </row>
    <row r="130" spans="1:5" s="1998" customFormat="1">
      <c r="A130" s="3205"/>
      <c r="C130" s="3206"/>
      <c r="E130" s="3205"/>
    </row>
    <row r="131" spans="1:5" s="1998" customFormat="1">
      <c r="A131" s="3205"/>
      <c r="C131" s="3206"/>
      <c r="E131" s="3205"/>
    </row>
    <row r="132" spans="1:5" s="1998" customFormat="1">
      <c r="A132" s="3205"/>
      <c r="C132" s="3206"/>
      <c r="E132" s="3205"/>
    </row>
    <row r="133" spans="1:5" s="1998" customFormat="1">
      <c r="A133" s="3205"/>
      <c r="C133" s="3206"/>
      <c r="E133" s="3205"/>
    </row>
    <row r="134" spans="1:5" s="1998" customFormat="1">
      <c r="A134" s="3205"/>
      <c r="C134" s="3206"/>
      <c r="E134" s="3205"/>
    </row>
    <row r="135" spans="1:5" s="1998" customFormat="1">
      <c r="A135" s="3205"/>
      <c r="C135" s="3206"/>
      <c r="E135" s="3205"/>
    </row>
    <row r="136" spans="1:5" s="1998" customFormat="1">
      <c r="A136" s="3205"/>
      <c r="C136" s="3206"/>
      <c r="E136" s="3205"/>
    </row>
    <row r="137" spans="1:5" s="1998" customFormat="1">
      <c r="A137" s="3205"/>
      <c r="C137" s="3206"/>
      <c r="E137" s="3205"/>
    </row>
    <row r="138" spans="1:5" s="1998" customFormat="1">
      <c r="A138" s="3205"/>
      <c r="C138" s="3206"/>
      <c r="E138" s="3205"/>
    </row>
    <row r="139" spans="1:5" s="1998" customFormat="1">
      <c r="A139" s="3205"/>
      <c r="C139" s="3206"/>
      <c r="E139" s="3205"/>
    </row>
    <row r="140" spans="1:5" s="1998" customFormat="1">
      <c r="A140" s="3205"/>
      <c r="C140" s="3206"/>
      <c r="E140" s="3205"/>
    </row>
    <row r="141" spans="1:5" s="1998" customFormat="1">
      <c r="A141" s="3205"/>
      <c r="C141" s="3206"/>
      <c r="E141" s="3205"/>
    </row>
    <row r="142" spans="1:5" s="1998" customFormat="1">
      <c r="A142" s="3205"/>
      <c r="C142" s="3206"/>
      <c r="E142" s="3205"/>
    </row>
    <row r="143" spans="1:5" s="1998" customFormat="1">
      <c r="A143" s="3205"/>
      <c r="C143" s="3206"/>
      <c r="E143" s="3205"/>
    </row>
    <row r="144" spans="1:5" s="1998" customFormat="1">
      <c r="A144" s="3205"/>
      <c r="C144" s="3206"/>
      <c r="E144" s="3205"/>
    </row>
    <row r="145" spans="1:5" s="1998" customFormat="1">
      <c r="A145" s="3205"/>
      <c r="C145" s="3206"/>
      <c r="E145" s="3205"/>
    </row>
    <row r="146" spans="1:5" s="1998" customFormat="1">
      <c r="A146" s="3205"/>
      <c r="C146" s="3206"/>
      <c r="E146" s="3205"/>
    </row>
    <row r="147" spans="1:5" s="1998" customFormat="1">
      <c r="A147" s="3205"/>
      <c r="C147" s="3206"/>
      <c r="E147" s="3205"/>
    </row>
    <row r="148" spans="1:5" s="1998" customFormat="1">
      <c r="A148" s="3205"/>
      <c r="C148" s="3206"/>
      <c r="E148" s="3205"/>
    </row>
    <row r="149" spans="1:5" s="1998" customFormat="1">
      <c r="A149" s="3205"/>
      <c r="C149" s="3206"/>
      <c r="E149" s="3205"/>
    </row>
    <row r="150" spans="1:5" s="1998" customFormat="1">
      <c r="A150" s="3205"/>
      <c r="C150" s="3206"/>
      <c r="E150" s="3205"/>
    </row>
    <row r="151" spans="1:5" s="1998" customFormat="1">
      <c r="A151" s="3205"/>
      <c r="C151" s="3206"/>
      <c r="E151" s="3205"/>
    </row>
    <row r="152" spans="1:5" s="1998" customFormat="1">
      <c r="A152" s="3205"/>
      <c r="C152" s="3206"/>
      <c r="E152" s="3205"/>
    </row>
    <row r="153" spans="1:5" s="1998" customFormat="1">
      <c r="A153" s="3205"/>
      <c r="C153" s="3206"/>
      <c r="E153" s="3205"/>
    </row>
    <row r="154" spans="1:5" s="1998" customFormat="1">
      <c r="A154" s="3205"/>
      <c r="C154" s="3206"/>
      <c r="E154" s="3205"/>
    </row>
    <row r="155" spans="1:5" s="1998" customFormat="1">
      <c r="A155" s="3205"/>
      <c r="C155" s="3206"/>
      <c r="E155" s="3205"/>
    </row>
    <row r="156" spans="1:5" s="1998" customFormat="1">
      <c r="A156" s="3205"/>
      <c r="C156" s="3206"/>
      <c r="E156" s="3205"/>
    </row>
    <row r="157" spans="1:5" s="1998" customFormat="1">
      <c r="A157" s="3205"/>
      <c r="C157" s="3206"/>
      <c r="E157" s="3205"/>
    </row>
    <row r="158" spans="1:5" s="1998" customFormat="1">
      <c r="A158" s="3205"/>
      <c r="C158" s="3206"/>
      <c r="E158" s="3205"/>
    </row>
    <row r="159" spans="1:5" s="1998" customFormat="1">
      <c r="A159" s="3205"/>
      <c r="C159" s="3206"/>
      <c r="E159" s="3205"/>
    </row>
    <row r="160" spans="1:5" s="1998" customFormat="1">
      <c r="A160" s="3205"/>
      <c r="C160" s="3206"/>
      <c r="E160" s="3205"/>
    </row>
    <row r="161" spans="1:5" s="1998" customFormat="1">
      <c r="A161" s="3205"/>
      <c r="C161" s="3206"/>
      <c r="E161" s="3205"/>
    </row>
    <row r="162" spans="1:5" s="1998" customFormat="1">
      <c r="A162" s="3205"/>
      <c r="C162" s="3206"/>
      <c r="E162" s="3205"/>
    </row>
    <row r="163" spans="1:5" s="1998" customFormat="1">
      <c r="A163" s="3205"/>
      <c r="C163" s="3206"/>
      <c r="E163" s="3205"/>
    </row>
    <row r="164" spans="1:5" s="1998" customFormat="1">
      <c r="A164" s="3205"/>
      <c r="C164" s="3206"/>
      <c r="E164" s="3205"/>
    </row>
    <row r="165" spans="1:5" s="1998" customFormat="1">
      <c r="A165" s="3205"/>
      <c r="C165" s="3206"/>
      <c r="E165" s="3205"/>
    </row>
    <row r="166" spans="1:5" s="1998" customFormat="1">
      <c r="A166" s="3205"/>
      <c r="C166" s="3206"/>
      <c r="E166" s="3205"/>
    </row>
    <row r="167" spans="1:5" s="1998" customFormat="1">
      <c r="A167" s="3205"/>
      <c r="C167" s="3206"/>
      <c r="E167" s="3205"/>
    </row>
    <row r="168" spans="1:5" s="1998" customFormat="1">
      <c r="A168" s="3205"/>
      <c r="C168" s="3206"/>
      <c r="E168" s="3205"/>
    </row>
    <row r="169" spans="1:5" s="1998" customFormat="1">
      <c r="A169" s="3205"/>
      <c r="C169" s="3206"/>
      <c r="E169" s="3205"/>
    </row>
    <row r="170" spans="1:5" s="1998" customFormat="1">
      <c r="A170" s="3205"/>
      <c r="C170" s="3206"/>
      <c r="E170" s="3205"/>
    </row>
    <row r="171" spans="1:5" s="1998" customFormat="1">
      <c r="A171" s="3205"/>
      <c r="C171" s="3206"/>
      <c r="E171" s="3205"/>
    </row>
    <row r="172" spans="1:5" s="1998" customFormat="1">
      <c r="A172" s="3205"/>
      <c r="C172" s="3206"/>
      <c r="E172" s="3205"/>
    </row>
    <row r="173" spans="1:5" s="1998" customFormat="1">
      <c r="A173" s="3205"/>
      <c r="C173" s="3206"/>
      <c r="E173" s="3205"/>
    </row>
    <row r="174" spans="1:5" s="1998" customFormat="1">
      <c r="A174" s="3205"/>
      <c r="C174" s="3206"/>
      <c r="E174" s="3205"/>
    </row>
    <row r="175" spans="1:5" s="1998" customFormat="1">
      <c r="A175" s="3205"/>
      <c r="C175" s="3206"/>
      <c r="E175" s="3205"/>
    </row>
    <row r="176" spans="1:5" s="1998" customFormat="1">
      <c r="A176" s="3205"/>
      <c r="C176" s="3206"/>
      <c r="E176" s="3205"/>
    </row>
    <row r="177" spans="1:5" s="1998" customFormat="1">
      <c r="A177" s="3205"/>
      <c r="C177" s="3206"/>
      <c r="E177" s="3205"/>
    </row>
    <row r="178" spans="1:5" s="1998" customFormat="1">
      <c r="A178" s="3205"/>
      <c r="C178" s="3206"/>
      <c r="E178" s="3205"/>
    </row>
    <row r="179" spans="1:5" s="1998" customFormat="1">
      <c r="A179" s="3205"/>
      <c r="C179" s="3206"/>
      <c r="E179" s="3205"/>
    </row>
    <row r="180" spans="1:5" s="1998" customFormat="1">
      <c r="A180" s="3205"/>
      <c r="C180" s="3206"/>
      <c r="E180" s="3205"/>
    </row>
    <row r="181" spans="1:5" s="1998" customFormat="1">
      <c r="A181" s="3205"/>
      <c r="C181" s="3206"/>
      <c r="E181" s="3205"/>
    </row>
    <row r="182" spans="1:5" s="1998" customFormat="1">
      <c r="A182" s="3205"/>
      <c r="C182" s="3206"/>
      <c r="E182" s="3205"/>
    </row>
    <row r="183" spans="1:5" s="1998" customFormat="1">
      <c r="A183" s="3205"/>
      <c r="C183" s="3206"/>
      <c r="E183" s="3205"/>
    </row>
    <row r="184" spans="1:5" s="1998" customFormat="1">
      <c r="A184" s="3205"/>
      <c r="C184" s="3206"/>
      <c r="E184" s="3205"/>
    </row>
    <row r="185" spans="1:5" s="1998" customFormat="1">
      <c r="A185" s="3205"/>
      <c r="C185" s="3206"/>
      <c r="E185" s="3205"/>
    </row>
    <row r="186" spans="1:5" s="1998" customFormat="1">
      <c r="A186" s="3205"/>
      <c r="C186" s="3206"/>
      <c r="E186" s="3205"/>
    </row>
    <row r="187" spans="1:5" s="1998" customFormat="1">
      <c r="A187" s="3205"/>
      <c r="C187" s="3206"/>
      <c r="E187" s="3205"/>
    </row>
    <row r="188" spans="1:5" s="1998" customFormat="1">
      <c r="A188" s="3205"/>
      <c r="C188" s="3206"/>
      <c r="E188" s="3205"/>
    </row>
    <row r="189" spans="1:5" s="1998" customFormat="1">
      <c r="A189" s="3205"/>
      <c r="C189" s="3206"/>
      <c r="E189" s="3205"/>
    </row>
    <row r="190" spans="1:5" s="1998" customFormat="1">
      <c r="A190" s="3205"/>
      <c r="C190" s="3206"/>
      <c r="E190" s="3205"/>
    </row>
    <row r="191" spans="1:5" s="1998" customFormat="1">
      <c r="A191" s="3205"/>
      <c r="C191" s="3206"/>
      <c r="E191" s="3205"/>
    </row>
    <row r="192" spans="1:5" s="1998" customFormat="1">
      <c r="A192" s="3205"/>
      <c r="C192" s="3206"/>
      <c r="E192" s="3205"/>
    </row>
    <row r="193" spans="1:5" s="1998" customFormat="1">
      <c r="A193" s="3205"/>
      <c r="C193" s="3206"/>
      <c r="E193" s="3205"/>
    </row>
    <row r="194" spans="1:5" s="1998" customFormat="1">
      <c r="A194" s="3205"/>
      <c r="C194" s="3206"/>
      <c r="E194" s="3205"/>
    </row>
    <row r="195" spans="1:5" s="1998" customFormat="1">
      <c r="A195" s="3205"/>
      <c r="C195" s="3206"/>
      <c r="E195" s="3205"/>
    </row>
    <row r="196" spans="1:5" s="1998" customFormat="1">
      <c r="A196" s="3205"/>
      <c r="C196" s="3206"/>
      <c r="E196" s="3205"/>
    </row>
    <row r="197" spans="1:5" s="1998" customFormat="1">
      <c r="A197" s="3205"/>
      <c r="C197" s="3206"/>
      <c r="E197" s="3205"/>
    </row>
    <row r="198" spans="1:5" s="1998" customFormat="1">
      <c r="A198" s="3205"/>
      <c r="C198" s="3206"/>
      <c r="E198" s="3205"/>
    </row>
    <row r="199" spans="1:5" s="1998" customFormat="1">
      <c r="A199" s="3205"/>
      <c r="C199" s="3206"/>
      <c r="E199" s="3205"/>
    </row>
    <row r="200" spans="1:5" s="1998" customFormat="1">
      <c r="A200" s="3205"/>
      <c r="C200" s="3206"/>
      <c r="E200" s="3205"/>
    </row>
    <row r="201" spans="1:5" s="1998" customFormat="1">
      <c r="A201" s="3205"/>
      <c r="C201" s="3206"/>
      <c r="E201" s="3205"/>
    </row>
    <row r="202" spans="1:5" s="1998" customFormat="1">
      <c r="A202" s="3205"/>
      <c r="C202" s="3206"/>
      <c r="E202" s="3205"/>
    </row>
    <row r="203" spans="1:5" s="1998" customFormat="1">
      <c r="A203" s="3205"/>
      <c r="C203" s="3206"/>
      <c r="E203" s="3205"/>
    </row>
    <row r="204" spans="1:5" s="1998" customFormat="1">
      <c r="A204" s="3205"/>
      <c r="C204" s="3206"/>
      <c r="E204" s="3205"/>
    </row>
    <row r="205" spans="1:5" s="1998" customFormat="1">
      <c r="A205" s="3205"/>
      <c r="C205" s="3206"/>
      <c r="E205" s="3205"/>
    </row>
    <row r="206" spans="1:5" s="1998" customFormat="1">
      <c r="A206" s="3205"/>
      <c r="C206" s="3206"/>
      <c r="E206" s="3205"/>
    </row>
    <row r="207" spans="1:5" s="1998" customFormat="1">
      <c r="A207" s="3205"/>
      <c r="C207" s="3206"/>
      <c r="E207" s="3205"/>
    </row>
    <row r="208" spans="1:5" s="1998" customFormat="1">
      <c r="A208" s="3205"/>
      <c r="C208" s="3206"/>
      <c r="E208" s="3205"/>
    </row>
    <row r="209" spans="1:5" s="1998" customFormat="1">
      <c r="A209" s="3205"/>
      <c r="C209" s="3206"/>
      <c r="E209" s="3205"/>
    </row>
    <row r="210" spans="1:5" s="1998" customFormat="1">
      <c r="A210" s="3205"/>
      <c r="C210" s="3206"/>
      <c r="E210" s="3205"/>
    </row>
    <row r="211" spans="1:5" s="1998" customFormat="1">
      <c r="A211" s="3205"/>
      <c r="C211" s="3206"/>
      <c r="E211" s="3205"/>
    </row>
    <row r="212" spans="1:5" s="1998" customFormat="1">
      <c r="A212" s="3205"/>
      <c r="C212" s="3206"/>
      <c r="E212" s="3205"/>
    </row>
    <row r="213" spans="1:5" s="1998" customFormat="1">
      <c r="A213" s="3205"/>
      <c r="C213" s="3206"/>
      <c r="E213" s="3205"/>
    </row>
    <row r="214" spans="1:5" s="1998" customFormat="1">
      <c r="A214" s="3205"/>
      <c r="C214" s="3206"/>
      <c r="E214" s="3205"/>
    </row>
    <row r="215" spans="1:5" s="1998" customFormat="1">
      <c r="A215" s="3205"/>
      <c r="C215" s="3206"/>
      <c r="E215" s="3205"/>
    </row>
    <row r="216" spans="1:5" s="1998" customFormat="1">
      <c r="A216" s="3205"/>
      <c r="C216" s="3206"/>
      <c r="E216" s="3205"/>
    </row>
    <row r="217" spans="1:5" s="1998" customFormat="1">
      <c r="A217" s="3205"/>
      <c r="C217" s="3206"/>
      <c r="E217" s="3205"/>
    </row>
    <row r="218" spans="1:5" s="1998" customFormat="1">
      <c r="A218" s="3205"/>
      <c r="C218" s="3206"/>
      <c r="E218" s="3205"/>
    </row>
    <row r="219" spans="1:5" s="1998" customFormat="1">
      <c r="A219" s="3205"/>
      <c r="C219" s="3206"/>
      <c r="E219" s="3205"/>
    </row>
    <row r="220" spans="1:5" s="1998" customFormat="1">
      <c r="A220" s="3205"/>
      <c r="C220" s="3206"/>
      <c r="E220" s="3205"/>
    </row>
    <row r="221" spans="1:5" s="1998" customFormat="1">
      <c r="A221" s="3205"/>
      <c r="C221" s="3206"/>
      <c r="E221" s="3205"/>
    </row>
    <row r="222" spans="1:5" s="1998" customFormat="1">
      <c r="A222" s="3205"/>
      <c r="C222" s="3206"/>
      <c r="E222" s="3205"/>
    </row>
    <row r="223" spans="1:5" s="1998" customFormat="1">
      <c r="A223" s="3205"/>
      <c r="C223" s="3206"/>
      <c r="E223" s="3205"/>
    </row>
    <row r="224" spans="1:5" s="1998" customFormat="1">
      <c r="A224" s="3205"/>
      <c r="C224" s="3206"/>
      <c r="E224" s="3205"/>
    </row>
    <row r="225" spans="1:5" s="1998"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502" t="e">
        <f>F63</f>
        <v>#DIV/0!</v>
      </c>
      <c r="C2" s="3222"/>
      <c r="D2" s="3222"/>
      <c r="E2" s="3222"/>
      <c r="F2" s="3223"/>
      <c r="G2" s="3222"/>
      <c r="H2" s="3222"/>
      <c r="I2" s="3222"/>
      <c r="J2" s="3222"/>
      <c r="K2" s="3224"/>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c r="A3" s="1332" t="s">
        <v>1676</v>
      </c>
      <c r="B3" s="504" t="e">
        <f>ROUND(B2*10000/'数据-汇总表'!E3,0)</f>
        <v>#DIV/0!</v>
      </c>
      <c r="C3" s="3221"/>
      <c r="D3" s="3221"/>
      <c r="E3" s="3221"/>
      <c r="F3" s="3221"/>
      <c r="G3" s="3222"/>
      <c r="H3" s="3222"/>
      <c r="I3" s="3222"/>
      <c r="J3" s="3222"/>
      <c r="K3" s="3224"/>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1"/>
      <c r="D4" s="3221"/>
      <c r="E4" s="3221"/>
      <c r="F4" s="3221"/>
      <c r="G4" s="3222"/>
      <c r="H4" s="3222"/>
      <c r="I4" s="3222"/>
      <c r="J4" s="3222"/>
      <c r="K4" s="3224"/>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1"/>
      <c r="E5" s="3221"/>
      <c r="F5" s="3221"/>
      <c r="G5" s="3222"/>
      <c r="H5" s="3222"/>
      <c r="I5" s="3222"/>
      <c r="J5" s="3222"/>
      <c r="K5" s="3224"/>
      <c r="L5" s="2014"/>
      <c r="M5" s="2015"/>
      <c r="N5" s="2015"/>
      <c r="O5" s="2015"/>
      <c r="P5" s="2015"/>
      <c r="Q5" s="2015"/>
      <c r="R5" s="2015"/>
      <c r="S5" s="2015"/>
      <c r="T5" s="2015"/>
      <c r="U5" s="2015"/>
      <c r="V5" s="2015"/>
      <c r="W5" s="2015"/>
      <c r="X5" s="2015"/>
      <c r="Y5" s="2015"/>
      <c r="Z5" s="2015"/>
      <c r="AA5" s="2015"/>
      <c r="AB5" s="3213"/>
      <c r="AC5" s="1945"/>
    </row>
    <row r="6" spans="1:29" ht="15">
      <c r="A6" s="506" t="s">
        <v>515</v>
      </c>
      <c r="B6" s="507"/>
      <c r="C6" s="3514" t="s">
        <v>516</v>
      </c>
      <c r="D6" s="3515"/>
      <c r="E6" s="3540" t="s">
        <v>517</v>
      </c>
      <c r="F6" s="3541"/>
      <c r="G6" s="3514" t="s">
        <v>518</v>
      </c>
      <c r="H6" s="3515"/>
      <c r="I6" s="3514" t="s">
        <v>519</v>
      </c>
      <c r="J6" s="3515"/>
      <c r="K6" s="508" t="s">
        <v>520</v>
      </c>
      <c r="L6" s="2016"/>
      <c r="M6" s="2017"/>
      <c r="N6" s="2017"/>
      <c r="O6" s="2017"/>
      <c r="P6" s="3516" t="s">
        <v>521</v>
      </c>
      <c r="Q6" s="3517"/>
      <c r="R6" s="3502" t="s">
        <v>517</v>
      </c>
      <c r="S6" s="3503"/>
      <c r="T6" s="3502" t="s">
        <v>518</v>
      </c>
      <c r="U6" s="3503"/>
      <c r="V6" s="3522" t="s">
        <v>519</v>
      </c>
      <c r="W6" s="3522"/>
      <c r="X6" s="1502"/>
      <c r="Y6" s="3502" t="s">
        <v>521</v>
      </c>
      <c r="Z6" s="3503"/>
      <c r="AA6" s="3497" t="s">
        <v>517</v>
      </c>
      <c r="AB6" s="3498" t="s">
        <v>518</v>
      </c>
      <c r="AC6" s="3497" t="s">
        <v>519</v>
      </c>
    </row>
    <row r="7" spans="1:29" ht="15">
      <c r="A7" s="509"/>
      <c r="B7" s="510"/>
      <c r="C7" s="3527" t="s">
        <v>2887</v>
      </c>
      <c r="D7" s="3526"/>
      <c r="E7" s="3542" t="s">
        <v>2888</v>
      </c>
      <c r="F7" s="3543"/>
      <c r="G7" s="3527" t="s">
        <v>2889</v>
      </c>
      <c r="H7" s="3526"/>
      <c r="I7" s="3527" t="s">
        <v>2890</v>
      </c>
      <c r="J7" s="3526"/>
      <c r="K7" s="508"/>
      <c r="L7" s="2016"/>
      <c r="M7" s="2017"/>
      <c r="N7" s="2017"/>
      <c r="O7" s="2017"/>
      <c r="P7" s="3518"/>
      <c r="Q7" s="3519"/>
      <c r="R7" s="3504"/>
      <c r="S7" s="3505"/>
      <c r="T7" s="3504"/>
      <c r="U7" s="3505"/>
      <c r="V7" s="3522"/>
      <c r="W7" s="3522"/>
      <c r="X7" s="1502"/>
      <c r="Y7" s="3504"/>
      <c r="Z7" s="3505"/>
      <c r="AA7" s="3498"/>
      <c r="AB7" s="3498"/>
      <c r="AC7" s="3498"/>
    </row>
    <row r="8" spans="1:29" ht="15.75" thickBot="1">
      <c r="A8" s="511"/>
      <c r="B8" s="512"/>
      <c r="C8" s="3544" t="s">
        <v>2891</v>
      </c>
      <c r="D8" s="3524"/>
      <c r="E8" s="3545" t="s">
        <v>2891</v>
      </c>
      <c r="F8" s="3546"/>
      <c r="G8" s="3544" t="s">
        <v>2891</v>
      </c>
      <c r="H8" s="3524"/>
      <c r="I8" s="3544" t="s">
        <v>2891</v>
      </c>
      <c r="J8" s="3524"/>
      <c r="K8" s="508" t="s">
        <v>522</v>
      </c>
      <c r="L8" s="2016"/>
      <c r="M8" s="2017"/>
      <c r="N8" s="2017"/>
      <c r="O8" s="2017"/>
      <c r="P8" s="3520"/>
      <c r="Q8" s="3521"/>
      <c r="R8" s="3504"/>
      <c r="S8" s="3505"/>
      <c r="T8" s="3506"/>
      <c r="U8" s="3507"/>
      <c r="V8" s="3522"/>
      <c r="W8" s="3522"/>
      <c r="X8" s="1502"/>
      <c r="Y8" s="3506"/>
      <c r="Z8" s="3507"/>
      <c r="AA8" s="3499"/>
      <c r="AB8" s="3499"/>
      <c r="AC8" s="3499"/>
    </row>
    <row r="9" spans="1:29" s="1203" customFormat="1" ht="15.75" thickBot="1">
      <c r="A9" s="2630"/>
      <c r="B9" s="2637" t="s">
        <v>523</v>
      </c>
      <c r="C9" s="513">
        <f>'数据-取费表'!B2</f>
        <v>44329</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500" t="s">
        <v>524</v>
      </c>
      <c r="Q9" s="3509"/>
      <c r="R9" s="1503" t="s">
        <v>8</v>
      </c>
      <c r="S9" s="1504">
        <f t="shared" ref="S9:S17" si="0">F9</f>
        <v>0</v>
      </c>
      <c r="T9" s="1503" t="s">
        <v>8</v>
      </c>
      <c r="U9" s="1504">
        <f t="shared" ref="U9:U17" si="1">H9</f>
        <v>0</v>
      </c>
      <c r="V9" s="1503" t="s">
        <v>8</v>
      </c>
      <c r="W9" s="1504">
        <f t="shared" ref="W9:W17" si="2">J9</f>
        <v>0</v>
      </c>
      <c r="X9" s="1505"/>
      <c r="Y9" s="3500" t="s">
        <v>524</v>
      </c>
      <c r="Z9" s="3501"/>
      <c r="AA9" s="1506" t="e">
        <f>D9/F9</f>
        <v>#DIV/0!</v>
      </c>
      <c r="AB9" s="1506" t="e">
        <f>D9/H9</f>
        <v>#DIV/0!</v>
      </c>
      <c r="AC9" s="1506" t="e">
        <f>D9/J9</f>
        <v>#DIV/0!</v>
      </c>
    </row>
    <row r="10" spans="1:29" s="1203" customFormat="1" ht="15.7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500" t="s">
        <v>527</v>
      </c>
      <c r="Q10" s="3501"/>
      <c r="R10" s="1503" t="s">
        <v>8</v>
      </c>
      <c r="S10" s="1504">
        <f t="shared" si="0"/>
        <v>0</v>
      </c>
      <c r="T10" s="1503" t="s">
        <v>8</v>
      </c>
      <c r="U10" s="1504">
        <f t="shared" si="1"/>
        <v>0</v>
      </c>
      <c r="V10" s="1503" t="s">
        <v>8</v>
      </c>
      <c r="W10" s="1504">
        <f t="shared" si="2"/>
        <v>0</v>
      </c>
      <c r="X10" s="1505"/>
      <c r="Y10" s="3500" t="s">
        <v>527</v>
      </c>
      <c r="Z10" s="3501"/>
      <c r="AA10" s="1506" t="e">
        <f t="shared" ref="AA10:AA42" si="3">D10/F10</f>
        <v>#DIV/0!</v>
      </c>
      <c r="AB10" s="1506" t="e">
        <f t="shared" ref="AB10:AB42" si="4">D10/H10</f>
        <v>#DIV/0!</v>
      </c>
      <c r="AC10" s="1506" t="e">
        <f t="shared" ref="AC10:AC42" si="5">D10/J10</f>
        <v>#DIV/0!</v>
      </c>
    </row>
    <row r="11" spans="1:29" s="1203" customFormat="1" ht="15">
      <c r="A11" s="2632"/>
      <c r="B11" s="2639" t="s">
        <v>2736</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508" t="s">
        <v>529</v>
      </c>
      <c r="Q11" s="1134" t="str">
        <f t="shared" ref="Q11:Q17" si="6">B11</f>
        <v>用途</v>
      </c>
      <c r="R11" s="1503" t="s">
        <v>8</v>
      </c>
      <c r="S11" s="1504">
        <f t="shared" si="0"/>
        <v>100</v>
      </c>
      <c r="T11" s="1503" t="s">
        <v>8</v>
      </c>
      <c r="U11" s="1504">
        <f t="shared" si="1"/>
        <v>100</v>
      </c>
      <c r="V11" s="1503" t="s">
        <v>8</v>
      </c>
      <c r="W11" s="1504">
        <f t="shared" si="2"/>
        <v>100</v>
      </c>
      <c r="X11" s="1505"/>
      <c r="Y11" s="3438" t="s">
        <v>530</v>
      </c>
      <c r="Z11" s="1133" t="str">
        <f t="shared" ref="Z11:Z17" si="7">Q11</f>
        <v>用途</v>
      </c>
      <c r="AA11" s="1506">
        <f t="shared" si="3"/>
        <v>1</v>
      </c>
      <c r="AB11" s="1506">
        <f t="shared" si="4"/>
        <v>1</v>
      </c>
      <c r="AC11" s="1506">
        <f t="shared" si="5"/>
        <v>1</v>
      </c>
    </row>
    <row r="12" spans="1:29" s="1292" customFormat="1" ht="27">
      <c r="A12" s="2633"/>
      <c r="B12" s="2638" t="s">
        <v>2737</v>
      </c>
      <c r="C12" s="522"/>
      <c r="D12" s="253">
        <v>100</v>
      </c>
      <c r="E12" s="522"/>
      <c r="F12" s="253">
        <f>ROUND(100/'数据-取费表'!G16,0)</f>
        <v>122</v>
      </c>
      <c r="G12" s="522"/>
      <c r="H12" s="253">
        <f>ROUND(100/'数据-取费表'!G16,0)</f>
        <v>122</v>
      </c>
      <c r="I12" s="522"/>
      <c r="J12" s="253">
        <f>ROUND(100/'数据-取费表'!G16,0)</f>
        <v>122</v>
      </c>
      <c r="K12" s="525"/>
      <c r="L12" s="2021"/>
      <c r="M12" s="2060"/>
      <c r="N12" s="2060"/>
      <c r="O12" s="2022"/>
      <c r="P12" s="3508"/>
      <c r="Q12" s="1134" t="str">
        <f t="shared" si="6"/>
        <v>土地使用年限（年）</v>
      </c>
      <c r="R12" s="1503" t="s">
        <v>8</v>
      </c>
      <c r="S12" s="1504">
        <f t="shared" si="0"/>
        <v>122</v>
      </c>
      <c r="T12" s="1503" t="s">
        <v>8</v>
      </c>
      <c r="U12" s="1504">
        <f t="shared" si="1"/>
        <v>122</v>
      </c>
      <c r="V12" s="1503" t="s">
        <v>8</v>
      </c>
      <c r="W12" s="1504">
        <f t="shared" si="2"/>
        <v>122</v>
      </c>
      <c r="X12" s="1505"/>
      <c r="Y12" s="3438"/>
      <c r="Z12" s="1133" t="str">
        <f t="shared" si="7"/>
        <v>土地使用年限（年）</v>
      </c>
      <c r="AA12" s="1506">
        <f t="shared" si="3"/>
        <v>0.81967213114754101</v>
      </c>
      <c r="AB12" s="1506">
        <f t="shared" si="4"/>
        <v>0.81967213114754101</v>
      </c>
      <c r="AC12" s="1506">
        <f t="shared" si="5"/>
        <v>0.81967213114754101</v>
      </c>
    </row>
    <row r="13" spans="1:29" ht="15">
      <c r="A13" s="2634"/>
      <c r="B13" s="2638"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508"/>
      <c r="Q13" s="1134" t="str">
        <f t="shared" si="6"/>
        <v>容积率</v>
      </c>
      <c r="R13" s="1503" t="s">
        <v>8</v>
      </c>
      <c r="S13" s="1504" t="e">
        <f t="shared" si="0"/>
        <v>#N/A</v>
      </c>
      <c r="T13" s="1503" t="s">
        <v>8</v>
      </c>
      <c r="U13" s="1504" t="e">
        <f t="shared" si="1"/>
        <v>#N/A</v>
      </c>
      <c r="V13" s="1503" t="s">
        <v>8</v>
      </c>
      <c r="W13" s="1504" t="e">
        <f t="shared" si="2"/>
        <v>#N/A</v>
      </c>
      <c r="X13" s="1505"/>
      <c r="Y13" s="3438"/>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508"/>
      <c r="Q14" s="1134">
        <f t="shared" si="6"/>
        <v>111</v>
      </c>
      <c r="R14" s="1503" t="s">
        <v>8</v>
      </c>
      <c r="S14" s="1504">
        <f t="shared" si="0"/>
        <v>100</v>
      </c>
      <c r="T14" s="1503" t="s">
        <v>8</v>
      </c>
      <c r="U14" s="1504">
        <f t="shared" si="1"/>
        <v>100</v>
      </c>
      <c r="V14" s="1503" t="s">
        <v>8</v>
      </c>
      <c r="W14" s="1504">
        <f t="shared" si="2"/>
        <v>100</v>
      </c>
      <c r="X14" s="1505"/>
      <c r="Y14" s="3438"/>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508"/>
      <c r="Q15" s="1134">
        <f t="shared" si="6"/>
        <v>111</v>
      </c>
      <c r="R15" s="1503" t="s">
        <v>8</v>
      </c>
      <c r="S15" s="1504">
        <f t="shared" si="0"/>
        <v>100</v>
      </c>
      <c r="T15" s="1503" t="s">
        <v>8</v>
      </c>
      <c r="U15" s="1504">
        <f t="shared" si="1"/>
        <v>100</v>
      </c>
      <c r="V15" s="1503" t="s">
        <v>8</v>
      </c>
      <c r="W15" s="1504">
        <f t="shared" si="2"/>
        <v>100</v>
      </c>
      <c r="X15" s="1505"/>
      <c r="Y15" s="3438"/>
      <c r="Z15" s="1133">
        <f t="shared" si="7"/>
        <v>111</v>
      </c>
      <c r="AA15" s="1506">
        <f t="shared" si="3"/>
        <v>1</v>
      </c>
      <c r="AB15" s="1506">
        <f t="shared" si="4"/>
        <v>1</v>
      </c>
      <c r="AC15" s="1506">
        <f t="shared" si="5"/>
        <v>1</v>
      </c>
    </row>
    <row r="16" spans="1:29" ht="15.75"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508"/>
      <c r="Q16" s="1134">
        <f t="shared" si="6"/>
        <v>111</v>
      </c>
      <c r="R16" s="1503" t="s">
        <v>8</v>
      </c>
      <c r="S16" s="1504">
        <f t="shared" si="0"/>
        <v>100</v>
      </c>
      <c r="T16" s="1503" t="s">
        <v>8</v>
      </c>
      <c r="U16" s="1504">
        <f t="shared" si="1"/>
        <v>100</v>
      </c>
      <c r="V16" s="1503" t="s">
        <v>8</v>
      </c>
      <c r="W16" s="1504">
        <f t="shared" si="2"/>
        <v>100</v>
      </c>
      <c r="X16" s="1505"/>
      <c r="Y16" s="3438"/>
      <c r="Z16" s="1133">
        <f t="shared" si="7"/>
        <v>111</v>
      </c>
      <c r="AA16" s="1506">
        <f t="shared" si="3"/>
        <v>1</v>
      </c>
      <c r="AB16" s="1506">
        <f t="shared" si="4"/>
        <v>1</v>
      </c>
      <c r="AC16" s="1506">
        <f t="shared" si="5"/>
        <v>1</v>
      </c>
    </row>
    <row r="17" spans="1:29" ht="15">
      <c r="A17" s="2628" t="s">
        <v>2734</v>
      </c>
      <c r="B17" s="164" t="s">
        <v>592</v>
      </c>
      <c r="C17" s="910">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510" t="s">
        <v>534</v>
      </c>
      <c r="Q17" s="1507" t="str">
        <f t="shared" si="6"/>
        <v>产业集聚程度</v>
      </c>
      <c r="R17" s="1508" t="s">
        <v>8</v>
      </c>
      <c r="S17" s="1509">
        <f t="shared" si="0"/>
        <v>100</v>
      </c>
      <c r="T17" s="1508" t="s">
        <v>8</v>
      </c>
      <c r="U17" s="1509">
        <f t="shared" si="1"/>
        <v>100</v>
      </c>
      <c r="V17" s="1508" t="s">
        <v>8</v>
      </c>
      <c r="W17" s="1509">
        <f t="shared" si="2"/>
        <v>100</v>
      </c>
      <c r="X17" s="1502"/>
      <c r="Y17" s="3510"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511"/>
      <c r="Q18" s="1507"/>
      <c r="R18" s="1508"/>
      <c r="S18" s="1509"/>
      <c r="T18" s="1508"/>
      <c r="U18" s="1509"/>
      <c r="V18" s="1508"/>
      <c r="W18" s="1509"/>
      <c r="X18" s="1502"/>
      <c r="Y18" s="3511"/>
      <c r="Z18" s="1510"/>
      <c r="AA18" s="1511">
        <v>1</v>
      </c>
      <c r="AB18" s="1511">
        <v>1</v>
      </c>
      <c r="AC18" s="1511">
        <v>1</v>
      </c>
    </row>
    <row r="19" spans="1:29" ht="15">
      <c r="A19" s="526"/>
      <c r="B19" s="860" t="s">
        <v>537</v>
      </c>
      <c r="C19" s="861">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511"/>
      <c r="Q19" s="1507" t="str">
        <f>B19</f>
        <v>交通便捷度</v>
      </c>
      <c r="R19" s="1508" t="s">
        <v>8</v>
      </c>
      <c r="S19" s="1509">
        <f>F19</f>
        <v>100</v>
      </c>
      <c r="T19" s="1508" t="s">
        <v>8</v>
      </c>
      <c r="U19" s="1509">
        <f>H19</f>
        <v>100</v>
      </c>
      <c r="V19" s="1508" t="s">
        <v>8</v>
      </c>
      <c r="W19" s="1509">
        <f>J19</f>
        <v>100</v>
      </c>
      <c r="X19" s="1502"/>
      <c r="Y19" s="3511"/>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511"/>
      <c r="Q20" s="1507"/>
      <c r="R20" s="1508"/>
      <c r="S20" s="1509"/>
      <c r="T20" s="1508"/>
      <c r="U20" s="1509"/>
      <c r="V20" s="1508"/>
      <c r="W20" s="1509"/>
      <c r="X20" s="1502"/>
      <c r="Y20" s="3511"/>
      <c r="Z20" s="1510"/>
      <c r="AA20" s="1511">
        <v>1</v>
      </c>
      <c r="AB20" s="1511">
        <v>1</v>
      </c>
      <c r="AC20" s="1511">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511"/>
      <c r="Q21" s="1507" t="str">
        <f t="shared" ref="Q21:Q35" si="8">B21</f>
        <v>区域土地利用方向</v>
      </c>
      <c r="R21" s="1508" t="s">
        <v>8</v>
      </c>
      <c r="S21" s="1509">
        <f>F21</f>
        <v>100</v>
      </c>
      <c r="T21" s="1508" t="s">
        <v>8</v>
      </c>
      <c r="U21" s="1509">
        <f>H21</f>
        <v>100</v>
      </c>
      <c r="V21" s="1508" t="s">
        <v>8</v>
      </c>
      <c r="W21" s="1509">
        <f>J21</f>
        <v>100</v>
      </c>
      <c r="X21" s="1502"/>
      <c r="Y21" s="3511"/>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511"/>
      <c r="Q22" s="1507"/>
      <c r="R22" s="1508"/>
      <c r="S22" s="1509"/>
      <c r="T22" s="1508"/>
      <c r="U22" s="1509"/>
      <c r="V22" s="1508"/>
      <c r="W22" s="1509"/>
      <c r="X22" s="1502"/>
      <c r="Y22" s="3511"/>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511"/>
      <c r="Q23" s="1507" t="str">
        <f t="shared" si="8"/>
        <v>环境状况</v>
      </c>
      <c r="R23" s="1508" t="s">
        <v>8</v>
      </c>
      <c r="S23" s="1509">
        <f>F23</f>
        <v>100</v>
      </c>
      <c r="T23" s="1508" t="s">
        <v>8</v>
      </c>
      <c r="U23" s="1509">
        <f>H23</f>
        <v>100</v>
      </c>
      <c r="V23" s="1508" t="s">
        <v>8</v>
      </c>
      <c r="W23" s="1509">
        <f>J23</f>
        <v>100</v>
      </c>
      <c r="X23" s="1502"/>
      <c r="Y23" s="3511"/>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511"/>
      <c r="Q24" s="1507"/>
      <c r="R24" s="1508"/>
      <c r="S24" s="1509"/>
      <c r="T24" s="1508"/>
      <c r="U24" s="1509"/>
      <c r="V24" s="1508"/>
      <c r="W24" s="1509"/>
      <c r="X24" s="1502"/>
      <c r="Y24" s="3511"/>
      <c r="Z24" s="1510"/>
      <c r="AA24" s="1511">
        <v>1</v>
      </c>
      <c r="AB24" s="1511">
        <v>1</v>
      </c>
      <c r="AC24" s="1511">
        <v>1</v>
      </c>
    </row>
    <row r="25" spans="1:29" s="1203" customFormat="1" ht="15">
      <c r="A25" s="571"/>
      <c r="B25" s="2438" t="s">
        <v>2529</v>
      </c>
      <c r="C25" s="861">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511"/>
      <c r="Q25" s="1134" t="str">
        <f t="shared" si="8"/>
        <v>公共配套设施</v>
      </c>
      <c r="R25" s="1503" t="s">
        <v>8</v>
      </c>
      <c r="S25" s="1504">
        <f>F25</f>
        <v>100</v>
      </c>
      <c r="T25" s="1503" t="s">
        <v>8</v>
      </c>
      <c r="U25" s="1504">
        <f>H25</f>
        <v>100</v>
      </c>
      <c r="V25" s="1503" t="s">
        <v>8</v>
      </c>
      <c r="W25" s="1504">
        <f>J25</f>
        <v>100</v>
      </c>
      <c r="X25" s="1505"/>
      <c r="Y25" s="3511"/>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511"/>
      <c r="Q26" s="1134"/>
      <c r="R26" s="1503"/>
      <c r="S26" s="1504"/>
      <c r="T26" s="1503"/>
      <c r="U26" s="1504"/>
      <c r="V26" s="1503"/>
      <c r="W26" s="1504"/>
      <c r="X26" s="1505"/>
      <c r="Y26" s="3511"/>
      <c r="Z26" s="1133"/>
      <c r="AA26" s="1506">
        <v>1</v>
      </c>
      <c r="AB26" s="1506">
        <v>1</v>
      </c>
      <c r="AC26" s="1506">
        <v>1</v>
      </c>
    </row>
    <row r="27" spans="1:29" s="1203" customFormat="1" ht="15">
      <c r="A27" s="571"/>
      <c r="B27" s="2438" t="s">
        <v>2530</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511"/>
      <c r="Q27" s="2429" t="str">
        <f t="shared" ref="Q27" si="9">B27</f>
        <v>基础设施水平</v>
      </c>
      <c r="R27" s="1503" t="s">
        <v>8</v>
      </c>
      <c r="S27" s="1504">
        <f>F27</f>
        <v>100</v>
      </c>
      <c r="T27" s="1503" t="s">
        <v>8</v>
      </c>
      <c r="U27" s="1504">
        <f>H27</f>
        <v>100</v>
      </c>
      <c r="V27" s="1503" t="s">
        <v>8</v>
      </c>
      <c r="W27" s="1504">
        <f>J27</f>
        <v>100</v>
      </c>
      <c r="X27" s="1505"/>
      <c r="Y27" s="3511"/>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511"/>
      <c r="Q28" s="2429"/>
      <c r="R28" s="1503"/>
      <c r="S28" s="1504"/>
      <c r="T28" s="1503"/>
      <c r="U28" s="1504"/>
      <c r="V28" s="1503"/>
      <c r="W28" s="1504"/>
      <c r="X28" s="1505"/>
      <c r="Y28" s="3511"/>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511"/>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511"/>
      <c r="Z29" s="1510" t="str">
        <f t="shared" ref="Z29:Z42" si="13">Q29</f>
        <v>临街状况</v>
      </c>
      <c r="AA29" s="1511">
        <f t="shared" si="3"/>
        <v>1</v>
      </c>
      <c r="AB29" s="1511">
        <f t="shared" si="4"/>
        <v>1</v>
      </c>
      <c r="AC29" s="1511">
        <f t="shared" si="5"/>
        <v>1</v>
      </c>
    </row>
    <row r="30" spans="1:29" ht="27">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511"/>
      <c r="Q30" s="1507" t="str">
        <f t="shared" si="8"/>
        <v>毗邻道路的类型与等级</v>
      </c>
      <c r="R30" s="1508" t="s">
        <v>8</v>
      </c>
      <c r="S30" s="1509">
        <f t="shared" si="10"/>
        <v>100</v>
      </c>
      <c r="T30" s="1508" t="s">
        <v>8</v>
      </c>
      <c r="U30" s="1509">
        <f t="shared" si="11"/>
        <v>100</v>
      </c>
      <c r="V30" s="1508" t="s">
        <v>8</v>
      </c>
      <c r="W30" s="1509">
        <f t="shared" si="12"/>
        <v>100</v>
      </c>
      <c r="X30" s="1502"/>
      <c r="Y30" s="3511"/>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511"/>
      <c r="Q31" s="1507"/>
      <c r="R31" s="1508"/>
      <c r="S31" s="1509"/>
      <c r="T31" s="1508"/>
      <c r="U31" s="1509"/>
      <c r="V31" s="1508"/>
      <c r="W31" s="1509"/>
      <c r="X31" s="1502"/>
      <c r="Y31" s="3511"/>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511"/>
      <c r="Q32" s="1507" t="str">
        <f t="shared" si="8"/>
        <v>土地级别</v>
      </c>
      <c r="R32" s="1508" t="s">
        <v>8</v>
      </c>
      <c r="S32" s="1509">
        <f t="shared" si="10"/>
        <v>100</v>
      </c>
      <c r="T32" s="1508" t="s">
        <v>8</v>
      </c>
      <c r="U32" s="1509">
        <f t="shared" si="11"/>
        <v>100</v>
      </c>
      <c r="V32" s="1508" t="s">
        <v>8</v>
      </c>
      <c r="W32" s="1509">
        <f t="shared" si="12"/>
        <v>100</v>
      </c>
      <c r="X32" s="1502"/>
      <c r="Y32" s="3511"/>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511"/>
      <c r="Q33" s="1507">
        <f t="shared" si="8"/>
        <v>111</v>
      </c>
      <c r="R33" s="1508" t="s">
        <v>8</v>
      </c>
      <c r="S33" s="1509">
        <f t="shared" si="10"/>
        <v>100</v>
      </c>
      <c r="T33" s="1508" t="s">
        <v>8</v>
      </c>
      <c r="U33" s="1509">
        <f t="shared" si="11"/>
        <v>100</v>
      </c>
      <c r="V33" s="1508" t="s">
        <v>8</v>
      </c>
      <c r="W33" s="1509">
        <f t="shared" si="12"/>
        <v>100</v>
      </c>
      <c r="X33" s="1502"/>
      <c r="Y33" s="3511"/>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512" t="s">
        <v>544</v>
      </c>
      <c r="Q34" s="1507">
        <f t="shared" si="8"/>
        <v>111</v>
      </c>
      <c r="R34" s="1508" t="s">
        <v>8</v>
      </c>
      <c r="S34" s="1509">
        <f t="shared" si="10"/>
        <v>100</v>
      </c>
      <c r="T34" s="1508" t="s">
        <v>8</v>
      </c>
      <c r="U34" s="1509">
        <f t="shared" si="11"/>
        <v>100</v>
      </c>
      <c r="V34" s="1508" t="s">
        <v>8</v>
      </c>
      <c r="W34" s="1509">
        <f t="shared" si="12"/>
        <v>100</v>
      </c>
      <c r="X34" s="1502"/>
      <c r="Y34" s="3513" t="s">
        <v>544</v>
      </c>
      <c r="Z34" s="1510">
        <f t="shared" si="13"/>
        <v>111</v>
      </c>
      <c r="AA34" s="1511">
        <f t="shared" si="3"/>
        <v>1</v>
      </c>
      <c r="AB34" s="1511">
        <f t="shared" si="4"/>
        <v>1</v>
      </c>
      <c r="AC34" s="1511">
        <f t="shared" si="5"/>
        <v>1</v>
      </c>
    </row>
    <row r="35" spans="1:29" s="1293" customFormat="1" ht="15.75"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513"/>
      <c r="Q35" s="1507">
        <f t="shared" si="8"/>
        <v>111</v>
      </c>
      <c r="R35" s="1512" t="s">
        <v>8</v>
      </c>
      <c r="S35" s="1513">
        <f t="shared" si="10"/>
        <v>100</v>
      </c>
      <c r="T35" s="1512" t="s">
        <v>8</v>
      </c>
      <c r="U35" s="1513">
        <f t="shared" si="11"/>
        <v>100</v>
      </c>
      <c r="V35" s="1512" t="s">
        <v>8</v>
      </c>
      <c r="W35" s="1513">
        <f t="shared" si="12"/>
        <v>100</v>
      </c>
      <c r="X35" s="1514"/>
      <c r="Y35" s="3513"/>
      <c r="Z35" s="1515">
        <f t="shared" si="13"/>
        <v>111</v>
      </c>
      <c r="AA35" s="1511">
        <f t="shared" si="3"/>
        <v>1</v>
      </c>
      <c r="AB35" s="1511">
        <f t="shared" si="4"/>
        <v>1</v>
      </c>
      <c r="AC35" s="1511">
        <f t="shared" si="5"/>
        <v>1</v>
      </c>
    </row>
    <row r="36" spans="1:29" ht="15">
      <c r="A36" s="2625"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513"/>
      <c r="Q36" s="1507" t="str">
        <f>B36</f>
        <v>宗地面积</v>
      </c>
      <c r="R36" s="1508" t="s">
        <v>8</v>
      </c>
      <c r="S36" s="1509" t="e">
        <f t="shared" si="10"/>
        <v>#N/A</v>
      </c>
      <c r="T36" s="1508" t="s">
        <v>8</v>
      </c>
      <c r="U36" s="1509" t="e">
        <f t="shared" si="11"/>
        <v>#N/A</v>
      </c>
      <c r="V36" s="1508" t="s">
        <v>8</v>
      </c>
      <c r="W36" s="1509" t="e">
        <f t="shared" si="12"/>
        <v>#N/A</v>
      </c>
      <c r="X36" s="1502"/>
      <c r="Y36" s="3513"/>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513"/>
      <c r="Q37" s="1507" t="str">
        <f t="shared" ref="Q37:Q42" si="14">B37</f>
        <v>宗地形状</v>
      </c>
      <c r="R37" s="1508" t="s">
        <v>8</v>
      </c>
      <c r="S37" s="1509">
        <f t="shared" si="10"/>
        <v>100</v>
      </c>
      <c r="T37" s="1508" t="s">
        <v>8</v>
      </c>
      <c r="U37" s="1509">
        <f t="shared" si="11"/>
        <v>100</v>
      </c>
      <c r="V37" s="1508" t="s">
        <v>8</v>
      </c>
      <c r="W37" s="1509">
        <f t="shared" si="12"/>
        <v>100</v>
      </c>
      <c r="X37" s="1502"/>
      <c r="Y37" s="3513"/>
      <c r="Z37" s="1510" t="str">
        <f t="shared" si="13"/>
        <v>宗地形状</v>
      </c>
      <c r="AA37" s="1511">
        <f t="shared" si="3"/>
        <v>1</v>
      </c>
      <c r="AB37" s="1511">
        <f t="shared" si="4"/>
        <v>1</v>
      </c>
      <c r="AC37" s="1511">
        <f t="shared" si="5"/>
        <v>1</v>
      </c>
    </row>
    <row r="38" spans="1:29" s="1203" customFormat="1" ht="15">
      <c r="A38" s="594"/>
      <c r="B38" s="1810"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513"/>
      <c r="Q38" s="1507" t="str">
        <f t="shared" si="14"/>
        <v>宗地开发程度</v>
      </c>
      <c r="R38" s="1503" t="s">
        <v>8</v>
      </c>
      <c r="S38" s="1504">
        <f t="shared" si="10"/>
        <v>100</v>
      </c>
      <c r="T38" s="1503" t="s">
        <v>8</v>
      </c>
      <c r="U38" s="1504">
        <f t="shared" si="11"/>
        <v>100</v>
      </c>
      <c r="V38" s="1503" t="s">
        <v>8</v>
      </c>
      <c r="W38" s="1504">
        <f t="shared" si="12"/>
        <v>100</v>
      </c>
      <c r="X38" s="1505"/>
      <c r="Y38" s="3513"/>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3" t="s">
        <v>595</v>
      </c>
      <c r="Q39" s="1507" t="str">
        <f t="shared" si="14"/>
        <v>工程地质条件</v>
      </c>
      <c r="R39" s="1508" t="s">
        <v>8</v>
      </c>
      <c r="S39" s="1509">
        <f t="shared" si="10"/>
        <v>100</v>
      </c>
      <c r="T39" s="1508" t="s">
        <v>8</v>
      </c>
      <c r="U39" s="1509">
        <f t="shared" si="11"/>
        <v>100</v>
      </c>
      <c r="V39" s="1508" t="s">
        <v>8</v>
      </c>
      <c r="W39" s="1509">
        <f t="shared" si="12"/>
        <v>100</v>
      </c>
      <c r="X39" s="1502"/>
      <c r="Y39" s="3513"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513"/>
      <c r="Q40" s="1507">
        <f t="shared" si="14"/>
        <v>111</v>
      </c>
      <c r="R40" s="1508" t="s">
        <v>8</v>
      </c>
      <c r="S40" s="1509">
        <f t="shared" si="10"/>
        <v>100</v>
      </c>
      <c r="T40" s="1508" t="s">
        <v>8</v>
      </c>
      <c r="U40" s="1509">
        <f t="shared" si="11"/>
        <v>100</v>
      </c>
      <c r="V40" s="1508" t="s">
        <v>8</v>
      </c>
      <c r="W40" s="1509">
        <f t="shared" si="12"/>
        <v>100</v>
      </c>
      <c r="X40" s="1502"/>
      <c r="Y40" s="3513"/>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513"/>
      <c r="Q41" s="1507">
        <f t="shared" si="14"/>
        <v>111</v>
      </c>
      <c r="R41" s="1508" t="s">
        <v>8</v>
      </c>
      <c r="S41" s="1509">
        <f t="shared" si="10"/>
        <v>100</v>
      </c>
      <c r="T41" s="1508" t="s">
        <v>8</v>
      </c>
      <c r="U41" s="1509">
        <f t="shared" si="11"/>
        <v>100</v>
      </c>
      <c r="V41" s="1508" t="s">
        <v>8</v>
      </c>
      <c r="W41" s="1509">
        <f t="shared" si="12"/>
        <v>100</v>
      </c>
      <c r="X41" s="1502"/>
      <c r="Y41" s="3513"/>
      <c r="Z41" s="1510">
        <f t="shared" si="13"/>
        <v>111</v>
      </c>
      <c r="AA41" s="1511">
        <f t="shared" si="3"/>
        <v>1</v>
      </c>
      <c r="AB41" s="1511">
        <f t="shared" si="4"/>
        <v>1</v>
      </c>
      <c r="AC41" s="1511">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513"/>
      <c r="Q42" s="1507">
        <f t="shared" si="14"/>
        <v>111</v>
      </c>
      <c r="R42" s="1512" t="s">
        <v>8</v>
      </c>
      <c r="S42" s="1513">
        <f t="shared" si="10"/>
        <v>100</v>
      </c>
      <c r="T42" s="1512" t="s">
        <v>8</v>
      </c>
      <c r="U42" s="1513">
        <f t="shared" si="11"/>
        <v>100</v>
      </c>
      <c r="V42" s="1512" t="s">
        <v>8</v>
      </c>
      <c r="W42" s="1513">
        <f t="shared" si="12"/>
        <v>100</v>
      </c>
      <c r="X42" s="1514"/>
      <c r="Y42" s="3513"/>
      <c r="Z42" s="1515">
        <f t="shared" si="13"/>
        <v>111</v>
      </c>
      <c r="AA42" s="1511">
        <f t="shared" si="3"/>
        <v>1</v>
      </c>
      <c r="AB42" s="1511">
        <f t="shared" si="4"/>
        <v>1</v>
      </c>
      <c r="AC42" s="1511">
        <f t="shared" si="5"/>
        <v>1</v>
      </c>
    </row>
    <row r="43" spans="1:29" ht="15">
      <c r="A43" s="601" t="s">
        <v>550</v>
      </c>
      <c r="B43" s="602" t="s">
        <v>2892</v>
      </c>
      <c r="C43" s="603" t="s">
        <v>1</v>
      </c>
      <c r="D43" s="604"/>
      <c r="E43" s="605"/>
      <c r="F43" s="606"/>
      <c r="G43" s="607"/>
      <c r="H43" s="608"/>
      <c r="I43" s="605"/>
      <c r="J43" s="608"/>
      <c r="K43" s="1294"/>
      <c r="L43" s="2027"/>
      <c r="M43" s="2017"/>
      <c r="N43" s="2017"/>
      <c r="O43" s="2028"/>
      <c r="P43" s="3508" t="str">
        <f>A43</f>
        <v>成交单价</v>
      </c>
      <c r="Q43" s="3508"/>
      <c r="R43" s="3522">
        <f>E43</f>
        <v>0</v>
      </c>
      <c r="S43" s="3522"/>
      <c r="T43" s="3522">
        <f>G43</f>
        <v>0</v>
      </c>
      <c r="U43" s="3522"/>
      <c r="V43" s="3522">
        <f>I43</f>
        <v>0</v>
      </c>
      <c r="W43" s="3522"/>
      <c r="X43" s="1497"/>
      <c r="Y43" s="1516"/>
      <c r="Z43" s="1497"/>
      <c r="AA43" s="1497"/>
      <c r="AB43" s="1497"/>
      <c r="AC43" s="1497"/>
    </row>
    <row r="44" spans="1:29" ht="15.75" thickBot="1">
      <c r="A44" s="609" t="s">
        <v>2673</v>
      </c>
      <c r="B44" s="610"/>
      <c r="C44" s="611" t="e">
        <f>R45</f>
        <v>#DIV/0!</v>
      </c>
      <c r="D44" s="3014" t="s">
        <v>2960</v>
      </c>
      <c r="E44" s="611" t="e">
        <f>R44</f>
        <v>#DIV/0!</v>
      </c>
      <c r="F44" s="3015"/>
      <c r="G44" s="612" t="e">
        <f>T44</f>
        <v>#DIV/0!</v>
      </c>
      <c r="H44" s="3015"/>
      <c r="I44" s="611" t="e">
        <f>V44</f>
        <v>#DIV/0!</v>
      </c>
      <c r="J44" s="3015"/>
      <c r="K44" s="3016">
        <f>F44+H44+J44</f>
        <v>0</v>
      </c>
      <c r="L44" s="2027"/>
      <c r="M44" s="2017"/>
      <c r="N44" s="2017"/>
      <c r="O44" s="2028"/>
      <c r="P44" s="3508" t="str">
        <f>A44</f>
        <v>比较价格（元/平方米）</v>
      </c>
      <c r="Q44" s="3508"/>
      <c r="R44" s="3533" t="e">
        <f>ROUND(PRODUCT(R43,AA9:AA42),0)</f>
        <v>#DIV/0!</v>
      </c>
      <c r="S44" s="3533"/>
      <c r="T44" s="3533" t="e">
        <f>ROUND(PRODUCT(T43,AB9:AB42),0)</f>
        <v>#DIV/0!</v>
      </c>
      <c r="U44" s="3533"/>
      <c r="V44" s="3533" t="e">
        <f>ROUND(PRODUCT(V43,AC9:AC42),0)</f>
        <v>#DIV/0!</v>
      </c>
      <c r="W44" s="3533"/>
      <c r="X44" s="1497"/>
      <c r="Y44" s="1497"/>
      <c r="Z44" s="1497"/>
      <c r="AA44" s="1497"/>
      <c r="AB44" s="1497"/>
      <c r="AC44" s="1497"/>
    </row>
    <row r="45" spans="1:29" ht="15.75" thickBot="1">
      <c r="A45" s="613" t="s">
        <v>2893</v>
      </c>
      <c r="B45" s="614"/>
      <c r="C45" s="615" t="e">
        <f>R45</f>
        <v>#DIV/0!</v>
      </c>
      <c r="D45" s="615"/>
      <c r="E45" s="615"/>
      <c r="F45" s="615"/>
      <c r="G45" s="615"/>
      <c r="H45" s="615"/>
      <c r="I45" s="615"/>
      <c r="J45" s="615"/>
      <c r="K45" s="1295"/>
      <c r="L45" s="2027"/>
      <c r="M45" s="2017"/>
      <c r="N45" s="2017"/>
      <c r="O45" s="2028"/>
      <c r="P45" s="3530" t="str">
        <f>A45</f>
        <v>估价对象XX用房的比较价格（楼面单价，元/平方米）</v>
      </c>
      <c r="Q45" s="3531"/>
      <c r="R45" s="3539" t="e">
        <f>ROUND(IF(D44="简单平均",AVERAGE(R44:W44),R44*F44+T44*H44+V44*J44),0)</f>
        <v>#DIV/0!</v>
      </c>
      <c r="S45" s="3539"/>
      <c r="T45" s="3539"/>
      <c r="U45" s="3539"/>
      <c r="V45" s="3539"/>
      <c r="W45" s="3539"/>
      <c r="X45" s="1497"/>
      <c r="Y45" s="1497"/>
      <c r="Z45" s="1497"/>
      <c r="AA45" s="1497"/>
      <c r="AB45" s="1497"/>
      <c r="AC45" s="1497"/>
    </row>
    <row r="46" spans="1:29">
      <c r="A46" s="3214"/>
      <c r="B46" s="3214"/>
      <c r="C46" s="3214"/>
      <c r="D46" s="3214"/>
      <c r="E46" s="3214"/>
      <c r="F46" s="3214"/>
      <c r="G46" s="3216"/>
      <c r="H46" s="3214"/>
      <c r="I46" s="3214"/>
      <c r="J46" s="3214"/>
      <c r="K46" s="3217"/>
      <c r="L46" s="2032"/>
      <c r="M46" s="2017"/>
      <c r="N46" s="2017"/>
      <c r="O46" s="2028"/>
      <c r="P46" s="2028"/>
      <c r="Q46" s="2028"/>
      <c r="R46" s="2028"/>
      <c r="S46" s="2028"/>
      <c r="T46" s="2028"/>
      <c r="U46" s="2028"/>
      <c r="V46" s="2028"/>
      <c r="W46" s="2028"/>
      <c r="X46" s="2028"/>
      <c r="Y46" s="2028"/>
      <c r="Z46" s="2028"/>
      <c r="AA46" s="2028"/>
      <c r="AB46" s="2028"/>
      <c r="AC46" s="2028"/>
    </row>
    <row r="47" spans="1:29">
      <c r="A47" s="3214"/>
      <c r="B47" s="3214"/>
      <c r="C47" s="3214"/>
      <c r="D47" s="3214"/>
      <c r="E47" s="3214"/>
      <c r="F47" s="3214"/>
      <c r="G47" s="3214"/>
      <c r="H47" s="3214"/>
      <c r="I47" s="3214"/>
      <c r="J47" s="3214"/>
      <c r="K47" s="3217"/>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5" thickBot="1">
      <c r="A51" s="3215"/>
      <c r="B51" s="3226"/>
      <c r="C51" s="2033"/>
      <c r="D51" s="2029"/>
      <c r="E51" s="2029"/>
      <c r="F51" s="2029"/>
      <c r="G51" s="2029"/>
      <c r="H51" s="2029"/>
      <c r="I51" s="2029"/>
      <c r="J51" s="2029"/>
      <c r="K51" s="3218"/>
      <c r="L51" s="2035"/>
      <c r="M51" s="2029"/>
      <c r="N51" s="2029"/>
      <c r="O51" s="2029"/>
      <c r="P51" s="2029"/>
      <c r="Q51" s="2029"/>
      <c r="R51" s="2029"/>
      <c r="S51" s="2029"/>
      <c r="T51" s="2029"/>
      <c r="U51" s="2029"/>
      <c r="V51" s="2029"/>
      <c r="W51" s="2029"/>
      <c r="X51" s="2029"/>
      <c r="Y51" s="2029"/>
      <c r="Z51" s="2029"/>
      <c r="AA51" s="2029"/>
      <c r="AB51" s="2029"/>
      <c r="AC51" s="2029"/>
    </row>
    <row r="52" spans="1:29" ht="27">
      <c r="A52" s="621" t="s">
        <v>554</v>
      </c>
      <c r="B52" s="622" t="s">
        <v>555</v>
      </c>
      <c r="C52" s="1498" t="s">
        <v>1715</v>
      </c>
      <c r="D52" s="2108" t="s">
        <v>2281</v>
      </c>
      <c r="E52" s="623" t="s">
        <v>556</v>
      </c>
      <c r="F52" s="1866" t="s">
        <v>557</v>
      </c>
      <c r="G52" s="3534" t="s">
        <v>2272</v>
      </c>
      <c r="H52" s="3535"/>
      <c r="I52" s="1867" t="s">
        <v>1934</v>
      </c>
      <c r="J52" s="1494">
        <f>项目基本情况!F41</f>
        <v>0</v>
      </c>
      <c r="K52" s="2036" t="s">
        <v>1714</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2.75">
      <c r="A53" s="625" t="s">
        <v>558</v>
      </c>
      <c r="B53" s="626" t="e">
        <f>C45</f>
        <v>#DIV/0!</v>
      </c>
      <c r="C53" s="627">
        <v>1</v>
      </c>
      <c r="D53" s="2109">
        <v>1</v>
      </c>
      <c r="E53" s="627">
        <f>'数据-汇总表'!E8+'数据-汇总表'!E9</f>
        <v>26283.599999999999</v>
      </c>
      <c r="F53" s="1865" t="e">
        <f t="shared" ref="F53:F62" si="15">ROUND(B53*E53/10000,0)</f>
        <v>#DIV/0!</v>
      </c>
      <c r="G53" s="3536"/>
      <c r="H53" s="3537"/>
      <c r="I53" s="1868">
        <v>1</v>
      </c>
      <c r="J53" s="1495">
        <v>1</v>
      </c>
      <c r="K53" s="3219"/>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2.75">
      <c r="A54" s="629" t="s">
        <v>559</v>
      </c>
      <c r="B54" s="630" t="e">
        <f>ROUND($C$45*C54*D54,0)</f>
        <v>#DIV/0!</v>
      </c>
      <c r="C54" s="372">
        <f t="shared" ref="C54:C62" si="16">IF($C$52="北京市系数",I54,J54)</f>
        <v>0.6</v>
      </c>
      <c r="D54" s="2110">
        <v>0.25</v>
      </c>
      <c r="E54" s="631"/>
      <c r="F54" s="1865" t="e">
        <f t="shared" si="15"/>
        <v>#DIV/0!</v>
      </c>
      <c r="G54" s="3538" t="s">
        <v>2273</v>
      </c>
      <c r="H54" s="1869" t="str">
        <f>项目基本情况!B43</f>
        <v>八级</v>
      </c>
      <c r="I54" s="1868">
        <f>SUMIF(修正!$A$45:$A$56,H54,修正!B45:B56)</f>
        <v>0.6</v>
      </c>
      <c r="J54" s="1496"/>
      <c r="K54" s="3219"/>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2.75">
      <c r="A55" s="629" t="s">
        <v>560</v>
      </c>
      <c r="B55" s="630" t="e">
        <f t="shared" ref="B55:B62" si="17">ROUND($C$45*C55*D55,0)</f>
        <v>#DIV/0!</v>
      </c>
      <c r="C55" s="372">
        <f t="shared" si="16"/>
        <v>0.3</v>
      </c>
      <c r="D55" s="2110">
        <v>0.25</v>
      </c>
      <c r="E55" s="631"/>
      <c r="F55" s="1865" t="e">
        <f t="shared" si="15"/>
        <v>#DIV/0!</v>
      </c>
      <c r="G55" s="3538"/>
      <c r="H55" s="1870" t="str">
        <f>项目基本情况!B43</f>
        <v>八级</v>
      </c>
      <c r="I55" s="1868">
        <f>SUMIF(修正!$A$45:$A$56,H55,修正!C45:C56)</f>
        <v>0.3</v>
      </c>
      <c r="J55" s="1496"/>
      <c r="K55" s="3219"/>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2.75">
      <c r="A56" s="629" t="s">
        <v>561</v>
      </c>
      <c r="B56" s="630" t="e">
        <f t="shared" si="17"/>
        <v>#DIV/0!</v>
      </c>
      <c r="C56" s="372">
        <f t="shared" si="16"/>
        <v>0.2</v>
      </c>
      <c r="D56" s="2110">
        <v>0.25</v>
      </c>
      <c r="E56" s="631"/>
      <c r="F56" s="1865" t="e">
        <f t="shared" si="15"/>
        <v>#DIV/0!</v>
      </c>
      <c r="G56" s="3538"/>
      <c r="H56" s="1870" t="str">
        <f>项目基本情况!B43</f>
        <v>八级</v>
      </c>
      <c r="I56" s="1868">
        <f>SUMIF(修正!$A$45:$A$56,H56,修正!D45:D56)</f>
        <v>0.2</v>
      </c>
      <c r="J56" s="1496"/>
      <c r="K56" s="3219"/>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2.75">
      <c r="A57" s="629" t="s">
        <v>562</v>
      </c>
      <c r="B57" s="630" t="e">
        <f t="shared" si="17"/>
        <v>#DIV/0!</v>
      </c>
      <c r="C57" s="372">
        <f t="shared" si="16"/>
        <v>0.2</v>
      </c>
      <c r="D57" s="2110">
        <v>0.25</v>
      </c>
      <c r="E57" s="631"/>
      <c r="F57" s="1865" t="e">
        <f t="shared" si="15"/>
        <v>#DIV/0!</v>
      </c>
      <c r="G57" s="3538"/>
      <c r="H57" s="1870" t="str">
        <f>项目基本情况!B43</f>
        <v>八级</v>
      </c>
      <c r="I57" s="1868">
        <f>SUMIF(修正!$A$45:$A$56,H57,修正!E45:E56)</f>
        <v>0.2</v>
      </c>
      <c r="J57" s="1496"/>
      <c r="K57" s="3219"/>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2.75">
      <c r="A58" s="2212" t="s">
        <v>2316</v>
      </c>
      <c r="B58" s="630" t="e">
        <f t="shared" si="17"/>
        <v>#DIV/0!</v>
      </c>
      <c r="C58" s="372">
        <f t="shared" si="16"/>
        <v>0.2</v>
      </c>
      <c r="D58" s="2110">
        <v>0.25</v>
      </c>
      <c r="E58" s="633">
        <f>'数据-汇总表'!E11</f>
        <v>0</v>
      </c>
      <c r="F58" s="1865" t="e">
        <f t="shared" si="15"/>
        <v>#DIV/0!</v>
      </c>
      <c r="G58" s="1871" t="s">
        <v>2274</v>
      </c>
      <c r="H58" s="1870" t="str">
        <f>项目基本情况!C43</f>
        <v>八级</v>
      </c>
      <c r="I58" s="1868">
        <f>SUMIF(修正!$A$45:$A$56,H58,修正!F45:F56)</f>
        <v>0.2</v>
      </c>
      <c r="J58" s="1496"/>
      <c r="K58" s="3219"/>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2.75">
      <c r="A59" s="629" t="s">
        <v>563</v>
      </c>
      <c r="B59" s="630" t="e">
        <f t="shared" si="17"/>
        <v>#DIV/0!</v>
      </c>
      <c r="C59" s="372">
        <f t="shared" si="16"/>
        <v>0.2</v>
      </c>
      <c r="D59" s="2110">
        <v>0.25</v>
      </c>
      <c r="E59" s="633">
        <f>'数据-汇总表'!E12</f>
        <v>0</v>
      </c>
      <c r="F59" s="1865" t="e">
        <f t="shared" si="15"/>
        <v>#DIV/0!</v>
      </c>
      <c r="G59" s="1861" t="s">
        <v>1668</v>
      </c>
      <c r="H59" s="1869" t="str">
        <f>IF(G59="商业",项目基本情况!B43,IF(G59="办公",项目基本情况!C43,IF(G59="住宅",项目基本情况!D43,项目基本情况!E43)))</f>
        <v>八级</v>
      </c>
      <c r="I59" s="1868">
        <f>SUMIF(修正!$A$45:$A$56,H59,修正!G45:G56)</f>
        <v>0.2</v>
      </c>
      <c r="J59" s="1496"/>
      <c r="K59" s="3219"/>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2.75">
      <c r="A60" s="629" t="s">
        <v>564</v>
      </c>
      <c r="B60" s="630" t="e">
        <f t="shared" si="17"/>
        <v>#DIV/0!</v>
      </c>
      <c r="C60" s="372">
        <f t="shared" si="16"/>
        <v>0</v>
      </c>
      <c r="D60" s="2110">
        <v>0.25</v>
      </c>
      <c r="E60" s="633">
        <f>'数据-汇总表'!E13</f>
        <v>0</v>
      </c>
      <c r="F60" s="1865" t="e">
        <f t="shared" si="15"/>
        <v>#DIV/0!</v>
      </c>
      <c r="G60" s="1861" t="s">
        <v>914</v>
      </c>
      <c r="H60" s="1869">
        <f>IF(G60="商业",项目基本情况!B43,IF(G60="办公",项目基本情况!C43,IF(G60="住宅",项目基本情况!D43,项目基本情况!E43)))</f>
        <v>0</v>
      </c>
      <c r="I60" s="1868">
        <f>SUMIF(修正!$A$45:$A$56,H60,修正!H45:H56)</f>
        <v>0</v>
      </c>
      <c r="J60" s="1496"/>
      <c r="K60" s="3219"/>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2.75">
      <c r="A61" s="629" t="s">
        <v>565</v>
      </c>
      <c r="B61" s="630" t="e">
        <f t="shared" si="17"/>
        <v>#DIV/0!</v>
      </c>
      <c r="C61" s="372">
        <f t="shared" si="16"/>
        <v>0.15</v>
      </c>
      <c r="D61" s="2110">
        <v>0.25</v>
      </c>
      <c r="E61" s="633">
        <f>'数据-汇总表'!E14</f>
        <v>0</v>
      </c>
      <c r="F61" s="1865" t="e">
        <f t="shared" si="15"/>
        <v>#DIV/0!</v>
      </c>
      <c r="G61" s="1871" t="s">
        <v>2273</v>
      </c>
      <c r="H61" s="1870" t="str">
        <f>项目基本情况!B43</f>
        <v>八级</v>
      </c>
      <c r="I61" s="1868">
        <f>SUMIF(修正!$A$45:$A$56,H61,修正!H45:H56)</f>
        <v>0.15</v>
      </c>
      <c r="J61" s="1496"/>
      <c r="K61" s="3219"/>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5" thickBot="1">
      <c r="A62" s="629" t="s">
        <v>566</v>
      </c>
      <c r="B62" s="630" t="e">
        <f t="shared" si="17"/>
        <v>#DIV/0!</v>
      </c>
      <c r="C62" s="372">
        <f t="shared" si="16"/>
        <v>0.15</v>
      </c>
      <c r="D62" s="2110">
        <v>0.25</v>
      </c>
      <c r="E62" s="633">
        <f>'数据-汇总表'!E15</f>
        <v>0</v>
      </c>
      <c r="F62" s="1865" t="e">
        <f t="shared" si="15"/>
        <v>#DIV/0!</v>
      </c>
      <c r="G62" s="1872" t="s">
        <v>2274</v>
      </c>
      <c r="H62" s="1873" t="str">
        <f>项目基本情况!C43</f>
        <v>八级</v>
      </c>
      <c r="I62" s="1868">
        <f>SUMIF(修正!$A$45:$A$56,H62,修正!H45:H56)</f>
        <v>0.15</v>
      </c>
      <c r="J62" s="1496"/>
      <c r="K62" s="3219"/>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5" thickBot="1">
      <c r="A63" s="634" t="s">
        <v>567</v>
      </c>
      <c r="B63" s="635" t="s">
        <v>17</v>
      </c>
      <c r="C63" s="635" t="s">
        <v>18</v>
      </c>
      <c r="D63" s="635" t="s">
        <v>2282</v>
      </c>
      <c r="E63" s="635">
        <f>IF(B43="楼面地价",SUM(E53:E62),'数据-汇总表'!D3)</f>
        <v>13141.8</v>
      </c>
      <c r="F63" s="636" t="e">
        <f>IF(B43="楼面地价",SUM(F53:F62),ROUND(C45*E63/10000,0))</f>
        <v>#DIV/0!</v>
      </c>
      <c r="G63" s="2038"/>
      <c r="H63" s="2038"/>
      <c r="I63" s="2038"/>
      <c r="J63" s="2038"/>
      <c r="K63" s="3227"/>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2021-5-1</v>
      </c>
      <c r="D65" s="2517">
        <f>EDATE(C65,-3)</f>
        <v>44228</v>
      </c>
      <c r="E65" s="2517">
        <f t="shared" ref="E65:N65" si="18">EDATE(D65,-3)</f>
        <v>44136</v>
      </c>
      <c r="F65" s="2517">
        <f t="shared" si="18"/>
        <v>44044</v>
      </c>
      <c r="G65" s="2517">
        <f t="shared" si="18"/>
        <v>43952</v>
      </c>
      <c r="H65" s="2517">
        <f t="shared" si="18"/>
        <v>43862</v>
      </c>
      <c r="I65" s="2517">
        <f t="shared" si="18"/>
        <v>43770</v>
      </c>
      <c r="J65" s="2517">
        <f t="shared" si="18"/>
        <v>43678</v>
      </c>
      <c r="K65" s="2517">
        <f t="shared" si="18"/>
        <v>43586</v>
      </c>
      <c r="L65" s="2517">
        <f t="shared" si="18"/>
        <v>43497</v>
      </c>
      <c r="M65" s="2517">
        <f t="shared" si="18"/>
        <v>43405</v>
      </c>
      <c r="N65" s="2517">
        <f t="shared" si="18"/>
        <v>43313</v>
      </c>
      <c r="O65" s="2028"/>
      <c r="P65" s="2028"/>
      <c r="Q65" s="2028"/>
      <c r="R65" s="2028"/>
      <c r="S65" s="2028"/>
      <c r="T65" s="2028"/>
      <c r="U65" s="2028"/>
      <c r="V65" s="2028"/>
      <c r="W65" s="2028"/>
      <c r="X65" s="2028"/>
      <c r="Y65" s="2028"/>
      <c r="Z65" s="2028"/>
      <c r="AA65" s="2028"/>
      <c r="AB65" s="2028"/>
      <c r="AC65" s="2028"/>
    </row>
    <row r="66" spans="1:29" ht="21.75"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5">
      <c r="A67" s="2422" t="s">
        <v>2514</v>
      </c>
      <c r="B67" s="638"/>
      <c r="C67" s="2514" t="str">
        <f>YEAR(C65)&amp;"-"&amp;ROUNDUP(MONTH(C65)/3,0)</f>
        <v>2021-2</v>
      </c>
      <c r="D67" s="2519" t="str">
        <f t="shared" ref="D67:N67" si="19">YEAR(D65)&amp;"-"&amp;ROUNDUP(MONTH(D65)/3,0)</f>
        <v>2021-1</v>
      </c>
      <c r="E67" s="2519" t="str">
        <f t="shared" si="19"/>
        <v>2020-4</v>
      </c>
      <c r="F67" s="2519" t="str">
        <f t="shared" si="19"/>
        <v>2020-3</v>
      </c>
      <c r="G67" s="2519" t="str">
        <f t="shared" si="19"/>
        <v>2020-2</v>
      </c>
      <c r="H67" s="2519" t="str">
        <f t="shared" si="19"/>
        <v>2020-1</v>
      </c>
      <c r="I67" s="2519" t="str">
        <f t="shared" si="19"/>
        <v>2019-4</v>
      </c>
      <c r="J67" s="2519" t="str">
        <f t="shared" si="19"/>
        <v>2019-3</v>
      </c>
      <c r="K67" s="2519" t="str">
        <f t="shared" si="19"/>
        <v>2019-2</v>
      </c>
      <c r="L67" s="2519" t="str">
        <f t="shared" si="19"/>
        <v>2019-1</v>
      </c>
      <c r="M67" s="2519" t="str">
        <f t="shared" si="19"/>
        <v>2018-4</v>
      </c>
      <c r="N67" s="2519" t="str">
        <f t="shared" si="19"/>
        <v>2018-3</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2629</v>
      </c>
      <c r="B68" s="473" t="str">
        <f>"北京市平均增长率"&amp;TEXT(基准地价!P24,"0.00%")</f>
        <v>北京市平均增长率1.25%</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7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5">
      <c r="A70" s="651" t="s">
        <v>525</v>
      </c>
      <c r="B70" s="640"/>
      <c r="C70" s="652" t="s">
        <v>570</v>
      </c>
      <c r="D70" s="653"/>
      <c r="E70" s="653"/>
      <c r="F70" s="653"/>
      <c r="G70" s="653"/>
      <c r="H70" s="653"/>
      <c r="I70" s="653"/>
      <c r="J70" s="653"/>
      <c r="K70" s="653"/>
      <c r="L70" s="654"/>
      <c r="M70" s="655"/>
      <c r="N70" s="3228"/>
      <c r="O70" s="2044"/>
      <c r="P70" s="2045"/>
      <c r="Q70" s="2040"/>
      <c r="R70" s="1906"/>
      <c r="S70" s="1906"/>
      <c r="T70" s="1906"/>
      <c r="U70" s="1906"/>
      <c r="V70" s="1906"/>
      <c r="W70" s="1906"/>
      <c r="X70" s="1906"/>
      <c r="Y70" s="1906"/>
      <c r="Z70" s="1906"/>
      <c r="AA70" s="1906"/>
      <c r="AB70" s="1906"/>
      <c r="AC70" s="1906"/>
    </row>
    <row r="71" spans="1:29" s="1203" customFormat="1" ht="15.75" thickBot="1">
      <c r="A71" s="651"/>
      <c r="B71" s="640"/>
      <c r="C71" s="641">
        <v>100</v>
      </c>
      <c r="D71" s="642"/>
      <c r="E71" s="642"/>
      <c r="F71" s="642"/>
      <c r="G71" s="642"/>
      <c r="H71" s="642"/>
      <c r="I71" s="642"/>
      <c r="J71" s="642"/>
      <c r="K71" s="642"/>
      <c r="L71" s="642"/>
      <c r="M71" s="644"/>
      <c r="N71" s="3228"/>
      <c r="O71" s="2044"/>
      <c r="P71" s="2040"/>
      <c r="Q71" s="2040"/>
      <c r="R71" s="1906"/>
      <c r="S71" s="1906"/>
      <c r="T71" s="1906"/>
      <c r="U71" s="1906"/>
      <c r="V71" s="1906"/>
      <c r="W71" s="1906"/>
      <c r="X71" s="1906"/>
      <c r="Y71" s="1906"/>
      <c r="Z71" s="1906"/>
      <c r="AA71" s="1906"/>
      <c r="AB71" s="1906"/>
      <c r="AC71" s="1906"/>
    </row>
    <row r="72" spans="1:29">
      <c r="A72" s="656" t="s">
        <v>571</v>
      </c>
      <c r="B72" s="657" t="s">
        <v>528</v>
      </c>
      <c r="C72" s="592"/>
      <c r="D72" s="592"/>
      <c r="E72" s="592"/>
      <c r="F72" s="592"/>
      <c r="G72" s="592"/>
      <c r="H72" s="592"/>
      <c r="I72" s="592"/>
      <c r="J72" s="592"/>
      <c r="K72" s="658"/>
      <c r="L72" s="659"/>
      <c r="M72" s="660"/>
      <c r="N72" s="3229"/>
      <c r="O72" s="2046"/>
      <c r="P72" s="2047"/>
      <c r="Q72" s="2040"/>
      <c r="R72" s="2028"/>
      <c r="S72" s="2028"/>
      <c r="T72" s="2028"/>
      <c r="U72" s="2028"/>
      <c r="V72" s="2028"/>
      <c r="W72" s="2028"/>
      <c r="X72" s="2028"/>
      <c r="Y72" s="2028"/>
      <c r="Z72" s="2028"/>
      <c r="AA72" s="2028"/>
      <c r="AB72" s="2028"/>
      <c r="AC72" s="2028"/>
    </row>
    <row r="73" spans="1:29" ht="15.75" thickBot="1">
      <c r="A73" s="661"/>
      <c r="B73" s="662"/>
      <c r="C73" s="663"/>
      <c r="D73" s="663"/>
      <c r="E73" s="663"/>
      <c r="F73" s="663"/>
      <c r="G73" s="663"/>
      <c r="H73" s="663"/>
      <c r="I73" s="663"/>
      <c r="J73" s="663"/>
      <c r="K73" s="663"/>
      <c r="L73" s="663"/>
      <c r="M73" s="664"/>
      <c r="N73" s="3230"/>
      <c r="O73" s="2048"/>
      <c r="P73" s="2047"/>
      <c r="Q73" s="2040"/>
      <c r="R73" s="2028"/>
      <c r="S73" s="2028"/>
      <c r="T73" s="2028"/>
      <c r="U73" s="2028"/>
      <c r="V73" s="2028"/>
      <c r="W73" s="2028"/>
      <c r="X73" s="2028"/>
      <c r="Y73" s="2028"/>
      <c r="Z73" s="2028"/>
      <c r="AA73" s="2028"/>
      <c r="AB73" s="2028"/>
      <c r="AC73" s="2028"/>
    </row>
    <row r="74" spans="1:29" ht="27.75" thickTop="1">
      <c r="A74" s="661"/>
      <c r="B74" s="665" t="s">
        <v>531</v>
      </c>
      <c r="C74" s="666"/>
      <c r="D74" s="666"/>
      <c r="E74" s="666"/>
      <c r="F74" s="666"/>
      <c r="G74" s="666"/>
      <c r="H74" s="666"/>
      <c r="I74" s="666"/>
      <c r="J74" s="666"/>
      <c r="K74" s="667"/>
      <c r="L74" s="668"/>
      <c r="M74" s="669"/>
      <c r="N74" s="3229"/>
      <c r="O74" s="2046"/>
      <c r="P74" s="2047"/>
      <c r="Q74" s="2040"/>
      <c r="R74" s="2028"/>
      <c r="S74" s="2028"/>
      <c r="T74" s="2028"/>
      <c r="U74" s="2028"/>
      <c r="V74" s="2028"/>
      <c r="W74" s="2028"/>
      <c r="X74" s="2028"/>
      <c r="Y74" s="2028"/>
      <c r="Z74" s="2028"/>
      <c r="AA74" s="2028"/>
      <c r="AB74" s="2028"/>
      <c r="AC74" s="2028"/>
    </row>
    <row r="75" spans="1:29" ht="15.75" thickBot="1">
      <c r="A75" s="661"/>
      <c r="B75" s="670"/>
      <c r="C75" s="671"/>
      <c r="D75" s="671"/>
      <c r="E75" s="671"/>
      <c r="F75" s="671"/>
      <c r="G75" s="671"/>
      <c r="H75" s="671"/>
      <c r="I75" s="671"/>
      <c r="J75" s="671"/>
      <c r="K75" s="671"/>
      <c r="L75" s="671"/>
      <c r="M75" s="672"/>
      <c r="N75" s="3230"/>
      <c r="O75" s="2048"/>
      <c r="P75" s="2047"/>
      <c r="Q75" s="2040"/>
      <c r="R75" s="2028"/>
      <c r="S75" s="2028"/>
      <c r="T75" s="2028"/>
      <c r="U75" s="2028"/>
      <c r="V75" s="2028"/>
      <c r="W75" s="2028"/>
      <c r="X75" s="2028"/>
      <c r="Y75" s="2028"/>
      <c r="Z75" s="2028"/>
      <c r="AA75" s="2028"/>
      <c r="AB75" s="2028"/>
      <c r="AC75" s="2028"/>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8"/>
      <c r="P76" s="2047"/>
      <c r="Q76" s="2040"/>
      <c r="R76" s="2028"/>
      <c r="S76" s="2028"/>
      <c r="T76" s="2028"/>
      <c r="U76" s="2028"/>
      <c r="V76" s="2028"/>
      <c r="W76" s="2028"/>
      <c r="X76" s="2028"/>
      <c r="Y76" s="2028"/>
      <c r="Z76" s="2028"/>
      <c r="AA76" s="2028"/>
      <c r="AB76" s="2028"/>
      <c r="AC76" s="2028"/>
    </row>
    <row r="77" spans="1:29" ht="15">
      <c r="A77" s="661"/>
      <c r="B77" s="675"/>
      <c r="C77" s="535"/>
      <c r="D77" s="535"/>
      <c r="E77" s="535"/>
      <c r="F77" s="535"/>
      <c r="G77" s="535"/>
      <c r="H77" s="535"/>
      <c r="I77" s="535"/>
      <c r="J77" s="535"/>
      <c r="K77" s="676"/>
      <c r="L77" s="677"/>
      <c r="M77" s="678"/>
      <c r="N77" s="3229"/>
      <c r="O77" s="2046"/>
      <c r="P77" s="2047"/>
      <c r="Q77" s="2040"/>
      <c r="R77" s="2028"/>
      <c r="S77" s="2028"/>
      <c r="T77" s="2028"/>
      <c r="U77" s="2028"/>
      <c r="V77" s="2028"/>
      <c r="W77" s="2028"/>
      <c r="X77" s="2028"/>
      <c r="Y77" s="2028"/>
      <c r="Z77" s="2028"/>
      <c r="AA77" s="2028"/>
      <c r="AB77" s="2028"/>
      <c r="AC77" s="2028"/>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8"/>
      <c r="P78" s="2047"/>
      <c r="Q78" s="2040"/>
      <c r="R78" s="2028"/>
      <c r="S78" s="2028"/>
      <c r="T78" s="2028"/>
      <c r="U78" s="2028"/>
      <c r="V78" s="2028"/>
      <c r="W78" s="2028"/>
      <c r="X78" s="2028"/>
      <c r="Y78" s="2028"/>
      <c r="Z78" s="2028"/>
      <c r="AA78" s="2028"/>
      <c r="AB78" s="2028"/>
      <c r="AC78" s="2028"/>
    </row>
    <row r="79" spans="1:29" s="1293" customFormat="1" ht="15.75" thickTop="1">
      <c r="A79" s="679"/>
      <c r="B79" s="665">
        <f>B14</f>
        <v>111</v>
      </c>
      <c r="C79" s="680"/>
      <c r="D79" s="680"/>
      <c r="E79" s="680"/>
      <c r="F79" s="680"/>
      <c r="G79" s="680"/>
      <c r="H79" s="681"/>
      <c r="I79" s="681"/>
      <c r="J79" s="681"/>
      <c r="K79" s="681"/>
      <c r="L79" s="682"/>
      <c r="M79" s="683"/>
      <c r="N79" s="3231"/>
      <c r="O79" s="2049"/>
      <c r="P79" s="2050"/>
      <c r="Q79" s="2051"/>
      <c r="R79" s="2052"/>
      <c r="S79" s="2052"/>
      <c r="T79" s="2052"/>
      <c r="U79" s="2052"/>
      <c r="V79" s="2052"/>
      <c r="W79" s="2052"/>
      <c r="X79" s="2052"/>
      <c r="Y79" s="2052"/>
      <c r="Z79" s="2052"/>
      <c r="AA79" s="2052"/>
      <c r="AB79" s="2052"/>
      <c r="AC79" s="2052"/>
    </row>
    <row r="80" spans="1:29" s="1293" customFormat="1" ht="15.75" thickBot="1">
      <c r="A80" s="679"/>
      <c r="B80" s="670"/>
      <c r="C80" s="684"/>
      <c r="D80" s="663"/>
      <c r="E80" s="663"/>
      <c r="F80" s="663"/>
      <c r="G80" s="663"/>
      <c r="H80" s="663"/>
      <c r="I80" s="663"/>
      <c r="J80" s="663"/>
      <c r="K80" s="663"/>
      <c r="L80" s="663"/>
      <c r="M80" s="664"/>
      <c r="N80" s="3230"/>
      <c r="O80" s="2048"/>
      <c r="P80" s="2050"/>
      <c r="Q80" s="2051"/>
      <c r="R80" s="2052"/>
      <c r="S80" s="2052"/>
      <c r="T80" s="2052"/>
      <c r="U80" s="2052"/>
      <c r="V80" s="2052"/>
      <c r="W80" s="2052"/>
      <c r="X80" s="2052"/>
      <c r="Y80" s="2052"/>
      <c r="Z80" s="2052"/>
      <c r="AA80" s="2052"/>
      <c r="AB80" s="2052"/>
      <c r="AC80" s="2052"/>
    </row>
    <row r="81" spans="1:29" s="1293" customFormat="1" ht="15.75" thickTop="1">
      <c r="A81" s="679"/>
      <c r="B81" s="665">
        <f>B15</f>
        <v>111</v>
      </c>
      <c r="C81" s="680"/>
      <c r="D81" s="680"/>
      <c r="E81" s="680"/>
      <c r="F81" s="680"/>
      <c r="G81" s="680"/>
      <c r="H81" s="681"/>
      <c r="I81" s="681"/>
      <c r="J81" s="681"/>
      <c r="K81" s="681"/>
      <c r="L81" s="682"/>
      <c r="M81" s="683"/>
      <c r="N81" s="3231"/>
      <c r="O81" s="2049"/>
      <c r="P81" s="2053"/>
      <c r="Q81" s="2054"/>
      <c r="R81" s="2052"/>
      <c r="S81" s="2052"/>
      <c r="T81" s="2052"/>
      <c r="U81" s="2052"/>
      <c r="V81" s="2052"/>
      <c r="W81" s="2052"/>
      <c r="X81" s="2052"/>
      <c r="Y81" s="2052"/>
      <c r="Z81" s="2052"/>
      <c r="AA81" s="2052"/>
      <c r="AB81" s="2052"/>
      <c r="AC81" s="2052"/>
    </row>
    <row r="82" spans="1:29" s="1293" customFormat="1" ht="15.75" thickBot="1">
      <c r="A82" s="679"/>
      <c r="B82" s="670"/>
      <c r="C82" s="684"/>
      <c r="D82" s="684"/>
      <c r="E82" s="684"/>
      <c r="F82" s="684"/>
      <c r="G82" s="684"/>
      <c r="H82" s="685"/>
      <c r="I82" s="685"/>
      <c r="J82" s="685"/>
      <c r="K82" s="685"/>
      <c r="L82" s="685"/>
      <c r="M82" s="686"/>
      <c r="N82" s="3231"/>
      <c r="O82" s="2049"/>
      <c r="P82" s="2050"/>
      <c r="Q82" s="2051"/>
      <c r="R82" s="2052"/>
      <c r="S82" s="2052"/>
      <c r="T82" s="2052"/>
      <c r="U82" s="2052"/>
      <c r="V82" s="2052"/>
      <c r="W82" s="2052"/>
      <c r="X82" s="2052"/>
      <c r="Y82" s="2052"/>
      <c r="Z82" s="2052"/>
      <c r="AA82" s="2052"/>
      <c r="AB82" s="2052"/>
      <c r="AC82" s="2052"/>
    </row>
    <row r="83" spans="1:29" s="1293" customFormat="1" ht="15.75" thickTop="1">
      <c r="A83" s="679"/>
      <c r="B83" s="673">
        <f>B16</f>
        <v>111</v>
      </c>
      <c r="C83" s="653"/>
      <c r="D83" s="653"/>
      <c r="E83" s="653"/>
      <c r="F83" s="653"/>
      <c r="G83" s="653"/>
      <c r="H83" s="687"/>
      <c r="I83" s="687"/>
      <c r="J83" s="687"/>
      <c r="K83" s="687"/>
      <c r="L83" s="688"/>
      <c r="M83" s="689"/>
      <c r="N83" s="3231"/>
      <c r="O83" s="2049"/>
      <c r="P83" s="2055"/>
      <c r="Q83" s="2051"/>
      <c r="R83" s="2052"/>
      <c r="S83" s="2052"/>
      <c r="T83" s="2052"/>
      <c r="U83" s="2052"/>
      <c r="V83" s="2052"/>
      <c r="W83" s="2052"/>
      <c r="X83" s="2052"/>
      <c r="Y83" s="2052"/>
      <c r="Z83" s="2052"/>
      <c r="AA83" s="2052"/>
      <c r="AB83" s="2052"/>
      <c r="AC83" s="2052"/>
    </row>
    <row r="84" spans="1:29" s="1293" customFormat="1" ht="15.75" thickBot="1">
      <c r="A84" s="690"/>
      <c r="B84" s="691"/>
      <c r="C84" s="692"/>
      <c r="D84" s="692"/>
      <c r="E84" s="692"/>
      <c r="F84" s="692"/>
      <c r="G84" s="692"/>
      <c r="H84" s="693"/>
      <c r="I84" s="693"/>
      <c r="J84" s="693"/>
      <c r="K84" s="693"/>
      <c r="L84" s="693"/>
      <c r="M84" s="694"/>
      <c r="N84" s="3231"/>
      <c r="O84" s="2049"/>
      <c r="P84" s="2050"/>
      <c r="Q84" s="2051"/>
      <c r="R84" s="2052"/>
      <c r="S84" s="2052"/>
      <c r="T84" s="2052"/>
      <c r="U84" s="2052"/>
      <c r="V84" s="2052"/>
      <c r="W84" s="2052"/>
      <c r="X84" s="2052"/>
      <c r="Y84" s="2052"/>
      <c r="Z84" s="2052"/>
      <c r="AA84" s="2052"/>
      <c r="AB84" s="2052"/>
      <c r="AC84" s="2052"/>
    </row>
    <row r="85" spans="1:29">
      <c r="A85" s="656" t="s">
        <v>533</v>
      </c>
      <c r="B85" s="657" t="s">
        <v>596</v>
      </c>
      <c r="C85" s="695" t="s">
        <v>573</v>
      </c>
      <c r="D85" s="695" t="s">
        <v>574</v>
      </c>
      <c r="E85" s="695" t="s">
        <v>575</v>
      </c>
      <c r="F85" s="695" t="s">
        <v>576</v>
      </c>
      <c r="G85" s="695" t="s">
        <v>577</v>
      </c>
      <c r="H85" s="696"/>
      <c r="I85" s="696"/>
      <c r="J85" s="696"/>
      <c r="K85" s="697"/>
      <c r="L85" s="698"/>
      <c r="M85" s="699"/>
      <c r="N85" s="3229"/>
      <c r="O85" s="2046"/>
      <c r="P85" s="2056"/>
      <c r="Q85" s="2040"/>
      <c r="R85" s="2028"/>
      <c r="S85" s="2028"/>
      <c r="T85" s="2028"/>
      <c r="U85" s="2028"/>
      <c r="V85" s="2028"/>
      <c r="W85" s="2028"/>
      <c r="X85" s="2028"/>
      <c r="Y85" s="2028"/>
      <c r="Z85" s="2028"/>
      <c r="AA85" s="2028"/>
      <c r="AB85" s="2028"/>
      <c r="AC85" s="2028"/>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8"/>
      <c r="P86" s="2047"/>
      <c r="Q86" s="2040"/>
      <c r="R86" s="2028"/>
      <c r="S86" s="2028"/>
      <c r="T86" s="2028"/>
      <c r="U86" s="2028"/>
      <c r="V86" s="2028"/>
      <c r="W86" s="2028"/>
      <c r="X86" s="2028"/>
      <c r="Y86" s="2028"/>
      <c r="Z86" s="2028"/>
      <c r="AA86" s="2028"/>
      <c r="AB86" s="2028"/>
      <c r="AC86" s="2028"/>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6"/>
      <c r="P87" s="2047"/>
      <c r="Q87" s="2040"/>
      <c r="R87" s="2028"/>
      <c r="S87" s="2028"/>
      <c r="T87" s="2028"/>
      <c r="U87" s="2028"/>
      <c r="V87" s="2028"/>
      <c r="W87" s="2028"/>
      <c r="X87" s="2028"/>
      <c r="Y87" s="2028"/>
      <c r="Z87" s="2028"/>
      <c r="AA87" s="2028"/>
      <c r="AB87" s="2028"/>
      <c r="AC87" s="2028"/>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8"/>
      <c r="P88" s="2047"/>
      <c r="Q88" s="2040"/>
      <c r="R88" s="2028"/>
      <c r="S88" s="2028"/>
      <c r="T88" s="2028"/>
      <c r="U88" s="2028"/>
      <c r="V88" s="2028"/>
      <c r="W88" s="2028"/>
      <c r="X88" s="2028"/>
      <c r="Y88" s="2028"/>
      <c r="Z88" s="2028"/>
      <c r="AA88" s="2028"/>
      <c r="AB88" s="2028"/>
      <c r="AC88" s="2028"/>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8"/>
      <c r="O89" s="2044"/>
      <c r="P89" s="2047"/>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8"/>
      <c r="P90" s="2047"/>
      <c r="Q90" s="2040"/>
      <c r="R90" s="1906"/>
      <c r="S90" s="1906"/>
      <c r="T90" s="1906"/>
      <c r="U90" s="1906"/>
      <c r="V90" s="1906"/>
      <c r="W90" s="1906"/>
      <c r="X90" s="1906"/>
      <c r="Y90" s="1906"/>
      <c r="Z90" s="1906"/>
      <c r="AA90" s="1906"/>
      <c r="AB90" s="1906"/>
      <c r="AC90" s="1906"/>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8"/>
      <c r="O91" s="2044"/>
      <c r="P91" s="2047"/>
      <c r="Q91" s="2040"/>
      <c r="R91" s="1906"/>
      <c r="S91" s="1906"/>
      <c r="T91" s="1906"/>
      <c r="U91" s="1906"/>
      <c r="V91" s="1906"/>
      <c r="W91" s="1906"/>
      <c r="X91" s="1906"/>
      <c r="Y91" s="1906"/>
      <c r="Z91" s="1906"/>
      <c r="AA91" s="1906"/>
      <c r="AB91" s="1906"/>
      <c r="AC91" s="1906"/>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8"/>
      <c r="P92" s="2047"/>
      <c r="Q92" s="2040"/>
      <c r="R92" s="1906"/>
      <c r="S92" s="1906"/>
      <c r="T92" s="1906"/>
      <c r="U92" s="1906"/>
      <c r="V92" s="1906"/>
      <c r="W92" s="1906"/>
      <c r="X92" s="1906"/>
      <c r="Y92" s="1906"/>
      <c r="Z92" s="1906"/>
      <c r="AA92" s="1906"/>
      <c r="AB92" s="1906"/>
      <c r="AC92" s="1906"/>
    </row>
    <row r="93" spans="1:29" s="1293" customFormat="1" ht="15.75" thickTop="1">
      <c r="A93" s="679"/>
      <c r="B93" s="1811" t="s">
        <v>2529</v>
      </c>
      <c r="C93" s="695" t="s">
        <v>573</v>
      </c>
      <c r="D93" s="695" t="s">
        <v>574</v>
      </c>
      <c r="E93" s="695" t="s">
        <v>575</v>
      </c>
      <c r="F93" s="695" t="s">
        <v>576</v>
      </c>
      <c r="G93" s="695" t="s">
        <v>577</v>
      </c>
      <c r="H93" s="705"/>
      <c r="I93" s="705"/>
      <c r="J93" s="705"/>
      <c r="K93" s="705"/>
      <c r="L93" s="706"/>
      <c r="M93" s="707"/>
      <c r="N93" s="3231"/>
      <c r="O93" s="2049"/>
      <c r="P93" s="2050"/>
      <c r="Q93" s="2051"/>
      <c r="R93" s="2052"/>
      <c r="S93" s="2052"/>
      <c r="T93" s="2052"/>
      <c r="U93" s="2052"/>
      <c r="V93" s="2052"/>
      <c r="W93" s="2052"/>
      <c r="X93" s="2052"/>
      <c r="Y93" s="2052"/>
      <c r="Z93" s="2052"/>
      <c r="AA93" s="2052"/>
      <c r="AB93" s="2052"/>
      <c r="AC93" s="2052"/>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9"/>
      <c r="P94" s="2050"/>
      <c r="Q94" s="2051"/>
      <c r="R94" s="2052"/>
      <c r="S94" s="2052"/>
      <c r="T94" s="2052"/>
      <c r="U94" s="2052"/>
      <c r="V94" s="2052"/>
      <c r="W94" s="2052"/>
      <c r="X94" s="2052"/>
      <c r="Y94" s="2052"/>
      <c r="Z94" s="2052"/>
      <c r="AA94" s="2052"/>
      <c r="AB94" s="2052"/>
      <c r="AC94" s="2052"/>
    </row>
    <row r="95" spans="1:29" s="1293" customFormat="1" ht="15.75" thickTop="1">
      <c r="A95" s="679"/>
      <c r="B95" s="2442" t="s">
        <v>2531</v>
      </c>
      <c r="C95" s="2443" t="s">
        <v>2532</v>
      </c>
      <c r="D95" s="2443" t="s">
        <v>2533</v>
      </c>
      <c r="E95" s="2443" t="s">
        <v>2534</v>
      </c>
      <c r="F95" s="2443" t="s">
        <v>2535</v>
      </c>
      <c r="G95" s="2443" t="s">
        <v>2536</v>
      </c>
      <c r="H95" s="705"/>
      <c r="I95" s="705"/>
      <c r="J95" s="705"/>
      <c r="K95" s="705"/>
      <c r="L95" s="705"/>
      <c r="M95" s="707"/>
      <c r="N95" s="3231"/>
      <c r="O95" s="2049"/>
      <c r="P95" s="2050"/>
      <c r="Q95" s="2051"/>
      <c r="R95" s="2052"/>
      <c r="S95" s="2052"/>
      <c r="T95" s="2052"/>
      <c r="U95" s="2052"/>
      <c r="V95" s="2052"/>
      <c r="W95" s="2052"/>
      <c r="X95" s="2052"/>
      <c r="Y95" s="2052"/>
      <c r="Z95" s="2052"/>
      <c r="AA95" s="2052"/>
      <c r="AB95" s="2052"/>
      <c r="AC95" s="2052"/>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5"/>
      <c r="N96" s="3231"/>
      <c r="O96" s="2049"/>
      <c r="P96" s="2050"/>
      <c r="Q96" s="2051"/>
      <c r="R96" s="2052"/>
      <c r="S96" s="2052"/>
      <c r="T96" s="2052"/>
      <c r="U96" s="2052"/>
      <c r="V96" s="2052"/>
      <c r="W96" s="2052"/>
      <c r="X96" s="2052"/>
      <c r="Y96" s="2052"/>
      <c r="Z96" s="2052"/>
      <c r="AA96" s="2052"/>
      <c r="AB96" s="2052"/>
      <c r="AC96" s="2052"/>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6"/>
      <c r="P97" s="2047"/>
      <c r="Q97" s="2040"/>
      <c r="R97" s="2028"/>
      <c r="S97" s="2028"/>
      <c r="T97" s="2028"/>
      <c r="U97" s="2028"/>
      <c r="V97" s="2028"/>
      <c r="W97" s="2028"/>
      <c r="X97" s="2028"/>
      <c r="Y97" s="2028"/>
      <c r="Z97" s="2028"/>
      <c r="AA97" s="2028"/>
      <c r="AB97" s="2028"/>
      <c r="AC97" s="2028"/>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8"/>
      <c r="P98" s="2047"/>
      <c r="Q98" s="2040"/>
      <c r="R98" s="2028"/>
      <c r="S98" s="2028"/>
      <c r="T98" s="2028"/>
      <c r="U98" s="2028"/>
      <c r="V98" s="2028"/>
      <c r="W98" s="2028"/>
      <c r="X98" s="2028"/>
      <c r="Y98" s="2028"/>
      <c r="Z98" s="2028"/>
      <c r="AA98" s="2028"/>
      <c r="AB98" s="2028"/>
      <c r="AC98" s="2028"/>
    </row>
    <row r="99" spans="1:29" ht="27.75" thickTop="1">
      <c r="A99" s="661"/>
      <c r="B99" s="665" t="s">
        <v>542</v>
      </c>
      <c r="C99" s="680"/>
      <c r="D99" s="680"/>
      <c r="E99" s="680"/>
      <c r="F99" s="680"/>
      <c r="G99" s="680"/>
      <c r="H99" s="710"/>
      <c r="I99" s="710"/>
      <c r="J99" s="710"/>
      <c r="K99" s="711"/>
      <c r="L99" s="712"/>
      <c r="M99" s="713"/>
      <c r="N99" s="3229"/>
      <c r="O99" s="2046"/>
      <c r="P99" s="2047"/>
      <c r="Q99" s="2040"/>
      <c r="R99" s="2028"/>
      <c r="S99" s="2028"/>
      <c r="T99" s="2028"/>
      <c r="U99" s="2028"/>
      <c r="V99" s="2028"/>
      <c r="W99" s="2028"/>
      <c r="X99" s="2028"/>
      <c r="Y99" s="2028"/>
      <c r="Z99" s="2028"/>
      <c r="AA99" s="2028"/>
      <c r="AB99" s="2028"/>
      <c r="AC99" s="2028"/>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8"/>
      <c r="P100" s="2047"/>
      <c r="Q100" s="2040"/>
      <c r="R100" s="2028"/>
      <c r="S100" s="2028"/>
      <c r="T100" s="2028"/>
      <c r="U100" s="2028"/>
      <c r="V100" s="2028"/>
      <c r="W100" s="2028"/>
      <c r="X100" s="2028"/>
      <c r="Y100" s="2028"/>
      <c r="Z100" s="2028"/>
      <c r="AA100" s="2028"/>
      <c r="AB100" s="2028"/>
      <c r="AC100" s="2028"/>
    </row>
    <row r="101" spans="1:29" ht="15.75" thickTop="1">
      <c r="A101" s="661"/>
      <c r="B101" s="665" t="s">
        <v>543</v>
      </c>
      <c r="C101" s="710"/>
      <c r="D101" s="710"/>
      <c r="E101" s="710"/>
      <c r="F101" s="710"/>
      <c r="G101" s="710"/>
      <c r="H101" s="710"/>
      <c r="I101" s="710"/>
      <c r="J101" s="710"/>
      <c r="K101" s="711"/>
      <c r="L101" s="712"/>
      <c r="M101" s="713"/>
      <c r="N101" s="3229"/>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8"/>
      <c r="P102" s="2047"/>
      <c r="Q102" s="2040"/>
      <c r="R102" s="2028"/>
      <c r="S102" s="2028"/>
      <c r="T102" s="2028"/>
      <c r="U102" s="2028"/>
      <c r="V102" s="2028"/>
      <c r="W102" s="2028"/>
      <c r="X102" s="2028"/>
      <c r="Y102" s="2028"/>
      <c r="Z102" s="2028"/>
      <c r="AA102" s="2028"/>
      <c r="AB102" s="2028"/>
      <c r="AC102" s="2028"/>
    </row>
    <row r="103" spans="1:29" ht="15.75" thickTop="1">
      <c r="A103" s="661"/>
      <c r="B103" s="673">
        <f>B33</f>
        <v>111</v>
      </c>
      <c r="C103" s="680"/>
      <c r="D103" s="680"/>
      <c r="E103" s="680"/>
      <c r="F103" s="680"/>
      <c r="G103" s="714"/>
      <c r="H103" s="714"/>
      <c r="I103" s="714"/>
      <c r="J103" s="714"/>
      <c r="K103" s="715"/>
      <c r="L103" s="716"/>
      <c r="M103" s="717"/>
      <c r="N103" s="3229"/>
      <c r="O103" s="2046"/>
      <c r="P103" s="2047"/>
      <c r="Q103" s="2040"/>
      <c r="R103" s="2028"/>
      <c r="S103" s="2028"/>
      <c r="T103" s="2028"/>
      <c r="U103" s="2028"/>
      <c r="V103" s="2028"/>
      <c r="W103" s="2028"/>
      <c r="X103" s="2028"/>
      <c r="Y103" s="2028"/>
      <c r="Z103" s="2028"/>
      <c r="AA103" s="2028"/>
      <c r="AB103" s="2028"/>
      <c r="AC103" s="2028"/>
    </row>
    <row r="104" spans="1:29" ht="15.75" thickBot="1">
      <c r="A104" s="661"/>
      <c r="B104" s="691"/>
      <c r="C104" s="684"/>
      <c r="D104" s="663"/>
      <c r="E104" s="663"/>
      <c r="F104" s="663"/>
      <c r="G104" s="718"/>
      <c r="H104" s="718"/>
      <c r="I104" s="718"/>
      <c r="J104" s="718"/>
      <c r="K104" s="718"/>
      <c r="L104" s="718"/>
      <c r="M104" s="719"/>
      <c r="N104" s="3230"/>
      <c r="O104" s="2048"/>
      <c r="P104" s="2047"/>
      <c r="Q104" s="2040"/>
      <c r="R104" s="2028"/>
      <c r="S104" s="2028"/>
      <c r="T104" s="2028"/>
      <c r="U104" s="2028"/>
      <c r="V104" s="2028"/>
      <c r="W104" s="2028"/>
      <c r="X104" s="2028"/>
      <c r="Y104" s="2028"/>
      <c r="Z104" s="2028"/>
      <c r="AA104" s="2028"/>
      <c r="AB104" s="2028"/>
      <c r="AC104" s="2028"/>
    </row>
    <row r="105" spans="1:29" ht="15" thickTop="1">
      <c r="A105" s="581"/>
      <c r="B105" s="665">
        <f>B34</f>
        <v>111</v>
      </c>
      <c r="C105" s="680"/>
      <c r="D105" s="680"/>
      <c r="E105" s="680"/>
      <c r="F105" s="680"/>
      <c r="G105" s="710"/>
      <c r="H105" s="710"/>
      <c r="I105" s="710"/>
      <c r="J105" s="710"/>
      <c r="K105" s="711"/>
      <c r="L105" s="712"/>
      <c r="M105" s="713"/>
      <c r="N105" s="3229"/>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84"/>
      <c r="D106" s="684"/>
      <c r="E106" s="684"/>
      <c r="F106" s="684"/>
      <c r="G106" s="663"/>
      <c r="H106" s="663"/>
      <c r="I106" s="663"/>
      <c r="J106" s="663"/>
      <c r="K106" s="663"/>
      <c r="L106" s="663"/>
      <c r="M106" s="664"/>
      <c r="N106" s="3230"/>
      <c r="O106" s="2048"/>
      <c r="P106" s="2047"/>
      <c r="Q106" s="2040"/>
      <c r="R106" s="2028"/>
      <c r="S106" s="2028"/>
      <c r="T106" s="2028"/>
      <c r="U106" s="2028"/>
      <c r="V106" s="2028"/>
      <c r="W106" s="2028"/>
      <c r="X106" s="2028"/>
      <c r="Y106" s="2028"/>
      <c r="Z106" s="2028"/>
      <c r="AA106" s="2028"/>
      <c r="AB106" s="2028"/>
      <c r="AC106" s="2028"/>
    </row>
    <row r="107" spans="1:29" s="1293" customFormat="1" ht="15" thickTop="1">
      <c r="A107" s="720"/>
      <c r="B107" s="721">
        <f>B35</f>
        <v>111</v>
      </c>
      <c r="C107" s="653"/>
      <c r="D107" s="653"/>
      <c r="E107" s="653"/>
      <c r="F107" s="653"/>
      <c r="G107" s="722"/>
      <c r="H107" s="722"/>
      <c r="I107" s="722"/>
      <c r="J107" s="723"/>
      <c r="K107" s="723"/>
      <c r="L107" s="724"/>
      <c r="M107" s="725"/>
      <c r="N107" s="3231"/>
      <c r="O107" s="2049"/>
      <c r="P107" s="2050"/>
      <c r="Q107" s="2051"/>
      <c r="R107" s="2052"/>
      <c r="S107" s="2052"/>
      <c r="T107" s="2052"/>
      <c r="U107" s="2052"/>
      <c r="V107" s="2052"/>
      <c r="W107" s="2052"/>
      <c r="X107" s="2052"/>
      <c r="Y107" s="2052"/>
      <c r="Z107" s="2052"/>
      <c r="AA107" s="2052"/>
      <c r="AB107" s="2052"/>
      <c r="AC107" s="2052"/>
    </row>
    <row r="108" spans="1:29" s="1293" customFormat="1" ht="15.75" thickBot="1">
      <c r="A108" s="679"/>
      <c r="B108" s="673"/>
      <c r="C108" s="692"/>
      <c r="D108" s="692"/>
      <c r="E108" s="692"/>
      <c r="F108" s="692"/>
      <c r="G108" s="586"/>
      <c r="H108" s="586"/>
      <c r="I108" s="586"/>
      <c r="J108" s="586"/>
      <c r="K108" s="586"/>
      <c r="L108" s="586"/>
      <c r="M108" s="726"/>
      <c r="N108" s="3230"/>
      <c r="O108" s="2048"/>
      <c r="P108" s="2050"/>
      <c r="Q108" s="2051"/>
      <c r="R108" s="2052"/>
      <c r="S108" s="2052"/>
      <c r="T108" s="2052"/>
      <c r="U108" s="2052"/>
      <c r="V108" s="2052"/>
      <c r="W108" s="2052"/>
      <c r="X108" s="2052"/>
      <c r="Y108" s="2052"/>
      <c r="Z108" s="2052"/>
      <c r="AA108" s="2052"/>
      <c r="AB108" s="2052"/>
      <c r="AC108" s="2052"/>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6"/>
      <c r="P109" s="2047"/>
      <c r="Q109" s="2040"/>
      <c r="R109" s="2028"/>
      <c r="S109" s="2028"/>
      <c r="T109" s="2028"/>
      <c r="U109" s="2028"/>
      <c r="V109" s="2028"/>
      <c r="W109" s="2028"/>
      <c r="X109" s="2028"/>
      <c r="Y109" s="2028"/>
      <c r="Z109" s="2028"/>
      <c r="AA109" s="2028"/>
      <c r="AB109" s="2028"/>
      <c r="AC109" s="2028"/>
    </row>
    <row r="110" spans="1:29" ht="15">
      <c r="A110" s="661"/>
      <c r="B110" s="673"/>
      <c r="C110" s="722"/>
      <c r="D110" s="722"/>
      <c r="E110" s="722"/>
      <c r="F110" s="722"/>
      <c r="G110" s="722"/>
      <c r="H110" s="722"/>
      <c r="I110" s="722"/>
      <c r="J110" s="723"/>
      <c r="K110" s="723"/>
      <c r="L110" s="724"/>
      <c r="M110" s="725"/>
      <c r="N110" s="3229"/>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92"/>
      <c r="D111" s="718"/>
      <c r="E111" s="718"/>
      <c r="F111" s="718"/>
      <c r="G111" s="718"/>
      <c r="H111" s="718"/>
      <c r="I111" s="718"/>
      <c r="J111" s="718"/>
      <c r="K111" s="718"/>
      <c r="L111" s="718"/>
      <c r="M111" s="719"/>
      <c r="N111" s="3230"/>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29"/>
      <c r="O112" s="2046"/>
      <c r="P112" s="2047"/>
      <c r="Q112" s="2040"/>
      <c r="R112" s="2028"/>
      <c r="S112" s="2028"/>
      <c r="T112" s="2028"/>
      <c r="U112" s="2028"/>
      <c r="V112" s="2028"/>
      <c r="W112" s="2028"/>
      <c r="X112" s="2028"/>
      <c r="Y112" s="2028"/>
      <c r="Z112" s="2028"/>
      <c r="AA112" s="2028"/>
      <c r="AB112" s="2028"/>
      <c r="AC112" s="2028"/>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2410</v>
      </c>
      <c r="C114" s="1327"/>
      <c r="D114" s="1327"/>
      <c r="E114" s="1327"/>
      <c r="F114" s="1327"/>
      <c r="G114" s="1327"/>
      <c r="H114" s="710"/>
      <c r="I114" s="710"/>
      <c r="J114" s="710"/>
      <c r="K114" s="711"/>
      <c r="L114" s="712"/>
      <c r="M114" s="713"/>
      <c r="N114" s="3231"/>
      <c r="O114" s="2049"/>
      <c r="P114" s="2050"/>
      <c r="Q114" s="2051"/>
      <c r="R114" s="2052"/>
      <c r="S114" s="2052"/>
      <c r="T114" s="2052"/>
      <c r="U114" s="2052"/>
      <c r="V114" s="2052"/>
      <c r="W114" s="2052"/>
      <c r="X114" s="2052"/>
      <c r="Y114" s="2052"/>
      <c r="Z114" s="2052"/>
      <c r="AA114" s="2052"/>
      <c r="AB114" s="2052"/>
      <c r="AC114" s="2052"/>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29"/>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8"/>
      <c r="P117" s="2047"/>
      <c r="Q117" s="2040"/>
      <c r="R117" s="2028"/>
      <c r="S117" s="2028"/>
      <c r="T117" s="2028"/>
      <c r="U117" s="2028"/>
      <c r="V117" s="2028"/>
      <c r="W117" s="2028"/>
      <c r="X117" s="2028"/>
      <c r="Y117" s="2028"/>
      <c r="Z117" s="2028"/>
      <c r="AA117" s="2028"/>
      <c r="AB117" s="2028"/>
      <c r="AC117" s="2028"/>
    </row>
    <row r="118" spans="1:29" ht="15" thickTop="1">
      <c r="A118" s="727"/>
      <c r="B118" s="665">
        <f>B40</f>
        <v>111</v>
      </c>
      <c r="C118" s="680"/>
      <c r="D118" s="680"/>
      <c r="E118" s="680"/>
      <c r="F118" s="680"/>
      <c r="G118" s="680"/>
      <c r="H118" s="710"/>
      <c r="I118" s="710"/>
      <c r="J118" s="710"/>
      <c r="K118" s="711"/>
      <c r="L118" s="712"/>
      <c r="M118" s="713"/>
      <c r="N118" s="3229"/>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3230"/>
      <c r="O119" s="2048"/>
      <c r="P119" s="2047"/>
      <c r="Q119" s="2040"/>
      <c r="R119" s="2028"/>
      <c r="S119" s="2028"/>
      <c r="T119" s="2028"/>
      <c r="U119" s="2028"/>
      <c r="V119" s="2028"/>
      <c r="W119" s="2028"/>
      <c r="X119" s="2028"/>
      <c r="Y119" s="2028"/>
      <c r="Z119" s="2028"/>
      <c r="AA119" s="2028"/>
      <c r="AB119" s="2028"/>
      <c r="AC119" s="2028"/>
    </row>
    <row r="120" spans="1:29" ht="15" thickTop="1">
      <c r="A120" s="727"/>
      <c r="B120" s="665">
        <f>B41</f>
        <v>111</v>
      </c>
      <c r="C120" s="680"/>
      <c r="D120" s="680"/>
      <c r="E120" s="680"/>
      <c r="F120" s="680"/>
      <c r="G120" s="710"/>
      <c r="H120" s="710"/>
      <c r="I120" s="710"/>
      <c r="J120" s="710"/>
      <c r="K120" s="711"/>
      <c r="L120" s="712"/>
      <c r="M120" s="713"/>
      <c r="N120" s="3229"/>
      <c r="O120" s="2046"/>
      <c r="P120" s="2047"/>
      <c r="Q120" s="2040"/>
      <c r="R120" s="2028"/>
      <c r="S120" s="2028"/>
      <c r="T120" s="2028"/>
      <c r="U120" s="2028"/>
      <c r="V120" s="2028"/>
      <c r="W120" s="2028"/>
      <c r="X120" s="2028"/>
      <c r="Y120" s="2028"/>
      <c r="Z120" s="2028"/>
      <c r="AA120" s="2028"/>
      <c r="AB120" s="2028"/>
      <c r="AC120" s="2028"/>
    </row>
    <row r="121" spans="1:29" ht="15.75" thickBot="1">
      <c r="A121" s="661"/>
      <c r="B121" s="670"/>
      <c r="C121" s="684"/>
      <c r="D121" s="684"/>
      <c r="E121" s="684"/>
      <c r="F121" s="684"/>
      <c r="G121" s="663"/>
      <c r="H121" s="663"/>
      <c r="I121" s="663"/>
      <c r="J121" s="663"/>
      <c r="K121" s="663"/>
      <c r="L121" s="663"/>
      <c r="M121" s="664"/>
      <c r="N121" s="3230"/>
      <c r="O121" s="2048"/>
      <c r="P121" s="2047"/>
      <c r="Q121" s="2040"/>
      <c r="R121" s="2028"/>
      <c r="S121" s="2028"/>
      <c r="T121" s="2028"/>
      <c r="U121" s="2028"/>
      <c r="V121" s="2028"/>
      <c r="W121" s="2028"/>
      <c r="X121" s="2028"/>
      <c r="Y121" s="2028"/>
      <c r="Z121" s="2028"/>
      <c r="AA121" s="2028"/>
      <c r="AB121" s="2028"/>
      <c r="AC121" s="2028"/>
    </row>
    <row r="122" spans="1:29" s="1293" customFormat="1" ht="15" thickTop="1">
      <c r="A122" s="720"/>
      <c r="B122" s="665">
        <f>B42</f>
        <v>111</v>
      </c>
      <c r="C122" s="653"/>
      <c r="D122" s="653"/>
      <c r="E122" s="653"/>
      <c r="F122" s="653"/>
      <c r="G122" s="681"/>
      <c r="H122" s="681"/>
      <c r="I122" s="681"/>
      <c r="J122" s="681"/>
      <c r="K122" s="681"/>
      <c r="L122" s="682"/>
      <c r="M122" s="683"/>
      <c r="N122" s="3231"/>
      <c r="O122" s="2049"/>
      <c r="P122" s="2050"/>
      <c r="Q122" s="2051"/>
      <c r="R122" s="2052"/>
      <c r="S122" s="2052"/>
      <c r="T122" s="2052"/>
      <c r="U122" s="2052"/>
      <c r="V122" s="2052"/>
      <c r="W122" s="2052"/>
      <c r="X122" s="2052"/>
      <c r="Y122" s="2052"/>
      <c r="Z122" s="2052"/>
      <c r="AA122" s="2052"/>
      <c r="AB122" s="2052"/>
      <c r="AC122" s="2052"/>
    </row>
    <row r="123" spans="1:29" s="1293" customFormat="1" ht="15.75" thickBot="1">
      <c r="A123" s="690"/>
      <c r="B123" s="728"/>
      <c r="C123" s="692"/>
      <c r="D123" s="692"/>
      <c r="E123" s="692"/>
      <c r="F123" s="692"/>
      <c r="G123" s="718"/>
      <c r="H123" s="718"/>
      <c r="I123" s="718"/>
      <c r="J123" s="718"/>
      <c r="K123" s="718"/>
      <c r="L123" s="718"/>
      <c r="M123" s="719"/>
      <c r="N123" s="3231"/>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5" t="s">
        <v>2941</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30" customFormat="1" ht="19.5" customHeight="1">
      <c r="A18" s="3478" t="s">
        <v>998</v>
      </c>
      <c r="B18" s="1137" t="s">
        <v>1437</v>
      </c>
      <c r="C18" s="1114" t="s">
        <v>1438</v>
      </c>
      <c r="D18" s="1115"/>
      <c r="E18" s="1137">
        <v>1</v>
      </c>
      <c r="F18" s="1116" t="s">
        <v>1439</v>
      </c>
      <c r="G18" s="1117"/>
      <c r="H18" s="1088"/>
      <c r="I18" s="1088"/>
    </row>
    <row r="19" spans="1:9" s="1530" customFormat="1" ht="19.5" customHeight="1">
      <c r="A19" s="3478"/>
      <c r="B19" s="3478" t="s">
        <v>1440</v>
      </c>
      <c r="C19" s="1114" t="s">
        <v>1441</v>
      </c>
      <c r="D19" s="1115"/>
      <c r="E19" s="1137">
        <v>0.9</v>
      </c>
      <c r="F19" s="1116" t="s">
        <v>1442</v>
      </c>
      <c r="G19" s="1117"/>
      <c r="H19" s="1088"/>
      <c r="I19" s="1088"/>
    </row>
    <row r="20" spans="1:9" s="1530" customFormat="1" ht="19.5" customHeight="1">
      <c r="A20" s="3478"/>
      <c r="B20" s="3478"/>
      <c r="C20" s="1114" t="s">
        <v>1443</v>
      </c>
      <c r="D20" s="1115"/>
      <c r="E20" s="1137">
        <v>1.1000000000000001</v>
      </c>
      <c r="F20" s="1116" t="s">
        <v>1444</v>
      </c>
      <c r="G20" s="1117"/>
      <c r="H20" s="1088"/>
      <c r="I20" s="1088"/>
    </row>
    <row r="21" spans="1:9" s="1530" customFormat="1" ht="19.5" customHeight="1">
      <c r="A21" s="3478"/>
      <c r="B21" s="3478"/>
      <c r="C21" s="1114" t="s">
        <v>1445</v>
      </c>
      <c r="D21" s="1115"/>
      <c r="E21" s="1137">
        <v>0.8</v>
      </c>
      <c r="F21" s="1116" t="s">
        <v>1446</v>
      </c>
      <c r="G21" s="1117"/>
      <c r="H21" s="1088"/>
      <c r="I21" s="1088"/>
    </row>
    <row r="22" spans="1:9" s="1530" customFormat="1" ht="19.5" customHeight="1">
      <c r="A22" s="3478"/>
      <c r="B22" s="3478"/>
      <c r="C22" s="1114" t="s">
        <v>1447</v>
      </c>
      <c r="D22" s="1115"/>
      <c r="E22" s="1137">
        <v>0.5</v>
      </c>
      <c r="F22" s="1116"/>
      <c r="G22" s="1117"/>
      <c r="H22" s="1088"/>
      <c r="I22" s="1088"/>
    </row>
    <row r="23" spans="1:9" s="1530" customFormat="1" ht="19.5" customHeight="1">
      <c r="A23" s="3478" t="s">
        <v>1020</v>
      </c>
      <c r="B23" s="1137" t="s">
        <v>1437</v>
      </c>
      <c r="C23" s="1114" t="s">
        <v>1448</v>
      </c>
      <c r="D23" s="1115"/>
      <c r="E23" s="1137">
        <v>1</v>
      </c>
      <c r="F23" s="1116" t="s">
        <v>1449</v>
      </c>
      <c r="G23" s="1117"/>
      <c r="H23" s="1088"/>
      <c r="I23" s="1088"/>
    </row>
    <row r="24" spans="1:9" s="1530" customFormat="1" ht="19.5" customHeight="1">
      <c r="A24" s="3478"/>
      <c r="B24" s="3478" t="s">
        <v>1440</v>
      </c>
      <c r="C24" s="1114" t="s">
        <v>1450</v>
      </c>
      <c r="D24" s="1115"/>
      <c r="E24" s="1137">
        <v>0.5</v>
      </c>
      <c r="F24" s="1116"/>
      <c r="G24" s="1117"/>
      <c r="H24" s="1088"/>
      <c r="I24" s="1088"/>
    </row>
    <row r="25" spans="1:9" s="1530" customFormat="1" ht="19.5" customHeight="1">
      <c r="A25" s="3478"/>
      <c r="B25" s="3478"/>
      <c r="C25" s="1114" t="s">
        <v>1451</v>
      </c>
      <c r="D25" s="1115"/>
      <c r="E25" s="1137">
        <v>1.1000000000000001</v>
      </c>
      <c r="F25" s="1116"/>
      <c r="G25" s="1117"/>
      <c r="H25" s="1088"/>
      <c r="I25" s="1088"/>
    </row>
    <row r="26" spans="1:9" s="1530" customFormat="1" ht="19.5" customHeight="1">
      <c r="A26" s="3478"/>
      <c r="B26" s="3478"/>
      <c r="C26" s="1114" t="s">
        <v>1452</v>
      </c>
      <c r="D26" s="1115"/>
      <c r="E26" s="1137">
        <v>1.1000000000000001</v>
      </c>
      <c r="F26" s="1116"/>
      <c r="G26" s="1117"/>
      <c r="H26" s="1088"/>
      <c r="I26" s="1088"/>
    </row>
    <row r="27" spans="1:9" s="1530" customFormat="1" ht="19.5" customHeight="1">
      <c r="A27" s="3478"/>
      <c r="B27" s="3478"/>
      <c r="C27" s="1114" t="s">
        <v>1453</v>
      </c>
      <c r="D27" s="1115"/>
      <c r="E27" s="1137">
        <v>0.9</v>
      </c>
      <c r="F27" s="1116" t="s">
        <v>1454</v>
      </c>
      <c r="G27" s="1117"/>
      <c r="H27" s="1088"/>
      <c r="I27" s="1088"/>
    </row>
    <row r="28" spans="1:9" s="1530" customFormat="1" ht="19.5" customHeight="1">
      <c r="A28" s="3478"/>
      <c r="B28" s="3478"/>
      <c r="C28" s="1114" t="s">
        <v>1455</v>
      </c>
      <c r="D28" s="1115"/>
      <c r="E28" s="1137">
        <v>0.9</v>
      </c>
      <c r="F28" s="1116" t="s">
        <v>1456</v>
      </c>
      <c r="G28" s="1117"/>
      <c r="H28" s="1088"/>
      <c r="I28" s="1088"/>
    </row>
    <row r="29" spans="1:9" s="1530" customFormat="1" ht="19.5" customHeight="1">
      <c r="A29" s="3478"/>
      <c r="B29" s="3478"/>
      <c r="C29" s="1114" t="s">
        <v>1457</v>
      </c>
      <c r="D29" s="1115"/>
      <c r="E29" s="1137">
        <v>0.9</v>
      </c>
      <c r="F29" s="1116" t="s">
        <v>1458</v>
      </c>
      <c r="G29" s="1117"/>
      <c r="H29" s="1088"/>
      <c r="I29" s="1088"/>
    </row>
    <row r="30" spans="1:9" s="1530" customFormat="1" ht="19.5" customHeight="1">
      <c r="A30" s="3478"/>
      <c r="B30" s="3478"/>
      <c r="C30" s="1114" t="s">
        <v>1459</v>
      </c>
      <c r="D30" s="1115"/>
      <c r="E30" s="1137">
        <v>0.9</v>
      </c>
      <c r="F30" s="1116" t="s">
        <v>1460</v>
      </c>
      <c r="G30" s="1117"/>
      <c r="H30" s="1088"/>
      <c r="I30" s="1088"/>
    </row>
    <row r="31" spans="1:9" s="1530" customFormat="1" ht="19.5" customHeight="1">
      <c r="A31" s="3478"/>
      <c r="B31" s="3478"/>
      <c r="C31" s="1114" t="s">
        <v>1461</v>
      </c>
      <c r="D31" s="1115"/>
      <c r="E31" s="1137">
        <v>0.8</v>
      </c>
      <c r="F31" s="1116" t="s">
        <v>1462</v>
      </c>
      <c r="G31" s="1117"/>
      <c r="H31" s="1088"/>
      <c r="I31" s="1088"/>
    </row>
    <row r="32" spans="1:9" s="1530" customFormat="1" ht="19.5" customHeight="1">
      <c r="A32" s="3478"/>
      <c r="B32" s="3478"/>
      <c r="C32" s="1114" t="s">
        <v>1463</v>
      </c>
      <c r="D32" s="1115"/>
      <c r="E32" s="1137">
        <v>0.8</v>
      </c>
      <c r="F32" s="1116" t="s">
        <v>1464</v>
      </c>
      <c r="G32" s="1117"/>
      <c r="H32" s="1088"/>
      <c r="I32" s="1088"/>
    </row>
    <row r="33" spans="1:9" s="1530" customFormat="1" ht="19.5" customHeight="1">
      <c r="A33" s="3478" t="s">
        <v>1465</v>
      </c>
      <c r="B33" s="1137" t="s">
        <v>1437</v>
      </c>
      <c r="C33" s="1114" t="s">
        <v>1466</v>
      </c>
      <c r="D33" s="1115"/>
      <c r="E33" s="1137">
        <v>1</v>
      </c>
      <c r="F33" s="1116" t="s">
        <v>1467</v>
      </c>
      <c r="G33" s="1117"/>
      <c r="H33" s="1088"/>
      <c r="I33" s="1088"/>
    </row>
    <row r="34" spans="1:9" s="1530" customFormat="1" ht="19.5" customHeight="1">
      <c r="A34" s="3478"/>
      <c r="B34" s="1137" t="s">
        <v>1440</v>
      </c>
      <c r="C34" s="1114" t="s">
        <v>1468</v>
      </c>
      <c r="D34" s="1115"/>
      <c r="E34" s="1137">
        <v>1.5</v>
      </c>
      <c r="F34" s="1116" t="s">
        <v>1469</v>
      </c>
      <c r="G34" s="1117"/>
      <c r="H34" s="1088"/>
      <c r="I34" s="1088"/>
    </row>
    <row r="35" spans="1:9" s="1530" customFormat="1" ht="19.5" customHeight="1">
      <c r="A35" s="3478" t="s">
        <v>1423</v>
      </c>
      <c r="B35" s="1137" t="s">
        <v>1437</v>
      </c>
      <c r="C35" s="1114" t="s">
        <v>1470</v>
      </c>
      <c r="D35" s="1115"/>
      <c r="E35" s="1137">
        <v>1</v>
      </c>
      <c r="F35" s="1116" t="s">
        <v>1471</v>
      </c>
      <c r="G35" s="1117"/>
      <c r="H35" s="1088"/>
      <c r="I35" s="1088"/>
    </row>
    <row r="36" spans="1:9" s="1530" customFormat="1" ht="19.5" customHeight="1">
      <c r="A36" s="3478"/>
      <c r="B36" s="3478" t="s">
        <v>1440</v>
      </c>
      <c r="C36" s="1114" t="s">
        <v>1472</v>
      </c>
      <c r="D36" s="1115"/>
      <c r="E36" s="1137">
        <v>1</v>
      </c>
      <c r="F36" s="1116" t="s">
        <v>1473</v>
      </c>
      <c r="G36" s="1117"/>
      <c r="H36" s="1088"/>
      <c r="I36" s="1088"/>
    </row>
    <row r="37" spans="1:9" s="1530" customFormat="1" ht="19.5" customHeight="1">
      <c r="A37" s="3478"/>
      <c r="B37" s="3478"/>
      <c r="C37" s="1114" t="s">
        <v>1474</v>
      </c>
      <c r="D37" s="1115"/>
      <c r="E37" s="1137">
        <v>1.5</v>
      </c>
      <c r="F37" s="1116" t="s">
        <v>1475</v>
      </c>
      <c r="G37" s="1117"/>
      <c r="H37" s="1088"/>
      <c r="I37" s="1088"/>
    </row>
    <row r="38" spans="1:9" s="1530" customFormat="1" ht="19.5" customHeight="1">
      <c r="A38" s="3478"/>
      <c r="B38" s="3478"/>
      <c r="C38" s="1114" t="s">
        <v>1476</v>
      </c>
      <c r="D38" s="1115"/>
      <c r="E38" s="1137">
        <v>1</v>
      </c>
      <c r="F38" s="1116" t="s">
        <v>1477</v>
      </c>
      <c r="G38" s="1117"/>
      <c r="H38" s="1088"/>
      <c r="I38" s="1088"/>
    </row>
    <row r="39" spans="1:9" s="1530" customFormat="1" ht="19.5" customHeight="1">
      <c r="A39" s="3478"/>
      <c r="B39" s="3478"/>
      <c r="C39" s="1114" t="s">
        <v>1478</v>
      </c>
      <c r="D39" s="1115"/>
      <c r="E39" s="1137">
        <v>1</v>
      </c>
      <c r="F39" s="1116" t="s">
        <v>1479</v>
      </c>
      <c r="G39" s="1117"/>
      <c r="H39" s="1088"/>
      <c r="I39" s="1088"/>
    </row>
    <row r="40" spans="1:9" s="1530" customFormat="1" ht="19.5" customHeight="1">
      <c r="A40" s="1531" t="s">
        <v>1480</v>
      </c>
      <c r="B40" s="1531"/>
      <c r="C40" s="1531"/>
      <c r="D40" s="1531"/>
      <c r="E40" s="1531"/>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478" t="s">
        <v>1492</v>
      </c>
      <c r="C61" s="1051" t="s">
        <v>1493</v>
      </c>
      <c r="D61" s="1051" t="s">
        <v>1494</v>
      </c>
      <c r="E61" s="1122">
        <v>0.5</v>
      </c>
      <c r="F61" s="1137">
        <v>80</v>
      </c>
      <c r="H61" s="1088">
        <f>SUMIF(C59:C119,基准地价!C8,E59:E119)</f>
        <v>0</v>
      </c>
    </row>
    <row r="62" spans="1:8" s="1088" customFormat="1" ht="24">
      <c r="A62" s="1137">
        <v>2</v>
      </c>
      <c r="B62" s="3478"/>
      <c r="C62" s="1051" t="s">
        <v>1495</v>
      </c>
      <c r="D62" s="1051" t="s">
        <v>1496</v>
      </c>
      <c r="E62" s="1122">
        <v>0.5</v>
      </c>
      <c r="F62" s="1137">
        <v>80</v>
      </c>
    </row>
    <row r="63" spans="1:8" s="1088" customFormat="1" ht="36">
      <c r="A63" s="1137">
        <v>3</v>
      </c>
      <c r="B63" s="3478"/>
      <c r="C63" s="1051" t="s">
        <v>1497</v>
      </c>
      <c r="D63" s="1051" t="s">
        <v>1498</v>
      </c>
      <c r="E63" s="1122">
        <v>0.5</v>
      </c>
      <c r="F63" s="1137">
        <v>80</v>
      </c>
    </row>
    <row r="64" spans="1:8" s="1088" customFormat="1" ht="36">
      <c r="A64" s="1137">
        <v>4</v>
      </c>
      <c r="B64" s="3478"/>
      <c r="C64" s="1051" t="s">
        <v>1499</v>
      </c>
      <c r="D64" s="1051" t="s">
        <v>1500</v>
      </c>
      <c r="E64" s="1122">
        <v>0.4</v>
      </c>
      <c r="F64" s="1137">
        <v>60</v>
      </c>
    </row>
    <row r="65" spans="1:6" s="1088" customFormat="1" ht="36">
      <c r="A65" s="1137">
        <v>5</v>
      </c>
      <c r="B65" s="3478"/>
      <c r="C65" s="1051" t="s">
        <v>1501</v>
      </c>
      <c r="D65" s="1051" t="s">
        <v>1502</v>
      </c>
      <c r="E65" s="1122">
        <v>0.2</v>
      </c>
      <c r="F65" s="1137">
        <v>30</v>
      </c>
    </row>
    <row r="66" spans="1:6" s="1088" customFormat="1" ht="36">
      <c r="A66" s="1137">
        <v>6</v>
      </c>
      <c r="B66" s="3478"/>
      <c r="C66" s="1051" t="s">
        <v>1503</v>
      </c>
      <c r="D66" s="1051" t="s">
        <v>1504</v>
      </c>
      <c r="E66" s="1122">
        <v>0.3</v>
      </c>
      <c r="F66" s="1137">
        <v>50</v>
      </c>
    </row>
    <row r="67" spans="1:6" s="1088" customFormat="1" ht="36">
      <c r="A67" s="1137">
        <v>7</v>
      </c>
      <c r="B67" s="3478"/>
      <c r="C67" s="1051" t="s">
        <v>1505</v>
      </c>
      <c r="D67" s="1051" t="s">
        <v>1506</v>
      </c>
      <c r="E67" s="1122">
        <v>0.2</v>
      </c>
      <c r="F67" s="1137">
        <v>30</v>
      </c>
    </row>
    <row r="68" spans="1:6" s="1088" customFormat="1" ht="36">
      <c r="A68" s="1137">
        <v>8</v>
      </c>
      <c r="B68" s="3478"/>
      <c r="C68" s="1051" t="s">
        <v>1507</v>
      </c>
      <c r="D68" s="1051" t="s">
        <v>1508</v>
      </c>
      <c r="E68" s="1122">
        <v>0.2</v>
      </c>
      <c r="F68" s="1137">
        <v>30</v>
      </c>
    </row>
    <row r="69" spans="1:6" s="1088" customFormat="1" ht="36">
      <c r="A69" s="1137">
        <v>9</v>
      </c>
      <c r="B69" s="3478"/>
      <c r="C69" s="1051" t="s">
        <v>1509</v>
      </c>
      <c r="D69" s="1051" t="s">
        <v>1510</v>
      </c>
      <c r="E69" s="1122">
        <v>0.2</v>
      </c>
      <c r="F69" s="1137">
        <v>30</v>
      </c>
    </row>
    <row r="70" spans="1:6" s="1088" customFormat="1" ht="48">
      <c r="A70" s="1137">
        <v>10</v>
      </c>
      <c r="B70" s="3478"/>
      <c r="C70" s="1051" t="s">
        <v>1511</v>
      </c>
      <c r="D70" s="1051" t="s">
        <v>1512</v>
      </c>
      <c r="E70" s="1122">
        <v>0.2</v>
      </c>
      <c r="F70" s="1137">
        <v>30</v>
      </c>
    </row>
    <row r="71" spans="1:6" s="1088" customFormat="1" ht="48">
      <c r="A71" s="1137">
        <v>11</v>
      </c>
      <c r="B71" s="3478"/>
      <c r="C71" s="1051" t="s">
        <v>1513</v>
      </c>
      <c r="D71" s="1051" t="s">
        <v>1514</v>
      </c>
      <c r="E71" s="1122">
        <v>0.2</v>
      </c>
      <c r="F71" s="1137">
        <v>30</v>
      </c>
    </row>
    <row r="72" spans="1:6" s="1088" customFormat="1" ht="36">
      <c r="A72" s="1137">
        <v>12</v>
      </c>
      <c r="B72" s="3478"/>
      <c r="C72" s="1051" t="s">
        <v>1515</v>
      </c>
      <c r="D72" s="1051" t="s">
        <v>1516</v>
      </c>
      <c r="E72" s="1122">
        <v>0.5</v>
      </c>
      <c r="F72" s="1137">
        <v>80</v>
      </c>
    </row>
    <row r="73" spans="1:6" s="1088" customFormat="1" ht="24">
      <c r="A73" s="1137">
        <v>13</v>
      </c>
      <c r="B73" s="3478"/>
      <c r="C73" s="1051" t="s">
        <v>1517</v>
      </c>
      <c r="D73" s="1051" t="s">
        <v>1518</v>
      </c>
      <c r="E73" s="1122">
        <v>0.4</v>
      </c>
      <c r="F73" s="1137">
        <v>60</v>
      </c>
    </row>
    <row r="74" spans="1:6" s="1088" customFormat="1" ht="24">
      <c r="A74" s="1137">
        <v>14</v>
      </c>
      <c r="B74" s="3478"/>
      <c r="C74" s="1051" t="s">
        <v>1519</v>
      </c>
      <c r="D74" s="1051" t="s">
        <v>1520</v>
      </c>
      <c r="E74" s="1122">
        <v>0.2</v>
      </c>
      <c r="F74" s="1137">
        <v>30</v>
      </c>
    </row>
    <row r="75" spans="1:6" s="1088" customFormat="1" ht="24">
      <c r="A75" s="1137">
        <v>15</v>
      </c>
      <c r="B75" s="3478"/>
      <c r="C75" s="1051" t="s">
        <v>1521</v>
      </c>
      <c r="D75" s="1051" t="s">
        <v>1522</v>
      </c>
      <c r="E75" s="1122">
        <v>0.2</v>
      </c>
      <c r="F75" s="1137">
        <v>30</v>
      </c>
    </row>
    <row r="76" spans="1:6" s="1088" customFormat="1" ht="24">
      <c r="A76" s="1137">
        <v>16</v>
      </c>
      <c r="B76" s="3478" t="s">
        <v>1523</v>
      </c>
      <c r="C76" s="1051" t="s">
        <v>1524</v>
      </c>
      <c r="D76" s="1051" t="s">
        <v>1525</v>
      </c>
      <c r="E76" s="1122">
        <v>0.5</v>
      </c>
      <c r="F76" s="1137">
        <v>80</v>
      </c>
    </row>
    <row r="77" spans="1:6" s="1088" customFormat="1" ht="24">
      <c r="A77" s="1137">
        <v>17</v>
      </c>
      <c r="B77" s="3478"/>
      <c r="C77" s="1051" t="s">
        <v>1526</v>
      </c>
      <c r="D77" s="1051" t="s">
        <v>1527</v>
      </c>
      <c r="E77" s="1122">
        <v>0.5</v>
      </c>
      <c r="F77" s="1137">
        <v>80</v>
      </c>
    </row>
    <row r="78" spans="1:6" s="1088" customFormat="1" ht="24">
      <c r="A78" s="1137">
        <v>18</v>
      </c>
      <c r="B78" s="3478"/>
      <c r="C78" s="1051" t="s">
        <v>1528</v>
      </c>
      <c r="D78" s="1051" t="s">
        <v>1529</v>
      </c>
      <c r="E78" s="1122">
        <v>0.2</v>
      </c>
      <c r="F78" s="1137">
        <v>30</v>
      </c>
    </row>
    <row r="79" spans="1:6" s="1088" customFormat="1" ht="24">
      <c r="A79" s="1137">
        <v>19</v>
      </c>
      <c r="B79" s="3478"/>
      <c r="C79" s="1051" t="s">
        <v>1530</v>
      </c>
      <c r="D79" s="1051" t="s">
        <v>1531</v>
      </c>
      <c r="E79" s="1122">
        <v>0.5</v>
      </c>
      <c r="F79" s="1137">
        <v>80</v>
      </c>
    </row>
    <row r="80" spans="1:6" s="1088" customFormat="1" ht="36">
      <c r="A80" s="1137">
        <v>20</v>
      </c>
      <c r="B80" s="3478"/>
      <c r="C80" s="1051" t="s">
        <v>1532</v>
      </c>
      <c r="D80" s="1051" t="s">
        <v>1533</v>
      </c>
      <c r="E80" s="1122">
        <v>0.2</v>
      </c>
      <c r="F80" s="1137">
        <v>30</v>
      </c>
    </row>
    <row r="81" spans="1:6" s="1088" customFormat="1" ht="36">
      <c r="A81" s="1137">
        <v>21</v>
      </c>
      <c r="B81" s="3478"/>
      <c r="C81" s="1051" t="s">
        <v>1534</v>
      </c>
      <c r="D81" s="1051" t="s">
        <v>1535</v>
      </c>
      <c r="E81" s="1122">
        <v>0.2</v>
      </c>
      <c r="F81" s="1137">
        <v>30</v>
      </c>
    </row>
    <row r="82" spans="1:6" s="1088" customFormat="1" ht="48">
      <c r="A82" s="1137">
        <v>22</v>
      </c>
      <c r="B82" s="3478"/>
      <c r="C82" s="1051" t="s">
        <v>1536</v>
      </c>
      <c r="D82" s="1051" t="s">
        <v>1537</v>
      </c>
      <c r="E82" s="1122">
        <v>0.2</v>
      </c>
      <c r="F82" s="1137">
        <v>30</v>
      </c>
    </row>
    <row r="83" spans="1:6" s="1088" customFormat="1" ht="48">
      <c r="A83" s="1137">
        <v>23</v>
      </c>
      <c r="B83" s="3478"/>
      <c r="C83" s="1051" t="s">
        <v>1538</v>
      </c>
      <c r="D83" s="1051" t="s">
        <v>1539</v>
      </c>
      <c r="E83" s="1122">
        <v>0.2</v>
      </c>
      <c r="F83" s="1137">
        <v>30</v>
      </c>
    </row>
    <row r="84" spans="1:6" s="1088" customFormat="1" ht="36">
      <c r="A84" s="1137">
        <v>24</v>
      </c>
      <c r="B84" s="3478"/>
      <c r="C84" s="1051" t="s">
        <v>1540</v>
      </c>
      <c r="D84" s="1051" t="s">
        <v>1541</v>
      </c>
      <c r="E84" s="1122">
        <v>0.2</v>
      </c>
      <c r="F84" s="1137">
        <v>30</v>
      </c>
    </row>
    <row r="85" spans="1:6" s="1088" customFormat="1" ht="36">
      <c r="A85" s="1137">
        <v>25</v>
      </c>
      <c r="B85" s="3478"/>
      <c r="C85" s="1051" t="s">
        <v>1542</v>
      </c>
      <c r="D85" s="1051" t="s">
        <v>1543</v>
      </c>
      <c r="E85" s="1122">
        <v>0.5</v>
      </c>
      <c r="F85" s="1137">
        <v>80</v>
      </c>
    </row>
    <row r="86" spans="1:6" s="1088" customFormat="1" ht="36">
      <c r="A86" s="1137">
        <v>26</v>
      </c>
      <c r="B86" s="3478"/>
      <c r="C86" s="1051" t="s">
        <v>1544</v>
      </c>
      <c r="D86" s="1051" t="s">
        <v>1545</v>
      </c>
      <c r="E86" s="1122">
        <v>0.2</v>
      </c>
      <c r="F86" s="1137">
        <v>30</v>
      </c>
    </row>
    <row r="87" spans="1:6" s="1088" customFormat="1" ht="36">
      <c r="A87" s="1137">
        <v>27</v>
      </c>
      <c r="B87" s="3478"/>
      <c r="C87" s="1051" t="s">
        <v>1546</v>
      </c>
      <c r="D87" s="1051" t="s">
        <v>1547</v>
      </c>
      <c r="E87" s="1122">
        <v>0.2</v>
      </c>
      <c r="F87" s="1137">
        <v>30</v>
      </c>
    </row>
    <row r="88" spans="1:6" s="1088" customFormat="1" ht="36">
      <c r="A88" s="1137">
        <v>28</v>
      </c>
      <c r="B88" s="3478"/>
      <c r="C88" s="1051" t="s">
        <v>1548</v>
      </c>
      <c r="D88" s="1051" t="s">
        <v>1549</v>
      </c>
      <c r="E88" s="1122">
        <v>0.2</v>
      </c>
      <c r="F88" s="1137">
        <v>30</v>
      </c>
    </row>
    <row r="89" spans="1:6" s="1088" customFormat="1" ht="24">
      <c r="A89" s="1137">
        <v>29</v>
      </c>
      <c r="B89" s="3478"/>
      <c r="C89" s="1051" t="s">
        <v>1550</v>
      </c>
      <c r="D89" s="1051" t="s">
        <v>1551</v>
      </c>
      <c r="E89" s="1122">
        <v>0.2</v>
      </c>
      <c r="F89" s="1137">
        <v>30</v>
      </c>
    </row>
    <row r="90" spans="1:6" s="1088" customFormat="1" ht="24">
      <c r="A90" s="1137">
        <v>30</v>
      </c>
      <c r="B90" s="3478"/>
      <c r="C90" s="1051" t="s">
        <v>1552</v>
      </c>
      <c r="D90" s="1051" t="s">
        <v>1553</v>
      </c>
      <c r="E90" s="1122">
        <v>0.2</v>
      </c>
      <c r="F90" s="1137">
        <v>30</v>
      </c>
    </row>
    <row r="91" spans="1:6" s="1088" customFormat="1" ht="36">
      <c r="A91" s="1137">
        <v>31</v>
      </c>
      <c r="B91" s="3478"/>
      <c r="C91" s="1051" t="s">
        <v>1554</v>
      </c>
      <c r="D91" s="1051" t="s">
        <v>1555</v>
      </c>
      <c r="E91" s="1122">
        <v>0.2</v>
      </c>
      <c r="F91" s="1137">
        <v>30</v>
      </c>
    </row>
    <row r="92" spans="1:6" s="1088" customFormat="1" ht="24">
      <c r="A92" s="1137">
        <v>32</v>
      </c>
      <c r="B92" s="3478" t="s">
        <v>1556</v>
      </c>
      <c r="C92" s="1137" t="s">
        <v>1557</v>
      </c>
      <c r="D92" s="1051" t="s">
        <v>1558</v>
      </c>
      <c r="E92" s="1122">
        <v>0.2</v>
      </c>
      <c r="F92" s="1137">
        <v>30</v>
      </c>
    </row>
    <row r="93" spans="1:6" s="1088" customFormat="1" ht="36">
      <c r="A93" s="1137">
        <v>33</v>
      </c>
      <c r="B93" s="3478"/>
      <c r="C93" s="1137" t="s">
        <v>1559</v>
      </c>
      <c r="D93" s="1051" t="s">
        <v>1560</v>
      </c>
      <c r="E93" s="1122">
        <v>0.2</v>
      </c>
      <c r="F93" s="1137">
        <v>30</v>
      </c>
    </row>
    <row r="94" spans="1:6" s="1088" customFormat="1" ht="48">
      <c r="A94" s="1137">
        <v>34</v>
      </c>
      <c r="B94" s="3478"/>
      <c r="C94" s="1137" t="s">
        <v>1561</v>
      </c>
      <c r="D94" s="1051" t="s">
        <v>1562</v>
      </c>
      <c r="E94" s="1122">
        <v>0.2</v>
      </c>
      <c r="F94" s="1137">
        <v>30</v>
      </c>
    </row>
    <row r="95" spans="1:6" s="1088" customFormat="1" ht="36">
      <c r="A95" s="1137">
        <v>35</v>
      </c>
      <c r="B95" s="3478"/>
      <c r="C95" s="1137" t="s">
        <v>1563</v>
      </c>
      <c r="D95" s="1051" t="s">
        <v>1564</v>
      </c>
      <c r="E95" s="1122">
        <v>0.2</v>
      </c>
      <c r="F95" s="1137">
        <v>30</v>
      </c>
    </row>
    <row r="96" spans="1:6" s="1088" customFormat="1" ht="48">
      <c r="A96" s="1137">
        <v>36</v>
      </c>
      <c r="B96" s="3478"/>
      <c r="C96" s="1051" t="s">
        <v>1565</v>
      </c>
      <c r="D96" s="1051" t="s">
        <v>1566</v>
      </c>
      <c r="E96" s="1122">
        <v>0.2</v>
      </c>
      <c r="F96" s="1137">
        <v>30</v>
      </c>
    </row>
    <row r="97" spans="1:6" s="1088" customFormat="1" ht="36">
      <c r="A97" s="1137">
        <v>37</v>
      </c>
      <c r="B97" s="3478"/>
      <c r="C97" s="1137" t="s">
        <v>1567</v>
      </c>
      <c r="D97" s="1051" t="s">
        <v>1568</v>
      </c>
      <c r="E97" s="1122">
        <v>0.2</v>
      </c>
      <c r="F97" s="1137">
        <v>30</v>
      </c>
    </row>
    <row r="98" spans="1:6" s="1088" customFormat="1" ht="36">
      <c r="A98" s="1137">
        <v>38</v>
      </c>
      <c r="B98" s="3478"/>
      <c r="C98" s="1137" t="s">
        <v>1569</v>
      </c>
      <c r="D98" s="1051" t="s">
        <v>1570</v>
      </c>
      <c r="E98" s="1122">
        <v>0.2</v>
      </c>
      <c r="F98" s="1137">
        <v>30</v>
      </c>
    </row>
    <row r="99" spans="1:6" s="1088" customFormat="1" ht="36">
      <c r="A99" s="1137">
        <v>39</v>
      </c>
      <c r="B99" s="3478" t="s">
        <v>1571</v>
      </c>
      <c r="C99" s="1137" t="s">
        <v>1572</v>
      </c>
      <c r="D99" s="1051" t="s">
        <v>1573</v>
      </c>
      <c r="E99" s="1122">
        <v>0.3</v>
      </c>
      <c r="F99" s="1137">
        <v>50</v>
      </c>
    </row>
    <row r="100" spans="1:6" s="1088" customFormat="1" ht="24">
      <c r="A100" s="1137">
        <v>40</v>
      </c>
      <c r="B100" s="3478"/>
      <c r="C100" s="1137" t="s">
        <v>1574</v>
      </c>
      <c r="D100" s="1051" t="s">
        <v>1575</v>
      </c>
      <c r="E100" s="1122">
        <v>0.2</v>
      </c>
      <c r="F100" s="1137">
        <v>30</v>
      </c>
    </row>
    <row r="101" spans="1:6" s="1088" customFormat="1" ht="36">
      <c r="A101" s="1137">
        <v>41</v>
      </c>
      <c r="B101" s="3478"/>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478" t="s">
        <v>1586</v>
      </c>
      <c r="C105" s="1137" t="s">
        <v>1587</v>
      </c>
      <c r="D105" s="1051" t="s">
        <v>1588</v>
      </c>
      <c r="E105" s="1122">
        <v>0.2</v>
      </c>
      <c r="F105" s="1137">
        <v>30</v>
      </c>
    </row>
    <row r="106" spans="1:6" s="1088" customFormat="1" ht="36">
      <c r="A106" s="1137">
        <v>46</v>
      </c>
      <c r="B106" s="3478"/>
      <c r="C106" s="1137" t="s">
        <v>1589</v>
      </c>
      <c r="D106" s="1051" t="s">
        <v>1590</v>
      </c>
      <c r="E106" s="1122">
        <v>0.2</v>
      </c>
      <c r="F106" s="1137">
        <v>30</v>
      </c>
    </row>
    <row r="107" spans="1:6" s="1088" customFormat="1" ht="36">
      <c r="A107" s="1137">
        <v>47</v>
      </c>
      <c r="B107" s="3478" t="s">
        <v>1591</v>
      </c>
      <c r="C107" s="1137" t="s">
        <v>1592</v>
      </c>
      <c r="D107" s="1051" t="s">
        <v>1593</v>
      </c>
      <c r="E107" s="1122">
        <v>0.3</v>
      </c>
      <c r="F107" s="1137">
        <v>50</v>
      </c>
    </row>
    <row r="108" spans="1:6" s="1088" customFormat="1" ht="36">
      <c r="A108" s="1137">
        <v>48</v>
      </c>
      <c r="B108" s="3478"/>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478" t="s">
        <v>1602</v>
      </c>
      <c r="C111" s="1137" t="s">
        <v>1603</v>
      </c>
      <c r="D111" s="1051" t="s">
        <v>1604</v>
      </c>
      <c r="E111" s="1122">
        <v>0.2</v>
      </c>
      <c r="F111" s="1137">
        <v>30</v>
      </c>
    </row>
    <row r="112" spans="1:6" s="1088" customFormat="1" ht="24">
      <c r="A112" s="1137">
        <v>52</v>
      </c>
      <c r="B112" s="3478"/>
      <c r="C112" s="1137" t="s">
        <v>1605</v>
      </c>
      <c r="D112" s="1051" t="s">
        <v>1606</v>
      </c>
      <c r="E112" s="1122">
        <v>0.2</v>
      </c>
      <c r="F112" s="1137">
        <v>30</v>
      </c>
    </row>
    <row r="113" spans="1:14" s="1088" customFormat="1" ht="24">
      <c r="A113" s="1137">
        <v>53</v>
      </c>
      <c r="B113" s="3478"/>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478" t="s">
        <v>1615</v>
      </c>
      <c r="C116" s="1137" t="s">
        <v>1616</v>
      </c>
      <c r="D116" s="1051" t="s">
        <v>1617</v>
      </c>
      <c r="E116" s="1122">
        <v>0.2</v>
      </c>
      <c r="F116" s="1137">
        <v>30</v>
      </c>
    </row>
    <row r="117" spans="1:14" ht="36">
      <c r="A117" s="1137">
        <v>57</v>
      </c>
      <c r="B117" s="3478"/>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477" t="s">
        <v>1624</v>
      </c>
      <c r="B121" s="3477"/>
      <c r="C121" s="3477"/>
      <c r="D121" s="3477"/>
      <c r="E121" s="3477"/>
      <c r="F121" s="3477"/>
      <c r="G121" s="3477"/>
      <c r="H121" s="3477"/>
      <c r="I121" s="3477"/>
      <c r="J121" s="3477"/>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47" t="s">
        <v>1030</v>
      </c>
      <c r="B1" s="3547"/>
      <c r="C1" s="3547"/>
      <c r="D1" s="3547"/>
      <c r="E1" s="3547"/>
      <c r="F1" s="3547"/>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48" t="s">
        <v>1043</v>
      </c>
      <c r="B2" s="3548"/>
      <c r="C2" s="3548"/>
      <c r="D2" s="3548"/>
      <c r="E2" s="3548"/>
      <c r="F2" s="3548"/>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49"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50"/>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5480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2407</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2408</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03" workbookViewId="0">
      <selection activeCell="J128" sqref="A128:J132"/>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1</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5" customWidth="1"/>
    <col min="2" max="2" width="10.25" style="1796" customWidth="1"/>
  </cols>
  <sheetData>
    <row r="1" spans="1:6">
      <c r="A1" s="3551" t="s">
        <v>2068</v>
      </c>
      <c r="B1" s="3551"/>
    </row>
    <row r="2" spans="1:6" ht="14.25" thickBot="1">
      <c r="A2" s="1766"/>
      <c r="B2" s="1766"/>
    </row>
    <row r="3" spans="1:6" ht="14.25" thickBot="1">
      <c r="A3" s="1766"/>
      <c r="B3" s="1766"/>
      <c r="C3" s="1767" t="s">
        <v>2069</v>
      </c>
      <c r="D3" s="1767" t="s">
        <v>2070</v>
      </c>
      <c r="E3" s="1767" t="s">
        <v>2071</v>
      </c>
      <c r="F3" s="1767" t="s">
        <v>2072</v>
      </c>
    </row>
    <row r="4" spans="1:6" ht="14.25" thickBot="1">
      <c r="A4" s="1768" t="s">
        <v>2073</v>
      </c>
      <c r="B4" s="1769" t="s">
        <v>2074</v>
      </c>
      <c r="C4" s="1767"/>
      <c r="D4" s="1767"/>
      <c r="E4" s="1767"/>
      <c r="F4" s="1767"/>
    </row>
    <row r="5" spans="1:6" ht="14.25" thickBot="1">
      <c r="A5" s="1770" t="s">
        <v>2075</v>
      </c>
      <c r="B5" s="1771" t="s">
        <v>2076</v>
      </c>
      <c r="C5" s="1772">
        <v>8.8999999999999996E-2</v>
      </c>
      <c r="D5" s="1772">
        <v>7.3999999999999996E-2</v>
      </c>
      <c r="E5" s="1772">
        <v>7.4999999999999997E-2</v>
      </c>
      <c r="F5" s="1773">
        <v>0.1</v>
      </c>
    </row>
    <row r="6" spans="1:6" ht="14.25" thickBot="1">
      <c r="A6" s="1770" t="s">
        <v>1087</v>
      </c>
      <c r="B6" s="1774" t="s">
        <v>2077</v>
      </c>
      <c r="C6" s="1775">
        <v>0.1</v>
      </c>
      <c r="D6" s="1775">
        <v>9.0999999999999998E-2</v>
      </c>
      <c r="E6" s="1775">
        <v>9.0999999999999998E-2</v>
      </c>
      <c r="F6" s="1776">
        <v>0.1</v>
      </c>
    </row>
    <row r="7" spans="1:6" ht="14.25" thickBot="1">
      <c r="A7" s="1770" t="s">
        <v>1087</v>
      </c>
      <c r="B7" s="1777" t="s">
        <v>1075</v>
      </c>
      <c r="C7" s="1775">
        <v>8.5999999999999993E-2</v>
      </c>
      <c r="D7" s="1775">
        <v>9.6000000000000002E-2</v>
      </c>
      <c r="E7" s="1775">
        <v>7.5999999999999998E-2</v>
      </c>
      <c r="F7" s="1776">
        <v>0.1</v>
      </c>
    </row>
    <row r="8" spans="1:6" ht="14.25" thickBot="1">
      <c r="A8" s="1770" t="s">
        <v>1087</v>
      </c>
      <c r="B8" s="1774" t="s">
        <v>1088</v>
      </c>
      <c r="C8" s="1775">
        <v>9.9000000000000005E-2</v>
      </c>
      <c r="D8" s="1775">
        <v>9.8000000000000004E-2</v>
      </c>
      <c r="E8" s="1775">
        <v>9.8000000000000004E-2</v>
      </c>
      <c r="F8" s="1776">
        <v>0.1</v>
      </c>
    </row>
    <row r="9" spans="1:6" ht="14.25" thickBot="1">
      <c r="A9" s="1778" t="s">
        <v>1087</v>
      </c>
      <c r="B9" s="1779" t="s">
        <v>1102</v>
      </c>
      <c r="C9" s="1780">
        <v>0.05</v>
      </c>
      <c r="D9" s="1781"/>
      <c r="E9" s="1781"/>
      <c r="F9" s="1782"/>
    </row>
    <row r="10" spans="1:6" ht="14.25" thickBot="1">
      <c r="A10" s="1770" t="s">
        <v>1146</v>
      </c>
      <c r="B10" s="1771" t="s">
        <v>2078</v>
      </c>
      <c r="C10" s="1772">
        <v>8.8999999999999996E-2</v>
      </c>
      <c r="D10" s="1772">
        <v>7.2999999999999995E-2</v>
      </c>
      <c r="E10" s="1772">
        <v>8.2000000000000003E-2</v>
      </c>
      <c r="F10" s="1773">
        <v>0.1</v>
      </c>
    </row>
    <row r="11" spans="1:6" ht="14.25" thickBot="1">
      <c r="A11" s="1770" t="s">
        <v>1146</v>
      </c>
      <c r="B11" s="1777" t="s">
        <v>1062</v>
      </c>
      <c r="C11" s="1775">
        <v>8.8999999999999996E-2</v>
      </c>
      <c r="D11" s="1775">
        <v>7.2999999999999995E-2</v>
      </c>
      <c r="E11" s="1775">
        <v>8.2000000000000003E-2</v>
      </c>
      <c r="F11" s="1776">
        <v>0.1</v>
      </c>
    </row>
    <row r="12" spans="1:6" ht="14.25" thickBot="1">
      <c r="A12" s="1770" t="s">
        <v>1146</v>
      </c>
      <c r="B12" s="1777" t="s">
        <v>1076</v>
      </c>
      <c r="C12" s="1775">
        <v>6.0999999999999999E-2</v>
      </c>
      <c r="D12" s="1775">
        <v>7.0999999999999994E-2</v>
      </c>
      <c r="E12" s="1775">
        <v>9.6000000000000002E-2</v>
      </c>
      <c r="F12" s="1776">
        <v>0.1</v>
      </c>
    </row>
    <row r="13" spans="1:6" ht="14.25" thickBot="1">
      <c r="A13" s="1770" t="s">
        <v>1146</v>
      </c>
      <c r="B13" s="1777" t="s">
        <v>1089</v>
      </c>
      <c r="C13" s="1775">
        <v>6.9000000000000006E-2</v>
      </c>
      <c r="D13" s="1775">
        <v>6.5000000000000002E-2</v>
      </c>
      <c r="E13" s="1775">
        <v>6.6000000000000003E-2</v>
      </c>
      <c r="F13" s="1776">
        <v>0.1</v>
      </c>
    </row>
    <row r="14" spans="1:6" ht="14.25" thickBot="1">
      <c r="A14" s="1770" t="s">
        <v>1146</v>
      </c>
      <c r="B14" s="1777" t="s">
        <v>1103</v>
      </c>
      <c r="C14" s="1775">
        <v>0.1</v>
      </c>
      <c r="D14" s="1775">
        <v>6.5000000000000002E-2</v>
      </c>
      <c r="E14" s="1775">
        <v>7.0000000000000007E-2</v>
      </c>
      <c r="F14" s="1776">
        <v>0.1</v>
      </c>
    </row>
    <row r="15" spans="1:6" ht="14.25" thickBot="1">
      <c r="A15" s="1770" t="s">
        <v>1146</v>
      </c>
      <c r="B15" s="1777" t="s">
        <v>1114</v>
      </c>
      <c r="C15" s="1775">
        <v>9.8000000000000004E-2</v>
      </c>
      <c r="D15" s="1775">
        <v>8.8999999999999996E-2</v>
      </c>
      <c r="E15" s="1775">
        <v>8.8999999999999996E-2</v>
      </c>
      <c r="F15" s="1776">
        <v>0.1</v>
      </c>
    </row>
    <row r="16" spans="1:6" ht="14.25" thickBot="1">
      <c r="A16" s="1770" t="s">
        <v>1146</v>
      </c>
      <c r="B16" s="1777" t="s">
        <v>1125</v>
      </c>
      <c r="C16" s="1775">
        <v>7.0000000000000007E-2</v>
      </c>
      <c r="D16" s="1775">
        <v>9.2999999999999999E-2</v>
      </c>
      <c r="E16" s="1775">
        <v>9.6000000000000002E-2</v>
      </c>
      <c r="F16" s="1776">
        <v>0.1</v>
      </c>
    </row>
    <row r="17" spans="1:6" ht="14.25" thickBot="1">
      <c r="A17" s="1770" t="s">
        <v>1146</v>
      </c>
      <c r="B17" s="1777" t="s">
        <v>1136</v>
      </c>
      <c r="C17" s="1775">
        <v>9.5000000000000001E-2</v>
      </c>
      <c r="D17" s="1775">
        <v>0.1</v>
      </c>
      <c r="E17" s="1775">
        <v>0.1</v>
      </c>
      <c r="F17" s="1783"/>
    </row>
    <row r="18" spans="1:6" ht="14.25" thickBot="1">
      <c r="A18" s="1770" t="s">
        <v>1146</v>
      </c>
      <c r="B18" s="1777" t="s">
        <v>1148</v>
      </c>
      <c r="C18" s="1775">
        <v>7.3999999999999996E-2</v>
      </c>
      <c r="D18" s="1775">
        <v>9.9000000000000005E-2</v>
      </c>
      <c r="E18" s="1775">
        <v>0.1</v>
      </c>
      <c r="F18" s="1783"/>
    </row>
    <row r="19" spans="1:6" ht="14.25" thickBot="1">
      <c r="A19" s="1770" t="s">
        <v>1146</v>
      </c>
      <c r="B19" s="1777" t="s">
        <v>1158</v>
      </c>
      <c r="C19" s="1775">
        <v>9.9000000000000005E-2</v>
      </c>
      <c r="D19" s="1775">
        <v>7.5999999999999998E-2</v>
      </c>
      <c r="E19" s="1775">
        <v>8.6999999999999994E-2</v>
      </c>
      <c r="F19" s="1783"/>
    </row>
    <row r="20" spans="1:6" ht="14.25" thickBot="1">
      <c r="A20" s="1770" t="s">
        <v>1146</v>
      </c>
      <c r="B20" s="1777" t="s">
        <v>1168</v>
      </c>
      <c r="C20" s="1775">
        <v>9.8000000000000004E-2</v>
      </c>
      <c r="D20" s="1775">
        <v>8.5000000000000006E-2</v>
      </c>
      <c r="E20" s="1775">
        <v>8.2000000000000003E-2</v>
      </c>
      <c r="F20" s="1783"/>
    </row>
    <row r="21" spans="1:6" ht="14.25" thickBot="1">
      <c r="A21" s="1770" t="s">
        <v>1146</v>
      </c>
      <c r="B21" s="1777" t="s">
        <v>1178</v>
      </c>
      <c r="C21" s="1775">
        <v>6.6000000000000003E-2</v>
      </c>
      <c r="D21" s="1775">
        <v>6.4000000000000001E-2</v>
      </c>
      <c r="E21" s="1775">
        <v>6.5000000000000002E-2</v>
      </c>
      <c r="F21" s="1783"/>
    </row>
    <row r="22" spans="1:6" ht="14.25" thickBot="1">
      <c r="A22" s="1770" t="s">
        <v>1146</v>
      </c>
      <c r="B22" s="1777" t="s">
        <v>2079</v>
      </c>
      <c r="C22" s="1775">
        <v>0.08</v>
      </c>
      <c r="D22" s="1775">
        <v>9.8000000000000004E-2</v>
      </c>
      <c r="E22" s="1775">
        <v>9.8000000000000004E-2</v>
      </c>
      <c r="F22" s="1783"/>
    </row>
    <row r="23" spans="1:6" ht="14.25" thickBot="1">
      <c r="A23" s="1770" t="s">
        <v>1146</v>
      </c>
      <c r="B23" s="1777" t="s">
        <v>1198</v>
      </c>
      <c r="C23" s="1775">
        <v>9.9000000000000005E-2</v>
      </c>
      <c r="D23" s="1775">
        <v>9.8000000000000004E-2</v>
      </c>
      <c r="E23" s="1775">
        <v>9.0999999999999998E-2</v>
      </c>
      <c r="F23" s="1783"/>
    </row>
    <row r="24" spans="1:6" ht="14.25" thickBot="1">
      <c r="A24" s="1770" t="s">
        <v>1146</v>
      </c>
      <c r="B24" s="1777" t="s">
        <v>1208</v>
      </c>
      <c r="C24" s="1775">
        <v>8.8999999999999996E-2</v>
      </c>
      <c r="D24" s="1775">
        <v>9.7000000000000003E-2</v>
      </c>
      <c r="E24" s="1775">
        <v>7.0000000000000007E-2</v>
      </c>
      <c r="F24" s="1783"/>
    </row>
    <row r="25" spans="1:6" ht="14.25" thickBot="1">
      <c r="A25" s="1770" t="s">
        <v>1146</v>
      </c>
      <c r="B25" s="1777" t="s">
        <v>1218</v>
      </c>
      <c r="C25" s="1775">
        <v>8.8999999999999996E-2</v>
      </c>
      <c r="D25" s="1775">
        <v>0.1</v>
      </c>
      <c r="E25" s="1775">
        <v>8.1000000000000003E-2</v>
      </c>
      <c r="F25" s="1783"/>
    </row>
    <row r="26" spans="1:6" ht="14.25" thickBot="1">
      <c r="A26" s="1770" t="s">
        <v>1146</v>
      </c>
      <c r="B26" s="1777" t="s">
        <v>1228</v>
      </c>
      <c r="C26" s="1784"/>
      <c r="D26" s="1775">
        <v>9.6000000000000002E-2</v>
      </c>
      <c r="E26" s="1775">
        <v>9.2999999999999999E-2</v>
      </c>
      <c r="F26" s="1783"/>
    </row>
    <row r="27" spans="1:6" ht="14.25" thickBot="1">
      <c r="A27" s="1770" t="s">
        <v>1146</v>
      </c>
      <c r="B27" s="1777" t="s">
        <v>1238</v>
      </c>
      <c r="C27" s="1784"/>
      <c r="D27" s="1775">
        <v>7.5999999999999998E-2</v>
      </c>
      <c r="E27" s="1775">
        <v>9.1999999999999998E-2</v>
      </c>
      <c r="F27" s="1783"/>
    </row>
    <row r="28" spans="1:6" ht="14.25" thickBot="1">
      <c r="A28" s="1778" t="s">
        <v>1146</v>
      </c>
      <c r="B28" s="1779" t="s">
        <v>1248</v>
      </c>
      <c r="C28" s="1781"/>
      <c r="D28" s="1780">
        <v>7.5999999999999998E-2</v>
      </c>
      <c r="E28" s="1780">
        <v>9.1999999999999998E-2</v>
      </c>
      <c r="F28" s="1782"/>
    </row>
    <row r="29" spans="1:6" ht="14.25" thickBot="1">
      <c r="A29" s="1770" t="s">
        <v>1317</v>
      </c>
      <c r="B29" s="1771" t="s">
        <v>2080</v>
      </c>
      <c r="C29" s="1772">
        <v>6.4000000000000001E-2</v>
      </c>
      <c r="D29" s="1772">
        <v>6.5000000000000002E-2</v>
      </c>
      <c r="E29" s="1772">
        <v>6.9000000000000006E-2</v>
      </c>
      <c r="F29" s="1773">
        <v>0.1</v>
      </c>
    </row>
    <row r="30" spans="1:6" ht="14.25" thickBot="1">
      <c r="A30" s="1770" t="s">
        <v>1317</v>
      </c>
      <c r="B30" s="1777" t="s">
        <v>1063</v>
      </c>
      <c r="C30" s="1775">
        <v>6.4000000000000001E-2</v>
      </c>
      <c r="D30" s="1775">
        <v>9.9000000000000005E-2</v>
      </c>
      <c r="E30" s="1775">
        <v>0.1</v>
      </c>
      <c r="F30" s="1776">
        <v>0.1</v>
      </c>
    </row>
    <row r="31" spans="1:6" ht="14.25" thickBot="1">
      <c r="A31" s="1770" t="s">
        <v>1317</v>
      </c>
      <c r="B31" s="1777" t="s">
        <v>1077</v>
      </c>
      <c r="C31" s="1775">
        <v>0.1</v>
      </c>
      <c r="D31" s="1775">
        <v>9.5000000000000001E-2</v>
      </c>
      <c r="E31" s="1775">
        <v>8.8999999999999996E-2</v>
      </c>
      <c r="F31" s="1776">
        <v>0.1</v>
      </c>
    </row>
    <row r="32" spans="1:6" ht="14.25" thickBot="1">
      <c r="A32" s="1770" t="s">
        <v>1317</v>
      </c>
      <c r="B32" s="1777" t="s">
        <v>1090</v>
      </c>
      <c r="C32" s="1775">
        <v>0.05</v>
      </c>
      <c r="D32" s="1775">
        <v>0.05</v>
      </c>
      <c r="E32" s="1775">
        <v>8.7999999999999995E-2</v>
      </c>
      <c r="F32" s="1776">
        <v>0.1</v>
      </c>
    </row>
    <row r="33" spans="1:6" ht="14.25" thickBot="1">
      <c r="A33" s="1770" t="s">
        <v>1317</v>
      </c>
      <c r="B33" s="1777" t="s">
        <v>1104</v>
      </c>
      <c r="C33" s="1775">
        <v>7.4999999999999997E-2</v>
      </c>
      <c r="D33" s="1775">
        <v>9.4E-2</v>
      </c>
      <c r="E33" s="1775">
        <v>9.7000000000000003E-2</v>
      </c>
      <c r="F33" s="1776">
        <v>0.1</v>
      </c>
    </row>
    <row r="34" spans="1:6" ht="14.25" thickBot="1">
      <c r="A34" s="1770" t="s">
        <v>1317</v>
      </c>
      <c r="B34" s="1777" t="s">
        <v>1115</v>
      </c>
      <c r="C34" s="1775">
        <v>9.8000000000000004E-2</v>
      </c>
      <c r="D34" s="1775">
        <v>8.5999999999999993E-2</v>
      </c>
      <c r="E34" s="1775">
        <v>9.7000000000000003E-2</v>
      </c>
      <c r="F34" s="1776">
        <v>0.1</v>
      </c>
    </row>
    <row r="35" spans="1:6" ht="14.25" thickBot="1">
      <c r="A35" s="1770" t="s">
        <v>1317</v>
      </c>
      <c r="B35" s="1777" t="s">
        <v>1126</v>
      </c>
      <c r="C35" s="1775">
        <v>5.8999999999999997E-2</v>
      </c>
      <c r="D35" s="1775">
        <v>6.5000000000000002E-2</v>
      </c>
      <c r="E35" s="1775">
        <v>7.0000000000000007E-2</v>
      </c>
      <c r="F35" s="1776">
        <v>0.1</v>
      </c>
    </row>
    <row r="36" spans="1:6" ht="14.25" thickBot="1">
      <c r="A36" s="1770" t="s">
        <v>1317</v>
      </c>
      <c r="B36" s="1777" t="s">
        <v>1137</v>
      </c>
      <c r="C36" s="1775">
        <v>6.3E-2</v>
      </c>
      <c r="D36" s="1775">
        <v>0.1</v>
      </c>
      <c r="E36" s="1775">
        <v>0.1</v>
      </c>
      <c r="F36" s="1776">
        <v>0.1</v>
      </c>
    </row>
    <row r="37" spans="1:6" ht="14.25" thickBot="1">
      <c r="A37" s="1770" t="s">
        <v>1317</v>
      </c>
      <c r="B37" s="1777" t="s">
        <v>1149</v>
      </c>
      <c r="C37" s="1775">
        <v>7.3999999999999996E-2</v>
      </c>
      <c r="D37" s="1775">
        <v>0.1</v>
      </c>
      <c r="E37" s="1775">
        <v>0.1</v>
      </c>
      <c r="F37" s="1776">
        <v>0.1</v>
      </c>
    </row>
    <row r="38" spans="1:6" ht="14.25" thickBot="1">
      <c r="A38" s="1770" t="s">
        <v>1317</v>
      </c>
      <c r="B38" s="1777" t="s">
        <v>1159</v>
      </c>
      <c r="C38" s="1775">
        <v>0.1</v>
      </c>
      <c r="D38" s="1775">
        <v>9.6000000000000002E-2</v>
      </c>
      <c r="E38" s="1775">
        <v>9.6000000000000002E-2</v>
      </c>
      <c r="F38" s="1783"/>
    </row>
    <row r="39" spans="1:6" ht="14.25" thickBot="1">
      <c r="A39" s="1770" t="s">
        <v>1317</v>
      </c>
      <c r="B39" s="1777" t="s">
        <v>1169</v>
      </c>
      <c r="C39" s="1775">
        <v>0.1</v>
      </c>
      <c r="D39" s="1775">
        <v>9.6000000000000002E-2</v>
      </c>
      <c r="E39" s="1775">
        <v>9.6000000000000002E-2</v>
      </c>
      <c r="F39" s="1783"/>
    </row>
    <row r="40" spans="1:6" ht="14.25" thickBot="1">
      <c r="A40" s="1770" t="s">
        <v>1317</v>
      </c>
      <c r="B40" s="1777" t="s">
        <v>1179</v>
      </c>
      <c r="C40" s="1775">
        <v>9.6000000000000002E-2</v>
      </c>
      <c r="D40" s="1775">
        <v>0.1</v>
      </c>
      <c r="E40" s="1775">
        <v>9.9000000000000005E-2</v>
      </c>
      <c r="F40" s="1783"/>
    </row>
    <row r="41" spans="1:6" ht="14.25" thickBot="1">
      <c r="A41" s="1770" t="s">
        <v>1317</v>
      </c>
      <c r="B41" s="1777" t="s">
        <v>1189</v>
      </c>
      <c r="C41" s="1775">
        <v>9.6000000000000002E-2</v>
      </c>
      <c r="D41" s="1775">
        <v>9.8000000000000004E-2</v>
      </c>
      <c r="E41" s="1775">
        <v>9.8000000000000004E-2</v>
      </c>
      <c r="F41" s="1783"/>
    </row>
    <row r="42" spans="1:6" ht="14.25" thickBot="1">
      <c r="A42" s="1770" t="s">
        <v>1317</v>
      </c>
      <c r="B42" s="1777" t="s">
        <v>1199</v>
      </c>
      <c r="C42" s="1775">
        <v>0.1</v>
      </c>
      <c r="D42" s="1775">
        <v>8.7999999999999995E-2</v>
      </c>
      <c r="E42" s="1775">
        <v>0.1</v>
      </c>
      <c r="F42" s="1783"/>
    </row>
    <row r="43" spans="1:6" ht="14.25" thickBot="1">
      <c r="A43" s="1770" t="s">
        <v>1317</v>
      </c>
      <c r="B43" s="1777" t="s">
        <v>1209</v>
      </c>
      <c r="C43" s="1775">
        <v>9.8000000000000004E-2</v>
      </c>
      <c r="D43" s="1775">
        <v>9.7000000000000003E-2</v>
      </c>
      <c r="E43" s="1775">
        <v>9.6000000000000002E-2</v>
      </c>
      <c r="F43" s="1783"/>
    </row>
    <row r="44" spans="1:6" ht="14.25" thickBot="1">
      <c r="A44" s="1770" t="s">
        <v>1317</v>
      </c>
      <c r="B44" s="1777" t="s">
        <v>1219</v>
      </c>
      <c r="C44" s="1775">
        <v>8.5999999999999993E-2</v>
      </c>
      <c r="D44" s="1775">
        <v>7.9000000000000001E-2</v>
      </c>
      <c r="E44" s="1775">
        <v>7.0999999999999994E-2</v>
      </c>
      <c r="F44" s="1783"/>
    </row>
    <row r="45" spans="1:6" ht="14.25" thickBot="1">
      <c r="A45" s="1770" t="s">
        <v>1317</v>
      </c>
      <c r="B45" s="1777" t="s">
        <v>1229</v>
      </c>
      <c r="C45" s="1775">
        <v>9.8000000000000004E-2</v>
      </c>
      <c r="D45" s="1775">
        <v>9.6000000000000002E-2</v>
      </c>
      <c r="E45" s="1775">
        <v>9.6000000000000002E-2</v>
      </c>
      <c r="F45" s="1783"/>
    </row>
    <row r="46" spans="1:6" ht="14.25" thickBot="1">
      <c r="A46" s="1770" t="s">
        <v>1317</v>
      </c>
      <c r="B46" s="1777" t="s">
        <v>1239</v>
      </c>
      <c r="C46" s="1775">
        <v>8.5999999999999993E-2</v>
      </c>
      <c r="D46" s="1775">
        <v>9.8000000000000004E-2</v>
      </c>
      <c r="E46" s="1775">
        <v>8.7999999999999995E-2</v>
      </c>
      <c r="F46" s="1783"/>
    </row>
    <row r="47" spans="1:6" ht="14.25" thickBot="1">
      <c r="A47" s="1770" t="s">
        <v>1317</v>
      </c>
      <c r="B47" s="1777" t="s">
        <v>1249</v>
      </c>
      <c r="C47" s="1775">
        <v>9.6000000000000002E-2</v>
      </c>
      <c r="D47" s="1784"/>
      <c r="E47" s="1775">
        <v>6.9000000000000006E-2</v>
      </c>
      <c r="F47" s="1783"/>
    </row>
    <row r="48" spans="1:6" ht="14.25" thickBot="1">
      <c r="A48" s="1778" t="s">
        <v>1317</v>
      </c>
      <c r="B48" s="1779" t="s">
        <v>1258</v>
      </c>
      <c r="C48" s="1780">
        <v>9.8000000000000004E-2</v>
      </c>
      <c r="D48" s="1781"/>
      <c r="E48" s="1780">
        <v>9.5000000000000001E-2</v>
      </c>
      <c r="F48" s="1782"/>
    </row>
    <row r="49" spans="1:6" ht="14.25" thickBot="1">
      <c r="A49" s="1770" t="s">
        <v>916</v>
      </c>
      <c r="B49" s="1771" t="s">
        <v>2081</v>
      </c>
      <c r="C49" s="1772">
        <v>9.7000000000000003E-2</v>
      </c>
      <c r="D49" s="1772">
        <v>9.5000000000000001E-2</v>
      </c>
      <c r="E49" s="1772">
        <v>9.7000000000000003E-2</v>
      </c>
      <c r="F49" s="1773">
        <v>0.1</v>
      </c>
    </row>
    <row r="50" spans="1:6" ht="14.25" thickBot="1">
      <c r="A50" s="1770" t="s">
        <v>916</v>
      </c>
      <c r="B50" s="1774" t="s">
        <v>1064</v>
      </c>
      <c r="C50" s="1775">
        <v>7.4999999999999997E-2</v>
      </c>
      <c r="D50" s="1775">
        <v>9.5000000000000001E-2</v>
      </c>
      <c r="E50" s="1775">
        <v>0.1</v>
      </c>
      <c r="F50" s="1776">
        <v>0.1</v>
      </c>
    </row>
    <row r="51" spans="1:6" ht="14.25" thickBot="1">
      <c r="A51" s="1770" t="s">
        <v>916</v>
      </c>
      <c r="B51" s="1774" t="s">
        <v>1078</v>
      </c>
      <c r="C51" s="1775">
        <v>9.8000000000000004E-2</v>
      </c>
      <c r="D51" s="1775">
        <v>8.8999999999999996E-2</v>
      </c>
      <c r="E51" s="1775">
        <v>0.1</v>
      </c>
      <c r="F51" s="1776">
        <v>0.1</v>
      </c>
    </row>
    <row r="52" spans="1:6" ht="14.25" thickBot="1">
      <c r="A52" s="1770" t="s">
        <v>916</v>
      </c>
      <c r="B52" s="1774" t="s">
        <v>1091</v>
      </c>
      <c r="C52" s="1775">
        <v>9.8000000000000004E-2</v>
      </c>
      <c r="D52" s="1775">
        <v>9.7000000000000003E-2</v>
      </c>
      <c r="E52" s="1775">
        <v>8.1000000000000003E-2</v>
      </c>
      <c r="F52" s="1776">
        <v>0.1</v>
      </c>
    </row>
    <row r="53" spans="1:6" ht="14.25" thickBot="1">
      <c r="A53" s="1770" t="s">
        <v>916</v>
      </c>
      <c r="B53" s="1774" t="s">
        <v>1105</v>
      </c>
      <c r="C53" s="1775">
        <v>9.7000000000000003E-2</v>
      </c>
      <c r="D53" s="1775">
        <v>7.5999999999999998E-2</v>
      </c>
      <c r="E53" s="1775">
        <v>7.0999999999999994E-2</v>
      </c>
      <c r="F53" s="1776">
        <v>0.1</v>
      </c>
    </row>
    <row r="54" spans="1:6" ht="14.25" thickBot="1">
      <c r="A54" s="1770" t="s">
        <v>916</v>
      </c>
      <c r="B54" s="1774" t="s">
        <v>1116</v>
      </c>
      <c r="C54" s="1775">
        <v>7.5999999999999998E-2</v>
      </c>
      <c r="D54" s="1775">
        <v>0.1</v>
      </c>
      <c r="E54" s="1775">
        <v>9.9000000000000005E-2</v>
      </c>
      <c r="F54" s="1776">
        <v>0.1</v>
      </c>
    </row>
    <row r="55" spans="1:6" ht="14.25" thickBot="1">
      <c r="A55" s="1770" t="s">
        <v>916</v>
      </c>
      <c r="B55" s="1774" t="s">
        <v>1127</v>
      </c>
      <c r="C55" s="1775">
        <v>0.1</v>
      </c>
      <c r="D55" s="1775">
        <v>0.1</v>
      </c>
      <c r="E55" s="1775">
        <v>9.6000000000000002E-2</v>
      </c>
      <c r="F55" s="1776">
        <v>0.1</v>
      </c>
    </row>
    <row r="56" spans="1:6" ht="14.25" thickBot="1">
      <c r="A56" s="1770" t="s">
        <v>916</v>
      </c>
      <c r="B56" s="1774" t="s">
        <v>1138</v>
      </c>
      <c r="C56" s="1775">
        <v>0.1</v>
      </c>
      <c r="D56" s="1775">
        <v>9.6000000000000002E-2</v>
      </c>
      <c r="E56" s="1775">
        <v>5.1999999999999998E-2</v>
      </c>
      <c r="F56" s="1776">
        <v>0.1</v>
      </c>
    </row>
    <row r="57" spans="1:6" ht="14.25" thickBot="1">
      <c r="A57" s="1770" t="s">
        <v>916</v>
      </c>
      <c r="B57" s="1774" t="s">
        <v>1150</v>
      </c>
      <c r="C57" s="1775">
        <v>9.7000000000000003E-2</v>
      </c>
      <c r="D57" s="1775">
        <v>9.6000000000000002E-2</v>
      </c>
      <c r="E57" s="1775">
        <v>9.6000000000000002E-2</v>
      </c>
      <c r="F57" s="1776">
        <v>0.1</v>
      </c>
    </row>
    <row r="58" spans="1:6" ht="14.25" thickBot="1">
      <c r="A58" s="1770" t="s">
        <v>916</v>
      </c>
      <c r="B58" s="1774" t="s">
        <v>1160</v>
      </c>
      <c r="C58" s="1775">
        <v>9.6000000000000002E-2</v>
      </c>
      <c r="D58" s="1775">
        <v>9.9000000000000005E-2</v>
      </c>
      <c r="E58" s="1775">
        <v>9.6000000000000002E-2</v>
      </c>
      <c r="F58" s="1776">
        <v>0.1</v>
      </c>
    </row>
    <row r="59" spans="1:6" ht="14.25" thickBot="1">
      <c r="A59" s="1770" t="s">
        <v>916</v>
      </c>
      <c r="B59" s="1774" t="s">
        <v>1170</v>
      </c>
      <c r="C59" s="1775">
        <v>7.1999999999999995E-2</v>
      </c>
      <c r="D59" s="1775">
        <v>9.6000000000000002E-2</v>
      </c>
      <c r="E59" s="1775">
        <v>7.0999999999999994E-2</v>
      </c>
      <c r="F59" s="1776">
        <v>0.1</v>
      </c>
    </row>
    <row r="60" spans="1:6" ht="14.25" thickBot="1">
      <c r="A60" s="1770" t="s">
        <v>916</v>
      </c>
      <c r="B60" s="1774" t="s">
        <v>1180</v>
      </c>
      <c r="C60" s="1775">
        <v>9.6000000000000002E-2</v>
      </c>
      <c r="D60" s="1775">
        <v>8.8999999999999996E-2</v>
      </c>
      <c r="E60" s="1775">
        <v>9.6000000000000002E-2</v>
      </c>
      <c r="F60" s="1776">
        <v>0.1</v>
      </c>
    </row>
    <row r="61" spans="1:6" ht="14.25" thickBot="1">
      <c r="A61" s="1770" t="s">
        <v>916</v>
      </c>
      <c r="B61" s="1774" t="s">
        <v>1190</v>
      </c>
      <c r="C61" s="1775">
        <v>8.8999999999999996E-2</v>
      </c>
      <c r="D61" s="1775">
        <v>9.8000000000000004E-2</v>
      </c>
      <c r="E61" s="1775">
        <v>8.7999999999999995E-2</v>
      </c>
      <c r="F61" s="1783"/>
    </row>
    <row r="62" spans="1:6" ht="14.25" thickBot="1">
      <c r="A62" s="1770" t="s">
        <v>916</v>
      </c>
      <c r="B62" s="1774" t="s">
        <v>1200</v>
      </c>
      <c r="C62" s="1775">
        <v>9.8000000000000004E-2</v>
      </c>
      <c r="D62" s="1775">
        <v>9.2999999999999999E-2</v>
      </c>
      <c r="E62" s="1775">
        <v>9.7000000000000003E-2</v>
      </c>
      <c r="F62" s="1783"/>
    </row>
    <row r="63" spans="1:6" ht="14.25" thickBot="1">
      <c r="A63" s="1770" t="s">
        <v>916</v>
      </c>
      <c r="B63" s="1774" t="s">
        <v>1210</v>
      </c>
      <c r="C63" s="1775">
        <v>9.6000000000000002E-2</v>
      </c>
      <c r="D63" s="1775">
        <v>9.8000000000000004E-2</v>
      </c>
      <c r="E63" s="1775">
        <v>0.09</v>
      </c>
      <c r="F63" s="1783"/>
    </row>
    <row r="64" spans="1:6" ht="14.25" thickBot="1">
      <c r="A64" s="1770" t="s">
        <v>916</v>
      </c>
      <c r="B64" s="1774" t="s">
        <v>1220</v>
      </c>
      <c r="C64" s="1775">
        <v>9.9000000000000005E-2</v>
      </c>
      <c r="D64" s="1775">
        <v>9.7000000000000003E-2</v>
      </c>
      <c r="E64" s="1775">
        <v>9.9000000000000005E-2</v>
      </c>
      <c r="F64" s="1783"/>
    </row>
    <row r="65" spans="1:6" ht="14.25" thickBot="1">
      <c r="A65" s="1770" t="s">
        <v>916</v>
      </c>
      <c r="B65" s="1774" t="s">
        <v>1230</v>
      </c>
      <c r="C65" s="1775">
        <v>9.8000000000000004E-2</v>
      </c>
      <c r="D65" s="1775">
        <v>9.6000000000000002E-2</v>
      </c>
      <c r="E65" s="1775">
        <v>9.6000000000000002E-2</v>
      </c>
      <c r="F65" s="1783"/>
    </row>
    <row r="66" spans="1:6" ht="14.25" thickBot="1">
      <c r="A66" s="1770" t="s">
        <v>916</v>
      </c>
      <c r="B66" s="1774" t="s">
        <v>1240</v>
      </c>
      <c r="C66" s="1775">
        <v>9.6000000000000002E-2</v>
      </c>
      <c r="D66" s="1775">
        <v>9.1999999999999998E-2</v>
      </c>
      <c r="E66" s="1775">
        <v>9.6000000000000002E-2</v>
      </c>
      <c r="F66" s="1783"/>
    </row>
    <row r="67" spans="1:6" ht="14.25" thickBot="1">
      <c r="A67" s="1770" t="s">
        <v>916</v>
      </c>
      <c r="B67" s="1774" t="s">
        <v>1250</v>
      </c>
      <c r="C67" s="1775">
        <v>9.4E-2</v>
      </c>
      <c r="D67" s="1775">
        <v>0.1</v>
      </c>
      <c r="E67" s="1775">
        <v>8.7999999999999995E-2</v>
      </c>
      <c r="F67" s="1783"/>
    </row>
    <row r="68" spans="1:6" ht="14.25" thickBot="1">
      <c r="A68" s="1770" t="s">
        <v>916</v>
      </c>
      <c r="B68" s="1774" t="s">
        <v>1259</v>
      </c>
      <c r="C68" s="1775">
        <v>0.1</v>
      </c>
      <c r="D68" s="1775">
        <v>8.7999999999999995E-2</v>
      </c>
      <c r="E68" s="1775">
        <v>9.7000000000000003E-2</v>
      </c>
      <c r="F68" s="1783"/>
    </row>
    <row r="69" spans="1:6" ht="14.25" thickBot="1">
      <c r="A69" s="1770" t="s">
        <v>916</v>
      </c>
      <c r="B69" s="1774" t="s">
        <v>1268</v>
      </c>
      <c r="C69" s="1775">
        <v>6.4000000000000001E-2</v>
      </c>
      <c r="D69" s="1775">
        <v>0.1</v>
      </c>
      <c r="E69" s="1775">
        <v>0.1</v>
      </c>
      <c r="F69" s="1783"/>
    </row>
    <row r="70" spans="1:6" ht="14.25" thickBot="1">
      <c r="A70" s="1770" t="s">
        <v>916</v>
      </c>
      <c r="B70" s="1774" t="s">
        <v>1276</v>
      </c>
      <c r="C70" s="1775">
        <v>9.0999999999999998E-2</v>
      </c>
      <c r="D70" s="1784"/>
      <c r="E70" s="1784"/>
      <c r="F70" s="1783"/>
    </row>
    <row r="71" spans="1:6" ht="14.25" thickBot="1">
      <c r="A71" s="1770" t="s">
        <v>916</v>
      </c>
      <c r="B71" s="1774" t="s">
        <v>1283</v>
      </c>
      <c r="C71" s="1775">
        <v>0.1</v>
      </c>
      <c r="D71" s="1784"/>
      <c r="E71" s="1784"/>
      <c r="F71" s="1783"/>
    </row>
    <row r="72" spans="1:6" ht="14.25" thickBot="1">
      <c r="A72" s="1770" t="s">
        <v>916</v>
      </c>
      <c r="B72" s="1774" t="s">
        <v>2082</v>
      </c>
      <c r="C72" s="1784"/>
      <c r="D72" s="1784"/>
      <c r="E72" s="1784"/>
      <c r="F72" s="1776">
        <v>0.05</v>
      </c>
    </row>
    <row r="73" spans="1:6" ht="14.25" thickBot="1">
      <c r="A73" s="1770" t="s">
        <v>916</v>
      </c>
      <c r="B73" s="1774" t="s">
        <v>2083</v>
      </c>
      <c r="C73" s="1784"/>
      <c r="D73" s="1784"/>
      <c r="E73" s="1784"/>
      <c r="F73" s="1776">
        <v>0.05</v>
      </c>
    </row>
    <row r="74" spans="1:6" ht="14.25" thickBot="1">
      <c r="A74" s="1770" t="s">
        <v>916</v>
      </c>
      <c r="B74" s="1774" t="s">
        <v>2084</v>
      </c>
      <c r="C74" s="1784"/>
      <c r="D74" s="1784"/>
      <c r="E74" s="1784"/>
      <c r="F74" s="1776">
        <v>0.05</v>
      </c>
    </row>
    <row r="75" spans="1:6" ht="14.25" thickBot="1">
      <c r="A75" s="1778" t="s">
        <v>916</v>
      </c>
      <c r="B75" s="1785" t="s">
        <v>2085</v>
      </c>
      <c r="C75" s="1781"/>
      <c r="D75" s="1781"/>
      <c r="E75" s="1781"/>
      <c r="F75" s="1786">
        <v>0.05</v>
      </c>
    </row>
    <row r="76" spans="1:6" ht="14.25" thickBot="1">
      <c r="A76" s="1770" t="s">
        <v>1398</v>
      </c>
      <c r="B76" s="1771" t="s">
        <v>2086</v>
      </c>
      <c r="C76" s="1772">
        <v>0.1</v>
      </c>
      <c r="D76" s="1772">
        <v>0.1</v>
      </c>
      <c r="E76" s="1772">
        <v>0.1</v>
      </c>
      <c r="F76" s="1773">
        <v>0.1</v>
      </c>
    </row>
    <row r="77" spans="1:6" ht="14.25" thickBot="1">
      <c r="A77" s="1770" t="s">
        <v>1398</v>
      </c>
      <c r="B77" s="1774" t="s">
        <v>1065</v>
      </c>
      <c r="C77" s="1775">
        <v>8.7999999999999995E-2</v>
      </c>
      <c r="D77" s="1775">
        <v>8.6999999999999994E-2</v>
      </c>
      <c r="E77" s="1775">
        <v>7.9000000000000001E-2</v>
      </c>
      <c r="F77" s="1776">
        <v>0.1</v>
      </c>
    </row>
    <row r="78" spans="1:6" ht="14.25" thickBot="1">
      <c r="A78" s="1770" t="s">
        <v>1398</v>
      </c>
      <c r="B78" s="1774" t="s">
        <v>1079</v>
      </c>
      <c r="C78" s="1775">
        <v>8.6999999999999994E-2</v>
      </c>
      <c r="D78" s="1775">
        <v>8.4000000000000005E-2</v>
      </c>
      <c r="E78" s="1775">
        <v>9.6000000000000002E-2</v>
      </c>
      <c r="F78" s="1776">
        <v>0.1</v>
      </c>
    </row>
    <row r="79" spans="1:6" ht="14.25" thickBot="1">
      <c r="A79" s="1770" t="s">
        <v>1398</v>
      </c>
      <c r="B79" s="1774" t="s">
        <v>1092</v>
      </c>
      <c r="C79" s="1775">
        <v>9.8000000000000004E-2</v>
      </c>
      <c r="D79" s="1775">
        <v>9.8000000000000004E-2</v>
      </c>
      <c r="E79" s="1775">
        <v>9.0999999999999998E-2</v>
      </c>
      <c r="F79" s="1776">
        <v>0.1</v>
      </c>
    </row>
    <row r="80" spans="1:6" ht="14.25" thickBot="1">
      <c r="A80" s="1770" t="s">
        <v>1398</v>
      </c>
      <c r="B80" s="1774" t="s">
        <v>1106</v>
      </c>
      <c r="C80" s="1775">
        <v>9.6000000000000002E-2</v>
      </c>
      <c r="D80" s="1775">
        <v>9.6000000000000002E-2</v>
      </c>
      <c r="E80" s="1775">
        <v>0.1</v>
      </c>
      <c r="F80" s="1776">
        <v>0.1</v>
      </c>
    </row>
    <row r="81" spans="1:6" ht="14.25" thickBot="1">
      <c r="A81" s="1770" t="s">
        <v>1398</v>
      </c>
      <c r="B81" s="1774" t="s">
        <v>1117</v>
      </c>
      <c r="C81" s="1775">
        <v>9.9000000000000005E-2</v>
      </c>
      <c r="D81" s="1775">
        <v>9.9000000000000005E-2</v>
      </c>
      <c r="E81" s="1775">
        <v>9.8000000000000004E-2</v>
      </c>
      <c r="F81" s="1776">
        <v>0.1</v>
      </c>
    </row>
    <row r="82" spans="1:6" ht="14.25" thickBot="1">
      <c r="A82" s="1770" t="s">
        <v>1398</v>
      </c>
      <c r="B82" s="1774" t="s">
        <v>1128</v>
      </c>
      <c r="C82" s="1775">
        <v>9.9000000000000005E-2</v>
      </c>
      <c r="D82" s="1775">
        <v>9.9000000000000005E-2</v>
      </c>
      <c r="E82" s="1775">
        <v>9.7000000000000003E-2</v>
      </c>
      <c r="F82" s="1776">
        <v>0.1</v>
      </c>
    </row>
    <row r="83" spans="1:6" ht="14.25" thickBot="1">
      <c r="A83" s="1770" t="s">
        <v>1398</v>
      </c>
      <c r="B83" s="1774" t="s">
        <v>1139</v>
      </c>
      <c r="C83" s="1775">
        <v>9.8000000000000004E-2</v>
      </c>
      <c r="D83" s="1775">
        <v>9.8000000000000004E-2</v>
      </c>
      <c r="E83" s="1775">
        <v>9.8000000000000004E-2</v>
      </c>
      <c r="F83" s="1776">
        <v>0.1</v>
      </c>
    </row>
    <row r="84" spans="1:6" ht="14.25" thickBot="1">
      <c r="A84" s="1770" t="s">
        <v>1398</v>
      </c>
      <c r="B84" s="1774" t="s">
        <v>1151</v>
      </c>
      <c r="C84" s="1775">
        <v>9.9000000000000005E-2</v>
      </c>
      <c r="D84" s="1775">
        <v>9.9000000000000005E-2</v>
      </c>
      <c r="E84" s="1775">
        <v>9.9000000000000005E-2</v>
      </c>
      <c r="F84" s="1776">
        <v>0.1</v>
      </c>
    </row>
    <row r="85" spans="1:6" ht="14.25" thickBot="1">
      <c r="A85" s="1770" t="s">
        <v>1398</v>
      </c>
      <c r="B85" s="1774" t="s">
        <v>1161</v>
      </c>
      <c r="C85" s="1775">
        <v>9.9000000000000005E-2</v>
      </c>
      <c r="D85" s="1775">
        <v>9.9000000000000005E-2</v>
      </c>
      <c r="E85" s="1775">
        <v>9.9000000000000005E-2</v>
      </c>
      <c r="F85" s="1776">
        <v>0.1</v>
      </c>
    </row>
    <row r="86" spans="1:6" ht="14.25" thickBot="1">
      <c r="A86" s="1770" t="s">
        <v>1398</v>
      </c>
      <c r="B86" s="1774" t="s">
        <v>1171</v>
      </c>
      <c r="C86" s="1775">
        <v>0.1</v>
      </c>
      <c r="D86" s="1775">
        <v>0.1</v>
      </c>
      <c r="E86" s="1775">
        <v>7.6999999999999999E-2</v>
      </c>
      <c r="F86" s="1776">
        <v>0.1</v>
      </c>
    </row>
    <row r="87" spans="1:6" ht="14.25" thickBot="1">
      <c r="A87" s="1770" t="s">
        <v>1398</v>
      </c>
      <c r="B87" s="1774" t="s">
        <v>1181</v>
      </c>
      <c r="C87" s="1775">
        <v>0.1</v>
      </c>
      <c r="D87" s="1775">
        <v>0.1</v>
      </c>
      <c r="E87" s="1775">
        <v>9.8000000000000004E-2</v>
      </c>
      <c r="F87" s="1783"/>
    </row>
    <row r="88" spans="1:6" ht="14.25" thickBot="1">
      <c r="A88" s="1770" t="s">
        <v>1398</v>
      </c>
      <c r="B88" s="1774" t="s">
        <v>1191</v>
      </c>
      <c r="C88" s="1775">
        <v>9.1999999999999998E-2</v>
      </c>
      <c r="D88" s="1775">
        <v>8.5000000000000006E-2</v>
      </c>
      <c r="E88" s="1775">
        <v>9.6000000000000002E-2</v>
      </c>
      <c r="F88" s="1783"/>
    </row>
    <row r="89" spans="1:6" ht="14.25" thickBot="1">
      <c r="A89" s="1770" t="s">
        <v>1398</v>
      </c>
      <c r="B89" s="1774" t="s">
        <v>1201</v>
      </c>
      <c r="C89" s="1775">
        <v>0.1</v>
      </c>
      <c r="D89" s="1775">
        <v>0.1</v>
      </c>
      <c r="E89" s="1775">
        <v>9.7000000000000003E-2</v>
      </c>
      <c r="F89" s="1783"/>
    </row>
    <row r="90" spans="1:6" ht="14.25" thickBot="1">
      <c r="A90" s="1770" t="s">
        <v>1398</v>
      </c>
      <c r="B90" s="1774" t="s">
        <v>1211</v>
      </c>
      <c r="C90" s="1775">
        <v>9.8000000000000004E-2</v>
      </c>
      <c r="D90" s="1775">
        <v>9.8000000000000004E-2</v>
      </c>
      <c r="E90" s="1775">
        <v>8.7999999999999995E-2</v>
      </c>
      <c r="F90" s="1783"/>
    </row>
    <row r="91" spans="1:6" ht="14.25" thickBot="1">
      <c r="A91" s="1770" t="s">
        <v>1398</v>
      </c>
      <c r="B91" s="1774" t="s">
        <v>1221</v>
      </c>
      <c r="C91" s="1775">
        <v>9.9000000000000005E-2</v>
      </c>
      <c r="D91" s="1775">
        <v>9.9000000000000005E-2</v>
      </c>
      <c r="E91" s="1775">
        <v>9.0999999999999998E-2</v>
      </c>
      <c r="F91" s="1783"/>
    </row>
    <row r="92" spans="1:6" ht="14.25" thickBot="1">
      <c r="A92" s="1770" t="s">
        <v>1398</v>
      </c>
      <c r="B92" s="1774" t="s">
        <v>1231</v>
      </c>
      <c r="C92" s="1775">
        <v>9.6000000000000002E-2</v>
      </c>
      <c r="D92" s="1775">
        <v>9.6000000000000002E-2</v>
      </c>
      <c r="E92" s="1775">
        <v>7.2999999999999995E-2</v>
      </c>
      <c r="F92" s="1783"/>
    </row>
    <row r="93" spans="1:6" ht="14.25" thickBot="1">
      <c r="A93" s="1770" t="s">
        <v>1398</v>
      </c>
      <c r="B93" s="1774" t="s">
        <v>1241</v>
      </c>
      <c r="C93" s="1775">
        <v>9.6000000000000002E-2</v>
      </c>
      <c r="D93" s="1775">
        <v>9.6000000000000002E-2</v>
      </c>
      <c r="E93" s="1775">
        <v>9.9000000000000005E-2</v>
      </c>
      <c r="F93" s="1783"/>
    </row>
    <row r="94" spans="1:6" ht="14.25" thickBot="1">
      <c r="A94" s="1770" t="s">
        <v>1398</v>
      </c>
      <c r="B94" s="1774" t="s">
        <v>1251</v>
      </c>
      <c r="C94" s="1775">
        <v>7.5999999999999998E-2</v>
      </c>
      <c r="D94" s="1775">
        <v>7.3999999999999996E-2</v>
      </c>
      <c r="E94" s="1775">
        <v>9.7000000000000003E-2</v>
      </c>
      <c r="F94" s="1783"/>
    </row>
    <row r="95" spans="1:6" ht="14.25" thickBot="1">
      <c r="A95" s="1770" t="s">
        <v>1398</v>
      </c>
      <c r="B95" s="1774" t="s">
        <v>1260</v>
      </c>
      <c r="C95" s="1775">
        <v>9.9000000000000005E-2</v>
      </c>
      <c r="D95" s="1775">
        <v>9.4E-2</v>
      </c>
      <c r="E95" s="1775">
        <v>9.6000000000000002E-2</v>
      </c>
      <c r="F95" s="1783"/>
    </row>
    <row r="96" spans="1:6" ht="14.25" thickBot="1">
      <c r="A96" s="1770" t="s">
        <v>1398</v>
      </c>
      <c r="B96" s="1774" t="s">
        <v>1269</v>
      </c>
      <c r="C96" s="1775">
        <v>9.9000000000000005E-2</v>
      </c>
      <c r="D96" s="1775">
        <v>9.9000000000000005E-2</v>
      </c>
      <c r="E96" s="1775">
        <v>9.9000000000000005E-2</v>
      </c>
      <c r="F96" s="1783"/>
    </row>
    <row r="97" spans="1:6" ht="14.25" thickBot="1">
      <c r="A97" s="1770" t="s">
        <v>1398</v>
      </c>
      <c r="B97" s="1774" t="s">
        <v>1277</v>
      </c>
      <c r="C97" s="1775">
        <v>9.8000000000000004E-2</v>
      </c>
      <c r="D97" s="1775">
        <v>9.8000000000000004E-2</v>
      </c>
      <c r="E97" s="1775">
        <v>9.7000000000000003E-2</v>
      </c>
      <c r="F97" s="1783"/>
    </row>
    <row r="98" spans="1:6" ht="14.25" thickBot="1">
      <c r="A98" s="1770" t="s">
        <v>1398</v>
      </c>
      <c r="B98" s="1774" t="s">
        <v>1284</v>
      </c>
      <c r="C98" s="1775">
        <v>0.1</v>
      </c>
      <c r="D98" s="1775">
        <v>0.1</v>
      </c>
      <c r="E98" s="1775">
        <v>9.7000000000000003E-2</v>
      </c>
      <c r="F98" s="1783"/>
    </row>
    <row r="99" spans="1:6" ht="14.25" thickBot="1">
      <c r="A99" s="1770" t="s">
        <v>1398</v>
      </c>
      <c r="B99" s="1774" t="s">
        <v>1291</v>
      </c>
      <c r="C99" s="1775">
        <v>0.1</v>
      </c>
      <c r="D99" s="1775">
        <v>0.1</v>
      </c>
      <c r="E99" s="1784"/>
      <c r="F99" s="1783"/>
    </row>
    <row r="100" spans="1:6" ht="14.25" thickBot="1">
      <c r="A100" s="1770" t="s">
        <v>1398</v>
      </c>
      <c r="B100" s="1774" t="s">
        <v>1298</v>
      </c>
      <c r="C100" s="1775">
        <v>0.09</v>
      </c>
      <c r="D100" s="1775">
        <v>8.8999999999999996E-2</v>
      </c>
      <c r="E100" s="1784"/>
      <c r="F100" s="1783"/>
    </row>
    <row r="101" spans="1:6" ht="14.25" thickBot="1">
      <c r="A101" s="1770" t="s">
        <v>1398</v>
      </c>
      <c r="B101" s="1774" t="s">
        <v>1305</v>
      </c>
      <c r="C101" s="1775">
        <v>9.8000000000000004E-2</v>
      </c>
      <c r="D101" s="1775">
        <v>9.7000000000000003E-2</v>
      </c>
      <c r="E101" s="1784"/>
      <c r="F101" s="1783"/>
    </row>
    <row r="102" spans="1:6" ht="14.25" thickBot="1">
      <c r="A102" s="1770" t="s">
        <v>1398</v>
      </c>
      <c r="B102" s="1774" t="s">
        <v>2087</v>
      </c>
      <c r="C102" s="1784"/>
      <c r="D102" s="1784"/>
      <c r="E102" s="1784"/>
      <c r="F102" s="1776">
        <v>0.05</v>
      </c>
    </row>
    <row r="103" spans="1:6" ht="24.75" thickBot="1">
      <c r="A103" s="1770" t="s">
        <v>1398</v>
      </c>
      <c r="B103" s="1774" t="s">
        <v>2088</v>
      </c>
      <c r="C103" s="1784"/>
      <c r="D103" s="1784"/>
      <c r="E103" s="1784"/>
      <c r="F103" s="1776">
        <v>0.05</v>
      </c>
    </row>
    <row r="104" spans="1:6" ht="14.25" thickBot="1">
      <c r="A104" s="1770" t="s">
        <v>1398</v>
      </c>
      <c r="B104" s="1774" t="s">
        <v>2089</v>
      </c>
      <c r="C104" s="1784"/>
      <c r="D104" s="1784"/>
      <c r="E104" s="1784"/>
      <c r="F104" s="1776">
        <v>0.05</v>
      </c>
    </row>
    <row r="105" spans="1:6" ht="14.25" thickBot="1">
      <c r="A105" s="1770" t="s">
        <v>1398</v>
      </c>
      <c r="B105" s="1774" t="s">
        <v>2090</v>
      </c>
      <c r="C105" s="1784"/>
      <c r="D105" s="1784"/>
      <c r="E105" s="1784"/>
      <c r="F105" s="1776">
        <v>0.05</v>
      </c>
    </row>
    <row r="106" spans="1:6" ht="14.25" thickBot="1">
      <c r="A106" s="1770" t="s">
        <v>1398</v>
      </c>
      <c r="B106" s="1774" t="s">
        <v>2091</v>
      </c>
      <c r="C106" s="1784"/>
      <c r="D106" s="1784"/>
      <c r="E106" s="1784"/>
      <c r="F106" s="1776">
        <v>0.05</v>
      </c>
    </row>
    <row r="107" spans="1:6" ht="24.75" thickBot="1">
      <c r="A107" s="1770" t="s">
        <v>1398</v>
      </c>
      <c r="B107" s="1774" t="s">
        <v>2092</v>
      </c>
      <c r="C107" s="1784"/>
      <c r="D107" s="1784"/>
      <c r="E107" s="1784"/>
      <c r="F107" s="1776">
        <v>0.05</v>
      </c>
    </row>
    <row r="108" spans="1:6" ht="24.75" thickBot="1">
      <c r="A108" s="1770" t="s">
        <v>1398</v>
      </c>
      <c r="B108" s="1774" t="s">
        <v>2093</v>
      </c>
      <c r="C108" s="1784"/>
      <c r="D108" s="1784"/>
      <c r="E108" s="1784"/>
      <c r="F108" s="1776">
        <v>0.05</v>
      </c>
    </row>
    <row r="109" spans="1:6" ht="24.75" thickBot="1">
      <c r="A109" s="1778" t="s">
        <v>1398</v>
      </c>
      <c r="B109" s="1785" t="s">
        <v>2094</v>
      </c>
      <c r="C109" s="1781"/>
      <c r="D109" s="1781"/>
      <c r="E109" s="1781"/>
      <c r="F109" s="1786">
        <v>0.05</v>
      </c>
    </row>
    <row r="110" spans="1:6" ht="14.25" thickBot="1">
      <c r="A110" s="1770" t="s">
        <v>1400</v>
      </c>
      <c r="B110" s="1771" t="s">
        <v>2095</v>
      </c>
      <c r="C110" s="1772">
        <v>0.129</v>
      </c>
      <c r="D110" s="1772">
        <v>0.129</v>
      </c>
      <c r="E110" s="1772">
        <v>0.126</v>
      </c>
      <c r="F110" s="1773">
        <v>0.13</v>
      </c>
    </row>
    <row r="111" spans="1:6" ht="14.25" thickBot="1">
      <c r="A111" s="1770" t="s">
        <v>1400</v>
      </c>
      <c r="B111" s="1774" t="s">
        <v>1066</v>
      </c>
      <c r="C111" s="1775">
        <v>0.11</v>
      </c>
      <c r="D111" s="1775">
        <v>0.11</v>
      </c>
      <c r="E111" s="1775">
        <v>9.9000000000000005E-2</v>
      </c>
      <c r="F111" s="1776">
        <v>0.128</v>
      </c>
    </row>
    <row r="112" spans="1:6" ht="14.25" thickBot="1">
      <c r="A112" s="1770" t="s">
        <v>1400</v>
      </c>
      <c r="B112" s="1774" t="s">
        <v>1080</v>
      </c>
      <c r="C112" s="1775">
        <v>0.125</v>
      </c>
      <c r="D112" s="1775">
        <v>0.125</v>
      </c>
      <c r="E112" s="1775">
        <v>0.12</v>
      </c>
      <c r="F112" s="1776">
        <v>0.125</v>
      </c>
    </row>
    <row r="113" spans="1:6" ht="14.25" thickBot="1">
      <c r="A113" s="1770" t="s">
        <v>1400</v>
      </c>
      <c r="B113" s="1774" t="s">
        <v>1093</v>
      </c>
      <c r="C113" s="1775">
        <v>0.13</v>
      </c>
      <c r="D113" s="1775">
        <v>0.13</v>
      </c>
      <c r="E113" s="1775">
        <v>0.13</v>
      </c>
      <c r="F113" s="1776">
        <v>0.13</v>
      </c>
    </row>
    <row r="114" spans="1:6" ht="14.25" thickBot="1">
      <c r="A114" s="1770" t="s">
        <v>1400</v>
      </c>
      <c r="B114" s="1774" t="s">
        <v>1107</v>
      </c>
      <c r="C114" s="1775">
        <v>0.123</v>
      </c>
      <c r="D114" s="1775">
        <v>0.123</v>
      </c>
      <c r="E114" s="1775">
        <v>0.12</v>
      </c>
      <c r="F114" s="1776">
        <v>0.13</v>
      </c>
    </row>
    <row r="115" spans="1:6" ht="14.25" thickBot="1">
      <c r="A115" s="1770" t="s">
        <v>1400</v>
      </c>
      <c r="B115" s="1774" t="s">
        <v>1118</v>
      </c>
      <c r="C115" s="1775">
        <v>0.125</v>
      </c>
      <c r="D115" s="1775">
        <v>0.125</v>
      </c>
      <c r="E115" s="1775">
        <v>0.11700000000000001</v>
      </c>
      <c r="F115" s="1776">
        <v>0.13</v>
      </c>
    </row>
    <row r="116" spans="1:6" ht="14.25" thickBot="1">
      <c r="A116" s="1770" t="s">
        <v>1400</v>
      </c>
      <c r="B116" s="1774" t="s">
        <v>1129</v>
      </c>
      <c r="C116" s="1775">
        <v>0.11700000000000001</v>
      </c>
      <c r="D116" s="1775">
        <v>0.11700000000000001</v>
      </c>
      <c r="E116" s="1775">
        <v>8.7999999999999995E-2</v>
      </c>
      <c r="F116" s="1776">
        <v>0.13</v>
      </c>
    </row>
    <row r="117" spans="1:6" ht="14.25" thickBot="1">
      <c r="A117" s="1770" t="s">
        <v>1400</v>
      </c>
      <c r="B117" s="1774" t="s">
        <v>1140</v>
      </c>
      <c r="C117" s="1775">
        <v>0.13</v>
      </c>
      <c r="D117" s="1775">
        <v>0.13</v>
      </c>
      <c r="E117" s="1775">
        <v>0.129</v>
      </c>
      <c r="F117" s="1776">
        <v>0.13</v>
      </c>
    </row>
    <row r="118" spans="1:6" ht="14.25" thickBot="1">
      <c r="A118" s="1770" t="s">
        <v>1400</v>
      </c>
      <c r="B118" s="1774" t="s">
        <v>1152</v>
      </c>
      <c r="C118" s="1775">
        <v>0.123</v>
      </c>
      <c r="D118" s="1775">
        <v>0.123</v>
      </c>
      <c r="E118" s="1775">
        <v>0.11600000000000001</v>
      </c>
      <c r="F118" s="1776">
        <v>0.13</v>
      </c>
    </row>
    <row r="119" spans="1:6" ht="14.25" thickBot="1">
      <c r="A119" s="1770" t="s">
        <v>1400</v>
      </c>
      <c r="B119" s="1774" t="s">
        <v>1162</v>
      </c>
      <c r="C119" s="1775">
        <v>0.127</v>
      </c>
      <c r="D119" s="1775">
        <v>0.127</v>
      </c>
      <c r="E119" s="1775">
        <v>0.124</v>
      </c>
      <c r="F119" s="1776">
        <v>0.13</v>
      </c>
    </row>
    <row r="120" spans="1:6" ht="14.25" thickBot="1">
      <c r="A120" s="1770" t="s">
        <v>1400</v>
      </c>
      <c r="B120" s="1774" t="s">
        <v>1172</v>
      </c>
      <c r="C120" s="1775">
        <v>0.125</v>
      </c>
      <c r="D120" s="1775">
        <v>0.125</v>
      </c>
      <c r="E120" s="1775">
        <v>0.122</v>
      </c>
      <c r="F120" s="1776">
        <v>0.13</v>
      </c>
    </row>
    <row r="121" spans="1:6" ht="14.25" thickBot="1">
      <c r="A121" s="1770" t="s">
        <v>1400</v>
      </c>
      <c r="B121" s="1774" t="s">
        <v>1182</v>
      </c>
      <c r="C121" s="1775">
        <v>0.13</v>
      </c>
      <c r="D121" s="1775">
        <v>0.13</v>
      </c>
      <c r="E121" s="1775">
        <v>0.13</v>
      </c>
      <c r="F121" s="1776">
        <v>0.13</v>
      </c>
    </row>
    <row r="122" spans="1:6" ht="14.25" thickBot="1">
      <c r="A122" s="1770" t="s">
        <v>1400</v>
      </c>
      <c r="B122" s="1774" t="s">
        <v>1192</v>
      </c>
      <c r="C122" s="1775">
        <v>0.13</v>
      </c>
      <c r="D122" s="1775">
        <v>0.13</v>
      </c>
      <c r="E122" s="1775">
        <v>0.125</v>
      </c>
      <c r="F122" s="1776">
        <v>0.13</v>
      </c>
    </row>
    <row r="123" spans="1:6" ht="14.25" thickBot="1">
      <c r="A123" s="1770" t="s">
        <v>1400</v>
      </c>
      <c r="B123" s="1774" t="s">
        <v>1202</v>
      </c>
      <c r="C123" s="1775">
        <v>0.129</v>
      </c>
      <c r="D123" s="1775">
        <v>0.129</v>
      </c>
      <c r="E123" s="1775">
        <v>0.123</v>
      </c>
      <c r="F123" s="1776">
        <v>0.13</v>
      </c>
    </row>
    <row r="124" spans="1:6" ht="14.25" thickBot="1">
      <c r="A124" s="1770" t="s">
        <v>1400</v>
      </c>
      <c r="B124" s="1774" t="s">
        <v>1212</v>
      </c>
      <c r="C124" s="1775">
        <v>0.10199999999999999</v>
      </c>
      <c r="D124" s="1775">
        <v>0.10100000000000001</v>
      </c>
      <c r="E124" s="1775">
        <v>0.08</v>
      </c>
      <c r="F124" s="1783"/>
    </row>
    <row r="125" spans="1:6" ht="14.25" thickBot="1">
      <c r="A125" s="1770" t="s">
        <v>1400</v>
      </c>
      <c r="B125" s="1774" t="s">
        <v>1222</v>
      </c>
      <c r="C125" s="1775">
        <v>0.13</v>
      </c>
      <c r="D125" s="1775">
        <v>0.13</v>
      </c>
      <c r="E125" s="1775">
        <v>0.129</v>
      </c>
      <c r="F125" s="1783"/>
    </row>
    <row r="126" spans="1:6" ht="14.25" thickBot="1">
      <c r="A126" s="1770" t="s">
        <v>1400</v>
      </c>
      <c r="B126" s="1774" t="s">
        <v>1232</v>
      </c>
      <c r="C126" s="1775">
        <v>0.13</v>
      </c>
      <c r="D126" s="1775">
        <v>0.13</v>
      </c>
      <c r="E126" s="1775">
        <v>0.126</v>
      </c>
      <c r="F126" s="1783"/>
    </row>
    <row r="127" spans="1:6" ht="14.25" thickBot="1">
      <c r="A127" s="1770" t="s">
        <v>1400</v>
      </c>
      <c r="B127" s="1774" t="s">
        <v>1242</v>
      </c>
      <c r="C127" s="1775">
        <v>0.125</v>
      </c>
      <c r="D127" s="1775">
        <v>0.125</v>
      </c>
      <c r="E127" s="1775">
        <v>0.121</v>
      </c>
      <c r="F127" s="1783"/>
    </row>
    <row r="128" spans="1:6" ht="14.25" thickBot="1">
      <c r="A128" s="1770" t="s">
        <v>1400</v>
      </c>
      <c r="B128" s="1774" t="s">
        <v>1252</v>
      </c>
      <c r="C128" s="1775">
        <v>0.12</v>
      </c>
      <c r="D128" s="1775">
        <v>0.12</v>
      </c>
      <c r="E128" s="1775">
        <v>0.105</v>
      </c>
      <c r="F128" s="1783"/>
    </row>
    <row r="129" spans="1:6" ht="14.25" thickBot="1">
      <c r="A129" s="1770" t="s">
        <v>1400</v>
      </c>
      <c r="B129" s="1774" t="s">
        <v>1261</v>
      </c>
      <c r="C129" s="1775">
        <v>0.13</v>
      </c>
      <c r="D129" s="1775">
        <v>0.13</v>
      </c>
      <c r="E129" s="1775">
        <v>0.126</v>
      </c>
      <c r="F129" s="1783"/>
    </row>
    <row r="130" spans="1:6" ht="14.25" thickBot="1">
      <c r="A130" s="1770" t="s">
        <v>1400</v>
      </c>
      <c r="B130" s="1774" t="s">
        <v>1270</v>
      </c>
      <c r="C130" s="1775">
        <v>0.125</v>
      </c>
      <c r="D130" s="1775">
        <v>0.125</v>
      </c>
      <c r="E130" s="1775">
        <v>0.122</v>
      </c>
      <c r="F130" s="1783"/>
    </row>
    <row r="131" spans="1:6" ht="14.25" thickBot="1">
      <c r="A131" s="1770" t="s">
        <v>1400</v>
      </c>
      <c r="B131" s="1774" t="s">
        <v>1278</v>
      </c>
      <c r="C131" s="1775">
        <v>0.127</v>
      </c>
      <c r="D131" s="1775">
        <v>0.126</v>
      </c>
      <c r="E131" s="1775">
        <v>0.123</v>
      </c>
      <c r="F131" s="1783"/>
    </row>
    <row r="132" spans="1:6" ht="14.25" thickBot="1">
      <c r="A132" s="1770" t="s">
        <v>1400</v>
      </c>
      <c r="B132" s="1774" t="s">
        <v>1285</v>
      </c>
      <c r="C132" s="1775">
        <v>9.0999999999999998E-2</v>
      </c>
      <c r="D132" s="1775">
        <v>0.121</v>
      </c>
      <c r="E132" s="1775">
        <v>9.9000000000000005E-2</v>
      </c>
      <c r="F132" s="1783"/>
    </row>
    <row r="133" spans="1:6" ht="14.25" thickBot="1">
      <c r="A133" s="1770" t="s">
        <v>1400</v>
      </c>
      <c r="B133" s="1774" t="s">
        <v>1292</v>
      </c>
      <c r="C133" s="1775">
        <v>0.13</v>
      </c>
      <c r="D133" s="1775">
        <v>0.13</v>
      </c>
      <c r="E133" s="1775">
        <v>0.129</v>
      </c>
      <c r="F133" s="1783"/>
    </row>
    <row r="134" spans="1:6" ht="14.25" thickBot="1">
      <c r="A134" s="1770" t="s">
        <v>1400</v>
      </c>
      <c r="B134" s="1774" t="s">
        <v>2096</v>
      </c>
      <c r="C134" s="1775">
        <v>6.8000000000000005E-2</v>
      </c>
      <c r="D134" s="1775">
        <v>6.5000000000000002E-2</v>
      </c>
      <c r="E134" s="1775">
        <v>6.5000000000000002E-2</v>
      </c>
      <c r="F134" s="1776">
        <v>0.13</v>
      </c>
    </row>
    <row r="135" spans="1:6" ht="14.25" thickBot="1">
      <c r="A135" s="1770" t="s">
        <v>1400</v>
      </c>
      <c r="B135" s="1774" t="s">
        <v>1306</v>
      </c>
      <c r="C135" s="1775">
        <v>0.123</v>
      </c>
      <c r="D135" s="1775">
        <v>0.123</v>
      </c>
      <c r="E135" s="1775">
        <v>0.11</v>
      </c>
      <c r="F135" s="1783"/>
    </row>
    <row r="136" spans="1:6" ht="14.25" thickBot="1">
      <c r="A136" s="1770" t="s">
        <v>1400</v>
      </c>
      <c r="B136" s="1774" t="s">
        <v>1313</v>
      </c>
      <c r="C136" s="1775">
        <v>0.13</v>
      </c>
      <c r="D136" s="1775">
        <v>0.13</v>
      </c>
      <c r="E136" s="1775">
        <v>0.125</v>
      </c>
      <c r="F136" s="1783"/>
    </row>
    <row r="137" spans="1:6" ht="14.25" thickBot="1">
      <c r="A137" s="1770" t="s">
        <v>1400</v>
      </c>
      <c r="B137" s="1774" t="s">
        <v>1320</v>
      </c>
      <c r="C137" s="1775">
        <v>0.121</v>
      </c>
      <c r="D137" s="1775">
        <v>0.122</v>
      </c>
      <c r="E137" s="1775">
        <v>0.115</v>
      </c>
      <c r="F137" s="1783"/>
    </row>
    <row r="138" spans="1:6" ht="14.25" thickBot="1">
      <c r="A138" s="1770" t="s">
        <v>1400</v>
      </c>
      <c r="B138" s="1774" t="s">
        <v>2097</v>
      </c>
      <c r="C138" s="1775">
        <v>0.105</v>
      </c>
      <c r="D138" s="1775">
        <v>0.125</v>
      </c>
      <c r="E138" s="1775">
        <v>0.112</v>
      </c>
      <c r="F138" s="1783"/>
    </row>
    <row r="139" spans="1:6" ht="14.25" thickBot="1">
      <c r="A139" s="1770" t="s">
        <v>1400</v>
      </c>
      <c r="B139" s="1774" t="s">
        <v>2098</v>
      </c>
      <c r="C139" s="1775">
        <v>0.127</v>
      </c>
      <c r="D139" s="1775">
        <v>0.127</v>
      </c>
      <c r="E139" s="1775">
        <v>0.122</v>
      </c>
      <c r="F139" s="1776">
        <v>0.13</v>
      </c>
    </row>
    <row r="140" spans="1:6" ht="14.25" thickBot="1">
      <c r="A140" s="1770" t="s">
        <v>1400</v>
      </c>
      <c r="B140" s="1774" t="s">
        <v>2099</v>
      </c>
      <c r="C140" s="1775">
        <v>0.125</v>
      </c>
      <c r="D140" s="1775">
        <v>0.125</v>
      </c>
      <c r="E140" s="1775">
        <v>0.11899999999999999</v>
      </c>
      <c r="F140" s="1776">
        <v>0.13</v>
      </c>
    </row>
    <row r="141" spans="1:6" ht="14.25" thickBot="1">
      <c r="A141" s="1770" t="s">
        <v>1400</v>
      </c>
      <c r="B141" s="1774" t="s">
        <v>1339</v>
      </c>
      <c r="C141" s="1775">
        <v>0.125</v>
      </c>
      <c r="D141" s="1775">
        <v>0.125</v>
      </c>
      <c r="E141" s="1775">
        <v>0.11700000000000001</v>
      </c>
      <c r="F141" s="1783"/>
    </row>
    <row r="142" spans="1:6" ht="14.25" thickBot="1">
      <c r="A142" s="1770" t="s">
        <v>1400</v>
      </c>
      <c r="B142" s="1774" t="s">
        <v>1344</v>
      </c>
      <c r="C142" s="1775">
        <v>0.125</v>
      </c>
      <c r="D142" s="1775">
        <v>0.125</v>
      </c>
      <c r="E142" s="1775">
        <v>0.115</v>
      </c>
      <c r="F142" s="1783"/>
    </row>
    <row r="143" spans="1:6" ht="14.25" thickBot="1">
      <c r="A143" s="1770" t="s">
        <v>1400</v>
      </c>
      <c r="B143" s="1774" t="s">
        <v>1349</v>
      </c>
      <c r="C143" s="1775">
        <v>0.121</v>
      </c>
      <c r="D143" s="1775">
        <v>0.121</v>
      </c>
      <c r="E143" s="1775">
        <v>0.108</v>
      </c>
      <c r="F143" s="1783"/>
    </row>
    <row r="144" spans="1:6" ht="14.25" thickBot="1">
      <c r="A144" s="1770" t="s">
        <v>1400</v>
      </c>
      <c r="B144" s="1787" t="s">
        <v>2100</v>
      </c>
      <c r="C144" s="1788">
        <v>0.126</v>
      </c>
      <c r="D144" s="1788">
        <v>0.126</v>
      </c>
      <c r="E144" s="1788">
        <v>0.121</v>
      </c>
      <c r="F144" s="1783"/>
    </row>
    <row r="145" spans="1:6" ht="14.25" thickBot="1">
      <c r="A145" s="1778" t="s">
        <v>1400</v>
      </c>
      <c r="B145" s="1789" t="s">
        <v>2101</v>
      </c>
      <c r="C145" s="1790"/>
      <c r="D145" s="1790"/>
      <c r="E145" s="1790"/>
      <c r="F145" s="1791">
        <v>0.05</v>
      </c>
    </row>
    <row r="146" spans="1:6" ht="24.75" thickBot="1">
      <c r="A146" s="1792" t="s">
        <v>1400</v>
      </c>
      <c r="B146" s="1777" t="s">
        <v>2102</v>
      </c>
      <c r="C146" s="1784"/>
      <c r="D146" s="1784"/>
      <c r="E146" s="1784"/>
      <c r="F146" s="1793">
        <v>0.05</v>
      </c>
    </row>
    <row r="147" spans="1:6" ht="24.75" thickBot="1">
      <c r="A147" s="1770" t="s">
        <v>1400</v>
      </c>
      <c r="B147" s="1774" t="s">
        <v>2103</v>
      </c>
      <c r="C147" s="1784"/>
      <c r="D147" s="1784"/>
      <c r="E147" s="1784"/>
      <c r="F147" s="1776">
        <v>0.05</v>
      </c>
    </row>
    <row r="148" spans="1:6" ht="24.75" thickBot="1">
      <c r="A148" s="1770" t="s">
        <v>1400</v>
      </c>
      <c r="B148" s="1774" t="s">
        <v>2104</v>
      </c>
      <c r="C148" s="1784"/>
      <c r="D148" s="1784"/>
      <c r="E148" s="1784"/>
      <c r="F148" s="1776">
        <v>0.05</v>
      </c>
    </row>
    <row r="149" spans="1:6" ht="24.75" thickBot="1">
      <c r="A149" s="1770" t="s">
        <v>1400</v>
      </c>
      <c r="B149" s="1774" t="s">
        <v>2105</v>
      </c>
      <c r="C149" s="1784"/>
      <c r="D149" s="1784"/>
      <c r="E149" s="1784"/>
      <c r="F149" s="1776">
        <v>0.05</v>
      </c>
    </row>
    <row r="150" spans="1:6" ht="24.75" thickBot="1">
      <c r="A150" s="1770" t="s">
        <v>1400</v>
      </c>
      <c r="B150" s="1774" t="s">
        <v>2106</v>
      </c>
      <c r="C150" s="1784"/>
      <c r="D150" s="1784"/>
      <c r="E150" s="1784"/>
      <c r="F150" s="1776">
        <v>0.05</v>
      </c>
    </row>
    <row r="151" spans="1:6" ht="24.75" thickBot="1">
      <c r="A151" s="1770" t="s">
        <v>1400</v>
      </c>
      <c r="B151" s="1774" t="s">
        <v>2107</v>
      </c>
      <c r="C151" s="1784"/>
      <c r="D151" s="1784"/>
      <c r="E151" s="1784"/>
      <c r="F151" s="1776">
        <v>0.05</v>
      </c>
    </row>
    <row r="152" spans="1:6" ht="24.75" thickBot="1">
      <c r="A152" s="1770" t="s">
        <v>1400</v>
      </c>
      <c r="B152" s="1774" t="s">
        <v>1382</v>
      </c>
      <c r="C152" s="1784"/>
      <c r="D152" s="1784"/>
      <c r="E152" s="1784"/>
      <c r="F152" s="1776">
        <v>0.05</v>
      </c>
    </row>
    <row r="153" spans="1:6" ht="14.25" thickBot="1">
      <c r="A153" s="1770" t="s">
        <v>1400</v>
      </c>
      <c r="B153" s="1774" t="s">
        <v>2108</v>
      </c>
      <c r="C153" s="1784"/>
      <c r="D153" s="1784"/>
      <c r="E153" s="1784"/>
      <c r="F153" s="1776">
        <v>0.05</v>
      </c>
    </row>
    <row r="154" spans="1:6" ht="14.25" thickBot="1">
      <c r="A154" s="1770" t="s">
        <v>1400</v>
      </c>
      <c r="B154" s="1774" t="s">
        <v>2109</v>
      </c>
      <c r="C154" s="1784"/>
      <c r="D154" s="1784"/>
      <c r="E154" s="1784"/>
      <c r="F154" s="1776">
        <v>0.05</v>
      </c>
    </row>
    <row r="155" spans="1:6" ht="24.75" thickBot="1">
      <c r="A155" s="1770" t="s">
        <v>1400</v>
      </c>
      <c r="B155" s="1774" t="s">
        <v>2110</v>
      </c>
      <c r="C155" s="1784"/>
      <c r="D155" s="1784"/>
      <c r="E155" s="1784"/>
      <c r="F155" s="1776">
        <v>0.05</v>
      </c>
    </row>
    <row r="156" spans="1:6" ht="24.75" thickBot="1">
      <c r="A156" s="1770" t="s">
        <v>1400</v>
      </c>
      <c r="B156" s="1774" t="s">
        <v>2111</v>
      </c>
      <c r="C156" s="1784"/>
      <c r="D156" s="1784"/>
      <c r="E156" s="1784"/>
      <c r="F156" s="1776">
        <v>0.05</v>
      </c>
    </row>
    <row r="157" spans="1:6" ht="14.25" thickBot="1">
      <c r="A157" s="1778" t="s">
        <v>1400</v>
      </c>
      <c r="B157" s="1785" t="s">
        <v>2112</v>
      </c>
      <c r="C157" s="1781"/>
      <c r="D157" s="1781"/>
      <c r="E157" s="1781"/>
      <c r="F157" s="1786">
        <v>0.05</v>
      </c>
    </row>
    <row r="158" spans="1:6" ht="14.25" thickBot="1">
      <c r="A158" s="1770" t="s">
        <v>1402</v>
      </c>
      <c r="B158" s="1771" t="s">
        <v>2113</v>
      </c>
      <c r="C158" s="1772">
        <v>0.13</v>
      </c>
      <c r="D158" s="1772">
        <v>0.13</v>
      </c>
      <c r="E158" s="1772">
        <v>0.13</v>
      </c>
      <c r="F158" s="1773">
        <v>0.13</v>
      </c>
    </row>
    <row r="159" spans="1:6" ht="14.25" thickBot="1">
      <c r="A159" s="1770" t="s">
        <v>1402</v>
      </c>
      <c r="B159" s="1774" t="s">
        <v>1067</v>
      </c>
      <c r="C159" s="1775">
        <v>0.13</v>
      </c>
      <c r="D159" s="1775">
        <v>0.13</v>
      </c>
      <c r="E159" s="1775">
        <v>0.13</v>
      </c>
      <c r="F159" s="1776">
        <v>0.13</v>
      </c>
    </row>
    <row r="160" spans="1:6" ht="14.25" thickBot="1">
      <c r="A160" s="1770" t="s">
        <v>1402</v>
      </c>
      <c r="B160" s="1774" t="s">
        <v>1081</v>
      </c>
      <c r="C160" s="1775">
        <v>0.13</v>
      </c>
      <c r="D160" s="1775">
        <v>0.13</v>
      </c>
      <c r="E160" s="1775">
        <v>0.129</v>
      </c>
      <c r="F160" s="1776">
        <v>0.13</v>
      </c>
    </row>
    <row r="161" spans="1:6" ht="14.25" thickBot="1">
      <c r="A161" s="1770" t="s">
        <v>1402</v>
      </c>
      <c r="B161" s="1774" t="s">
        <v>1094</v>
      </c>
      <c r="C161" s="1775">
        <v>0.128</v>
      </c>
      <c r="D161" s="1775">
        <v>0.128</v>
      </c>
      <c r="E161" s="1775">
        <v>0.125</v>
      </c>
      <c r="F161" s="1776">
        <v>0.13</v>
      </c>
    </row>
    <row r="162" spans="1:6" ht="14.25" thickBot="1">
      <c r="A162" s="1770" t="s">
        <v>1402</v>
      </c>
      <c r="B162" s="1774" t="s">
        <v>1108</v>
      </c>
      <c r="C162" s="1775">
        <v>0.122</v>
      </c>
      <c r="D162" s="1775">
        <v>0.122</v>
      </c>
      <c r="E162" s="1775">
        <v>0.126</v>
      </c>
      <c r="F162" s="1776">
        <v>0.122</v>
      </c>
    </row>
    <row r="163" spans="1:6" ht="14.25" thickBot="1">
      <c r="A163" s="1770" t="s">
        <v>1402</v>
      </c>
      <c r="B163" s="1774" t="s">
        <v>1119</v>
      </c>
      <c r="C163" s="1775">
        <v>0.13</v>
      </c>
      <c r="D163" s="1775">
        <v>0.13</v>
      </c>
      <c r="E163" s="1775">
        <v>0.125</v>
      </c>
      <c r="F163" s="1776">
        <v>0.13</v>
      </c>
    </row>
    <row r="164" spans="1:6" ht="14.25" thickBot="1">
      <c r="A164" s="1770" t="s">
        <v>1402</v>
      </c>
      <c r="B164" s="1774" t="s">
        <v>1130</v>
      </c>
      <c r="C164" s="1775">
        <v>0.13</v>
      </c>
      <c r="D164" s="1775">
        <v>0.13</v>
      </c>
      <c r="E164" s="1775">
        <v>0.13</v>
      </c>
      <c r="F164" s="1776">
        <v>0.13</v>
      </c>
    </row>
    <row r="165" spans="1:6" ht="14.25" thickBot="1">
      <c r="A165" s="1770" t="s">
        <v>1402</v>
      </c>
      <c r="B165" s="1774" t="s">
        <v>1141</v>
      </c>
      <c r="C165" s="1775">
        <v>0.13</v>
      </c>
      <c r="D165" s="1775">
        <v>0.13</v>
      </c>
      <c r="E165" s="1775">
        <v>0.124</v>
      </c>
      <c r="F165" s="1776">
        <v>0.13</v>
      </c>
    </row>
    <row r="166" spans="1:6" ht="14.25" thickBot="1">
      <c r="A166" s="1770" t="s">
        <v>1402</v>
      </c>
      <c r="B166" s="1774" t="s">
        <v>1153</v>
      </c>
      <c r="C166" s="1775">
        <v>0.13</v>
      </c>
      <c r="D166" s="1775">
        <v>0.13</v>
      </c>
      <c r="E166" s="1775">
        <v>0.13</v>
      </c>
      <c r="F166" s="1776">
        <v>0.13</v>
      </c>
    </row>
    <row r="167" spans="1:6" ht="14.25" thickBot="1">
      <c r="A167" s="1770" t="s">
        <v>1402</v>
      </c>
      <c r="B167" s="1774" t="s">
        <v>1163</v>
      </c>
      <c r="C167" s="1775">
        <v>0.125</v>
      </c>
      <c r="D167" s="1775">
        <v>0.125</v>
      </c>
      <c r="E167" s="1775">
        <v>0.121</v>
      </c>
      <c r="F167" s="1783"/>
    </row>
    <row r="168" spans="1:6" ht="14.25" thickBot="1">
      <c r="A168" s="1770" t="s">
        <v>1402</v>
      </c>
      <c r="B168" s="1774" t="s">
        <v>1173</v>
      </c>
      <c r="C168" s="1775">
        <v>0.13</v>
      </c>
      <c r="D168" s="1775">
        <v>0.13</v>
      </c>
      <c r="E168" s="1775">
        <v>0.126</v>
      </c>
      <c r="F168" s="1783"/>
    </row>
    <row r="169" spans="1:6" ht="14.25" thickBot="1">
      <c r="A169" s="1770" t="s">
        <v>1402</v>
      </c>
      <c r="B169" s="1774" t="s">
        <v>1183</v>
      </c>
      <c r="C169" s="1775">
        <v>0.128</v>
      </c>
      <c r="D169" s="1775">
        <v>0.129</v>
      </c>
      <c r="E169" s="1775">
        <v>0.13</v>
      </c>
      <c r="F169" s="1783"/>
    </row>
    <row r="170" spans="1:6" ht="14.25" thickBot="1">
      <c r="A170" s="1770" t="s">
        <v>1402</v>
      </c>
      <c r="B170" s="1774" t="s">
        <v>1193</v>
      </c>
      <c r="C170" s="1775">
        <v>0.14099999999999999</v>
      </c>
      <c r="D170" s="1775">
        <v>0.13</v>
      </c>
      <c r="E170" s="1775">
        <v>0.125</v>
      </c>
      <c r="F170" s="1783"/>
    </row>
    <row r="171" spans="1:6" ht="14.25" thickBot="1">
      <c r="A171" s="1770" t="s">
        <v>1402</v>
      </c>
      <c r="B171" s="1774" t="s">
        <v>2114</v>
      </c>
      <c r="C171" s="1775">
        <v>0.127</v>
      </c>
      <c r="D171" s="1775">
        <v>0.126</v>
      </c>
      <c r="E171" s="1775">
        <v>0.126</v>
      </c>
      <c r="F171" s="1776">
        <v>0.11799999999999999</v>
      </c>
    </row>
    <row r="172" spans="1:6" ht="14.25" thickBot="1">
      <c r="A172" s="1770" t="s">
        <v>1402</v>
      </c>
      <c r="B172" s="1774" t="s">
        <v>2115</v>
      </c>
      <c r="C172" s="1775">
        <v>0.13</v>
      </c>
      <c r="D172" s="1775">
        <v>0.13</v>
      </c>
      <c r="E172" s="1775">
        <v>0.13</v>
      </c>
      <c r="F172" s="1783"/>
    </row>
    <row r="173" spans="1:6" ht="14.25" thickBot="1">
      <c r="A173" s="1770" t="s">
        <v>1402</v>
      </c>
      <c r="B173" s="1774" t="s">
        <v>1223</v>
      </c>
      <c r="C173" s="1775">
        <v>0.13</v>
      </c>
      <c r="D173" s="1775">
        <v>0.13</v>
      </c>
      <c r="E173" s="1775">
        <v>0.13</v>
      </c>
      <c r="F173" s="1783"/>
    </row>
    <row r="174" spans="1:6" ht="14.25" thickBot="1">
      <c r="A174" s="1770" t="s">
        <v>1402</v>
      </c>
      <c r="B174" s="1774" t="s">
        <v>2116</v>
      </c>
      <c r="C174" s="1775">
        <v>0.13</v>
      </c>
      <c r="D174" s="1775">
        <v>0.13</v>
      </c>
      <c r="E174" s="1775">
        <v>0.13</v>
      </c>
      <c r="F174" s="1776">
        <v>0.13</v>
      </c>
    </row>
    <row r="175" spans="1:6" ht="14.25" thickBot="1">
      <c r="A175" s="1770" t="s">
        <v>1402</v>
      </c>
      <c r="B175" s="1774" t="s">
        <v>2117</v>
      </c>
      <c r="C175" s="1775">
        <v>0.13</v>
      </c>
      <c r="D175" s="1775">
        <v>0.13</v>
      </c>
      <c r="E175" s="1775">
        <v>0.13</v>
      </c>
      <c r="F175" s="1776">
        <v>0.13</v>
      </c>
    </row>
    <row r="176" spans="1:6" ht="14.25" thickBot="1">
      <c r="A176" s="1770" t="s">
        <v>1402</v>
      </c>
      <c r="B176" s="1774" t="s">
        <v>1253</v>
      </c>
      <c r="C176" s="1775">
        <v>0.13</v>
      </c>
      <c r="D176" s="1775">
        <v>0.13</v>
      </c>
      <c r="E176" s="1775">
        <v>0.13</v>
      </c>
      <c r="F176" s="1776">
        <v>0.13</v>
      </c>
    </row>
    <row r="177" spans="1:6" ht="14.25" thickBot="1">
      <c r="A177" s="1770" t="s">
        <v>1402</v>
      </c>
      <c r="B177" s="1774" t="s">
        <v>2118</v>
      </c>
      <c r="C177" s="1775">
        <v>0.13</v>
      </c>
      <c r="D177" s="1775">
        <v>0.13</v>
      </c>
      <c r="E177" s="1775">
        <v>0.13</v>
      </c>
      <c r="F177" s="1776">
        <v>0.13</v>
      </c>
    </row>
    <row r="178" spans="1:6" ht="14.25" thickBot="1">
      <c r="A178" s="1770" t="s">
        <v>1402</v>
      </c>
      <c r="B178" s="1774" t="s">
        <v>1271</v>
      </c>
      <c r="C178" s="1775">
        <v>0.13</v>
      </c>
      <c r="D178" s="1775">
        <v>0.13</v>
      </c>
      <c r="E178" s="1775">
        <v>0.13</v>
      </c>
      <c r="F178" s="1776">
        <v>0.127</v>
      </c>
    </row>
    <row r="179" spans="1:6" ht="14.25" thickBot="1">
      <c r="A179" s="1770" t="s">
        <v>1402</v>
      </c>
      <c r="B179" s="1774" t="s">
        <v>1279</v>
      </c>
      <c r="C179" s="1775">
        <v>0.13</v>
      </c>
      <c r="D179" s="1775">
        <v>0.13</v>
      </c>
      <c r="E179" s="1775">
        <v>0.13</v>
      </c>
      <c r="F179" s="1783"/>
    </row>
    <row r="180" spans="1:6" ht="14.25" thickBot="1">
      <c r="A180" s="1770" t="s">
        <v>1402</v>
      </c>
      <c r="B180" s="1774" t="s">
        <v>2119</v>
      </c>
      <c r="C180" s="1775">
        <v>0.13</v>
      </c>
      <c r="D180" s="1775">
        <v>0.13</v>
      </c>
      <c r="E180" s="1775">
        <v>0.125</v>
      </c>
      <c r="F180" s="1776">
        <v>0.13</v>
      </c>
    </row>
    <row r="181" spans="1:6" ht="14.25" thickBot="1">
      <c r="A181" s="1770" t="s">
        <v>1402</v>
      </c>
      <c r="B181" s="1774" t="s">
        <v>1293</v>
      </c>
      <c r="C181" s="1775">
        <v>0.122</v>
      </c>
      <c r="D181" s="1775">
        <v>0.123</v>
      </c>
      <c r="E181" s="1775">
        <v>0.126</v>
      </c>
      <c r="F181" s="1776">
        <v>0.121</v>
      </c>
    </row>
    <row r="182" spans="1:6" ht="14.25" thickBot="1">
      <c r="A182" s="1770" t="s">
        <v>1402</v>
      </c>
      <c r="B182" s="1774" t="s">
        <v>1300</v>
      </c>
      <c r="C182" s="1775">
        <v>0.125</v>
      </c>
      <c r="D182" s="1775">
        <v>0.125</v>
      </c>
      <c r="E182" s="1775">
        <v>0.11700000000000001</v>
      </c>
      <c r="F182" s="1776">
        <v>0.13</v>
      </c>
    </row>
    <row r="183" spans="1:6" ht="14.25" thickBot="1">
      <c r="A183" s="1770" t="s">
        <v>1402</v>
      </c>
      <c r="B183" s="1774" t="s">
        <v>1307</v>
      </c>
      <c r="C183" s="1775">
        <v>0.127</v>
      </c>
      <c r="D183" s="1775">
        <v>0.127</v>
      </c>
      <c r="E183" s="1775">
        <v>0.128</v>
      </c>
      <c r="F183" s="1783"/>
    </row>
    <row r="184" spans="1:6" ht="14.25" thickBot="1">
      <c r="A184" s="1770" t="s">
        <v>1402</v>
      </c>
      <c r="B184" s="1774" t="s">
        <v>1314</v>
      </c>
      <c r="C184" s="1775">
        <v>0.125</v>
      </c>
      <c r="D184" s="1775">
        <v>0.125</v>
      </c>
      <c r="E184" s="1775">
        <v>0.127</v>
      </c>
      <c r="F184" s="1783"/>
    </row>
    <row r="185" spans="1:6" ht="14.25" thickBot="1">
      <c r="A185" s="1770" t="s">
        <v>1402</v>
      </c>
      <c r="B185" s="1774" t="s">
        <v>2120</v>
      </c>
      <c r="C185" s="1775">
        <v>0.127</v>
      </c>
      <c r="D185" s="1775">
        <v>0.127</v>
      </c>
      <c r="E185" s="1775">
        <v>0.128</v>
      </c>
      <c r="F185" s="1776">
        <v>0.13</v>
      </c>
    </row>
    <row r="186" spans="1:6" ht="24.75" thickBot="1">
      <c r="A186" s="1770" t="s">
        <v>1402</v>
      </c>
      <c r="B186" s="1774" t="s">
        <v>2121</v>
      </c>
      <c r="C186" s="1784"/>
      <c r="D186" s="1784"/>
      <c r="E186" s="1784"/>
      <c r="F186" s="1776">
        <v>0.05</v>
      </c>
    </row>
    <row r="187" spans="1:6" ht="14.25" thickBot="1">
      <c r="A187" s="1770" t="s">
        <v>1402</v>
      </c>
      <c r="B187" s="1774" t="s">
        <v>2122</v>
      </c>
      <c r="C187" s="1784"/>
      <c r="D187" s="1784"/>
      <c r="E187" s="1784"/>
      <c r="F187" s="1776">
        <v>0.05</v>
      </c>
    </row>
    <row r="188" spans="1:6" ht="14.25" thickBot="1">
      <c r="A188" s="1770" t="s">
        <v>1402</v>
      </c>
      <c r="B188" s="1774" t="s">
        <v>2123</v>
      </c>
      <c r="C188" s="1784"/>
      <c r="D188" s="1784"/>
      <c r="E188" s="1784"/>
      <c r="F188" s="1776">
        <v>0.05</v>
      </c>
    </row>
    <row r="189" spans="1:6" ht="24.75" thickBot="1">
      <c r="A189" s="1770" t="s">
        <v>1402</v>
      </c>
      <c r="B189" s="1774" t="s">
        <v>2124</v>
      </c>
      <c r="C189" s="1784"/>
      <c r="D189" s="1784"/>
      <c r="E189" s="1784"/>
      <c r="F189" s="1776">
        <v>0.05</v>
      </c>
    </row>
    <row r="190" spans="1:6" ht="24.75" thickBot="1">
      <c r="A190" s="1770" t="s">
        <v>1402</v>
      </c>
      <c r="B190" s="1774" t="s">
        <v>2125</v>
      </c>
      <c r="C190" s="1784"/>
      <c r="D190" s="1784"/>
      <c r="E190" s="1784"/>
      <c r="F190" s="1776">
        <v>0.05</v>
      </c>
    </row>
    <row r="191" spans="1:6" ht="24.75" thickBot="1">
      <c r="A191" s="1770" t="s">
        <v>1402</v>
      </c>
      <c r="B191" s="1774" t="s">
        <v>2126</v>
      </c>
      <c r="C191" s="1784"/>
      <c r="D191" s="1784"/>
      <c r="E191" s="1784"/>
      <c r="F191" s="1776">
        <v>0.05</v>
      </c>
    </row>
    <row r="192" spans="1:6" ht="24.75" thickBot="1">
      <c r="A192" s="1770" t="s">
        <v>1402</v>
      </c>
      <c r="B192" s="1774" t="s">
        <v>2127</v>
      </c>
      <c r="C192" s="1784"/>
      <c r="D192" s="1784"/>
      <c r="E192" s="1784"/>
      <c r="F192" s="1776">
        <v>0.05</v>
      </c>
    </row>
    <row r="193" spans="1:6" ht="24.75" thickBot="1">
      <c r="A193" s="1770" t="s">
        <v>1402</v>
      </c>
      <c r="B193" s="1774" t="s">
        <v>2128</v>
      </c>
      <c r="C193" s="1784"/>
      <c r="D193" s="1784"/>
      <c r="E193" s="1784"/>
      <c r="F193" s="1776">
        <v>0.05</v>
      </c>
    </row>
    <row r="194" spans="1:6" ht="24.75" thickBot="1">
      <c r="A194" s="1770" t="s">
        <v>1402</v>
      </c>
      <c r="B194" s="1774" t="s">
        <v>2129</v>
      </c>
      <c r="C194" s="1784"/>
      <c r="D194" s="1784"/>
      <c r="E194" s="1784"/>
      <c r="F194" s="1776">
        <v>0.05</v>
      </c>
    </row>
    <row r="195" spans="1:6" ht="14.25" thickBot="1">
      <c r="A195" s="1770" t="s">
        <v>1402</v>
      </c>
      <c r="B195" s="1774" t="s">
        <v>2130</v>
      </c>
      <c r="C195" s="1784"/>
      <c r="D195" s="1784"/>
      <c r="E195" s="1784"/>
      <c r="F195" s="1776">
        <v>0.05</v>
      </c>
    </row>
    <row r="196" spans="1:6" ht="24.75" thickBot="1">
      <c r="A196" s="1770" t="s">
        <v>1402</v>
      </c>
      <c r="B196" s="1774" t="s">
        <v>2131</v>
      </c>
      <c r="C196" s="1784"/>
      <c r="D196" s="1784"/>
      <c r="E196" s="1784"/>
      <c r="F196" s="1776">
        <v>0.05</v>
      </c>
    </row>
    <row r="197" spans="1:6" ht="24.75" thickBot="1">
      <c r="A197" s="1770" t="s">
        <v>1402</v>
      </c>
      <c r="B197" s="1774" t="s">
        <v>2132</v>
      </c>
      <c r="C197" s="1784"/>
      <c r="D197" s="1784"/>
      <c r="E197" s="1784"/>
      <c r="F197" s="1776">
        <v>0.05</v>
      </c>
    </row>
    <row r="198" spans="1:6" ht="24.75" thickBot="1">
      <c r="A198" s="1770" t="s">
        <v>1402</v>
      </c>
      <c r="B198" s="1774" t="s">
        <v>2133</v>
      </c>
      <c r="C198" s="1784"/>
      <c r="D198" s="1784"/>
      <c r="E198" s="1784"/>
      <c r="F198" s="1776">
        <v>0.05</v>
      </c>
    </row>
    <row r="199" spans="1:6" ht="24.75" thickBot="1">
      <c r="A199" s="1770" t="s">
        <v>1402</v>
      </c>
      <c r="B199" s="1774" t="s">
        <v>2134</v>
      </c>
      <c r="C199" s="1784"/>
      <c r="D199" s="1784"/>
      <c r="E199" s="1784"/>
      <c r="F199" s="1776">
        <v>0.05</v>
      </c>
    </row>
    <row r="200" spans="1:6" ht="24.75" thickBot="1">
      <c r="A200" s="1770" t="s">
        <v>1402</v>
      </c>
      <c r="B200" s="1774" t="s">
        <v>2135</v>
      </c>
      <c r="C200" s="1784"/>
      <c r="D200" s="1784"/>
      <c r="E200" s="1784"/>
      <c r="F200" s="1776">
        <v>0.05</v>
      </c>
    </row>
    <row r="201" spans="1:6" ht="24.75" thickBot="1">
      <c r="A201" s="1770" t="s">
        <v>1402</v>
      </c>
      <c r="B201" s="1774" t="s">
        <v>2136</v>
      </c>
      <c r="C201" s="1784"/>
      <c r="D201" s="1784"/>
      <c r="E201" s="1784"/>
      <c r="F201" s="1776">
        <v>0.05</v>
      </c>
    </row>
    <row r="202" spans="1:6" ht="24.75" thickBot="1">
      <c r="A202" s="1770" t="s">
        <v>1402</v>
      </c>
      <c r="B202" s="1774" t="s">
        <v>2137</v>
      </c>
      <c r="C202" s="1784"/>
      <c r="D202" s="1784"/>
      <c r="E202" s="1784"/>
      <c r="F202" s="1776">
        <v>0.05</v>
      </c>
    </row>
    <row r="203" spans="1:6" ht="24.75" thickBot="1">
      <c r="A203" s="1770" t="s">
        <v>1402</v>
      </c>
      <c r="B203" s="1774" t="s">
        <v>2138</v>
      </c>
      <c r="C203" s="1784"/>
      <c r="D203" s="1784"/>
      <c r="E203" s="1784"/>
      <c r="F203" s="1776">
        <v>0.05</v>
      </c>
    </row>
    <row r="204" spans="1:6" ht="14.25" thickBot="1">
      <c r="A204" s="1770" t="s">
        <v>1402</v>
      </c>
      <c r="B204" s="1774" t="s">
        <v>2139</v>
      </c>
      <c r="C204" s="1784"/>
      <c r="D204" s="1784"/>
      <c r="E204" s="1784"/>
      <c r="F204" s="1776">
        <v>0.05</v>
      </c>
    </row>
    <row r="205" spans="1:6" ht="14.25" thickBot="1">
      <c r="A205" s="1778" t="s">
        <v>1402</v>
      </c>
      <c r="B205" s="1785" t="s">
        <v>2140</v>
      </c>
      <c r="C205" s="1781"/>
      <c r="D205" s="1781"/>
      <c r="E205" s="1781"/>
      <c r="F205" s="1786">
        <v>0.05</v>
      </c>
    </row>
    <row r="206" spans="1:6" ht="14.25" thickBot="1">
      <c r="A206" s="1770" t="s">
        <v>1404</v>
      </c>
      <c r="B206" s="1771" t="s">
        <v>2141</v>
      </c>
      <c r="C206" s="1772">
        <v>0.15</v>
      </c>
      <c r="D206" s="1772">
        <v>0.15</v>
      </c>
      <c r="E206" s="1772">
        <v>0.15</v>
      </c>
      <c r="F206" s="1773">
        <v>0.15</v>
      </c>
    </row>
    <row r="207" spans="1:6" ht="14.25" thickBot="1">
      <c r="A207" s="1770" t="s">
        <v>1404</v>
      </c>
      <c r="B207" s="1774" t="s">
        <v>1068</v>
      </c>
      <c r="C207" s="1775">
        <v>0.15</v>
      </c>
      <c r="D207" s="1775">
        <v>0.15</v>
      </c>
      <c r="E207" s="1775">
        <v>0.15</v>
      </c>
      <c r="F207" s="1776">
        <v>0.14399999999999999</v>
      </c>
    </row>
    <row r="208" spans="1:6" ht="14.25" thickBot="1">
      <c r="A208" s="1770" t="s">
        <v>1404</v>
      </c>
      <c r="B208" s="1774" t="s">
        <v>1082</v>
      </c>
      <c r="C208" s="1775">
        <v>0.15</v>
      </c>
      <c r="D208" s="1775">
        <v>0.15</v>
      </c>
      <c r="E208" s="1775">
        <v>0.15</v>
      </c>
      <c r="F208" s="1776">
        <v>0.15</v>
      </c>
    </row>
    <row r="209" spans="1:6" ht="14.25" thickBot="1">
      <c r="A209" s="1770" t="s">
        <v>1404</v>
      </c>
      <c r="B209" s="1774" t="s">
        <v>1095</v>
      </c>
      <c r="C209" s="1775">
        <v>0.13700000000000001</v>
      </c>
      <c r="D209" s="1775">
        <v>0.13700000000000001</v>
      </c>
      <c r="E209" s="1775">
        <v>0.14000000000000001</v>
      </c>
      <c r="F209" s="1776">
        <v>0.11700000000000001</v>
      </c>
    </row>
    <row r="210" spans="1:6" ht="14.25" thickBot="1">
      <c r="A210" s="1770" t="s">
        <v>1404</v>
      </c>
      <c r="B210" s="1774" t="s">
        <v>2142</v>
      </c>
      <c r="C210" s="1775">
        <v>0.15</v>
      </c>
      <c r="D210" s="1775">
        <v>0.15</v>
      </c>
      <c r="E210" s="1775">
        <v>0.15</v>
      </c>
      <c r="F210" s="1776">
        <v>0.13800000000000001</v>
      </c>
    </row>
    <row r="211" spans="1:6" ht="14.25" thickBot="1">
      <c r="A211" s="1770" t="s">
        <v>1404</v>
      </c>
      <c r="B211" s="1774" t="s">
        <v>2143</v>
      </c>
      <c r="C211" s="1775">
        <v>0.13700000000000001</v>
      </c>
      <c r="D211" s="1775">
        <v>0.13500000000000001</v>
      </c>
      <c r="E211" s="1775">
        <v>0.13600000000000001</v>
      </c>
      <c r="F211" s="1776">
        <v>0.1</v>
      </c>
    </row>
    <row r="212" spans="1:6" ht="14.25" thickBot="1">
      <c r="A212" s="1770" t="s">
        <v>1404</v>
      </c>
      <c r="B212" s="1774" t="s">
        <v>2144</v>
      </c>
      <c r="C212" s="1775">
        <v>0.15</v>
      </c>
      <c r="D212" s="1775">
        <v>0.15</v>
      </c>
      <c r="E212" s="1775">
        <v>0.14799999999999999</v>
      </c>
      <c r="F212" s="1776">
        <v>0.13600000000000001</v>
      </c>
    </row>
    <row r="213" spans="1:6" ht="14.25" thickBot="1">
      <c r="A213" s="1770" t="s">
        <v>1404</v>
      </c>
      <c r="B213" s="1774" t="s">
        <v>1142</v>
      </c>
      <c r="C213" s="1775">
        <v>0.15</v>
      </c>
      <c r="D213" s="1775">
        <v>0.15</v>
      </c>
      <c r="E213" s="1775">
        <v>0.15</v>
      </c>
      <c r="F213" s="1776">
        <v>0.13800000000000001</v>
      </c>
    </row>
    <row r="214" spans="1:6" ht="14.25" thickBot="1">
      <c r="A214" s="1770" t="s">
        <v>1404</v>
      </c>
      <c r="B214" s="1774" t="s">
        <v>1154</v>
      </c>
      <c r="C214" s="1775">
        <v>9.0999999999999998E-2</v>
      </c>
      <c r="D214" s="1775">
        <v>0.09</v>
      </c>
      <c r="E214" s="1775">
        <v>9.1999999999999998E-2</v>
      </c>
      <c r="F214" s="1783"/>
    </row>
    <row r="215" spans="1:6" ht="14.25" thickBot="1">
      <c r="A215" s="1770" t="s">
        <v>1404</v>
      </c>
      <c r="B215" s="1774" t="s">
        <v>2145</v>
      </c>
      <c r="C215" s="1775">
        <v>0.15</v>
      </c>
      <c r="D215" s="1775">
        <v>0.15</v>
      </c>
      <c r="E215" s="1775">
        <v>0.15</v>
      </c>
      <c r="F215" s="1776">
        <v>0.15</v>
      </c>
    </row>
    <row r="216" spans="1:6" ht="14.25" thickBot="1">
      <c r="A216" s="1770" t="s">
        <v>1404</v>
      </c>
      <c r="B216" s="1774" t="s">
        <v>1174</v>
      </c>
      <c r="C216" s="1775">
        <v>0.14699999999999999</v>
      </c>
      <c r="D216" s="1775">
        <v>0.14699999999999999</v>
      </c>
      <c r="E216" s="1775">
        <v>0.15</v>
      </c>
      <c r="F216" s="1776">
        <v>0.14000000000000001</v>
      </c>
    </row>
    <row r="217" spans="1:6" ht="14.25" thickBot="1">
      <c r="A217" s="1770" t="s">
        <v>1404</v>
      </c>
      <c r="B217" s="1774" t="s">
        <v>1184</v>
      </c>
      <c r="C217" s="1775">
        <v>0.15</v>
      </c>
      <c r="D217" s="1775">
        <v>0.15</v>
      </c>
      <c r="E217" s="1775">
        <v>0.15</v>
      </c>
      <c r="F217" s="1776">
        <v>0.15</v>
      </c>
    </row>
    <row r="218" spans="1:6" ht="14.25" thickBot="1">
      <c r="A218" s="1770" t="s">
        <v>1404</v>
      </c>
      <c r="B218" s="1774" t="s">
        <v>2146</v>
      </c>
      <c r="C218" s="1775">
        <v>0.15</v>
      </c>
      <c r="D218" s="1775">
        <v>0.15</v>
      </c>
      <c r="E218" s="1775">
        <v>0.15</v>
      </c>
      <c r="F218" s="1776">
        <v>0.15</v>
      </c>
    </row>
    <row r="219" spans="1:6" ht="14.25" thickBot="1">
      <c r="A219" s="1770" t="s">
        <v>1404</v>
      </c>
      <c r="B219" s="1774" t="s">
        <v>1204</v>
      </c>
      <c r="C219" s="1775">
        <v>0.15</v>
      </c>
      <c r="D219" s="1775">
        <v>0.15</v>
      </c>
      <c r="E219" s="1775">
        <v>0.15</v>
      </c>
      <c r="F219" s="1776">
        <v>0.14799999999999999</v>
      </c>
    </row>
    <row r="220" spans="1:6" ht="14.25" thickBot="1">
      <c r="A220" s="1770" t="s">
        <v>1404</v>
      </c>
      <c r="B220" s="1774" t="s">
        <v>2147</v>
      </c>
      <c r="C220" s="1775">
        <v>0.15</v>
      </c>
      <c r="D220" s="1775">
        <v>0.15</v>
      </c>
      <c r="E220" s="1775">
        <v>0.15</v>
      </c>
      <c r="F220" s="1776">
        <v>0.15</v>
      </c>
    </row>
    <row r="221" spans="1:6" ht="14.25" thickBot="1">
      <c r="A221" s="1770" t="s">
        <v>1404</v>
      </c>
      <c r="B221" s="1774" t="s">
        <v>1224</v>
      </c>
      <c r="C221" s="1775"/>
      <c r="D221" s="1784"/>
      <c r="E221" s="1784"/>
      <c r="F221" s="1776">
        <v>0.14799999999999999</v>
      </c>
    </row>
    <row r="222" spans="1:6" ht="14.25" thickBot="1">
      <c r="A222" s="1770" t="s">
        <v>1404</v>
      </c>
      <c r="B222" s="1774" t="s">
        <v>1234</v>
      </c>
      <c r="C222" s="1775"/>
      <c r="D222" s="1784"/>
      <c r="E222" s="1784"/>
      <c r="F222" s="1776">
        <v>0.1</v>
      </c>
    </row>
    <row r="223" spans="1:6" ht="14.25" thickBot="1">
      <c r="A223" s="1770" t="s">
        <v>1404</v>
      </c>
      <c r="B223" s="1774" t="s">
        <v>1244</v>
      </c>
      <c r="C223" s="1775"/>
      <c r="D223" s="1784"/>
      <c r="E223" s="1784"/>
      <c r="F223" s="1776">
        <v>0.15</v>
      </c>
    </row>
    <row r="224" spans="1:6" ht="14.25" thickBot="1">
      <c r="A224" s="1770" t="s">
        <v>1404</v>
      </c>
      <c r="B224" s="1774" t="s">
        <v>1254</v>
      </c>
      <c r="C224" s="1775"/>
      <c r="D224" s="1784"/>
      <c r="E224" s="1784"/>
      <c r="F224" s="1776">
        <v>0.15</v>
      </c>
    </row>
    <row r="225" spans="1:6" ht="14.25" thickBot="1">
      <c r="A225" s="1770" t="s">
        <v>1404</v>
      </c>
      <c r="B225" s="1774" t="s">
        <v>2148</v>
      </c>
      <c r="C225" s="1775">
        <v>0.15</v>
      </c>
      <c r="D225" s="1775">
        <v>0.15</v>
      </c>
      <c r="E225" s="1775">
        <v>0.15</v>
      </c>
      <c r="F225" s="1776">
        <v>0.15</v>
      </c>
    </row>
    <row r="226" spans="1:6" ht="14.25" thickBot="1">
      <c r="A226" s="1770" t="s">
        <v>1404</v>
      </c>
      <c r="B226" s="1774" t="s">
        <v>1272</v>
      </c>
      <c r="C226" s="1775">
        <v>0.15</v>
      </c>
      <c r="D226" s="1775">
        <v>0.15</v>
      </c>
      <c r="E226" s="1775">
        <v>0.15</v>
      </c>
      <c r="F226" s="1776">
        <v>0.14799999999999999</v>
      </c>
    </row>
    <row r="227" spans="1:6" ht="14.25" thickBot="1">
      <c r="A227" s="1770" t="s">
        <v>1404</v>
      </c>
      <c r="B227" s="1774" t="s">
        <v>2149</v>
      </c>
      <c r="C227" s="1775">
        <v>0.15</v>
      </c>
      <c r="D227" s="1775">
        <v>0.15</v>
      </c>
      <c r="E227" s="1775">
        <v>0.15</v>
      </c>
      <c r="F227" s="1776">
        <v>0.15</v>
      </c>
    </row>
    <row r="228" spans="1:6" ht="14.25" thickBot="1">
      <c r="A228" s="1770" t="s">
        <v>1404</v>
      </c>
      <c r="B228" s="1774" t="s">
        <v>1287</v>
      </c>
      <c r="C228" s="1775">
        <v>0.15</v>
      </c>
      <c r="D228" s="1775">
        <v>0.15</v>
      </c>
      <c r="E228" s="1775">
        <v>0.15</v>
      </c>
      <c r="F228" s="1776">
        <v>0.15</v>
      </c>
    </row>
    <row r="229" spans="1:6" ht="14.25" thickBot="1">
      <c r="A229" s="1770" t="s">
        <v>1404</v>
      </c>
      <c r="B229" s="1774" t="s">
        <v>1294</v>
      </c>
      <c r="C229" s="1775">
        <v>0.15</v>
      </c>
      <c r="D229" s="1775">
        <v>0.15</v>
      </c>
      <c r="E229" s="1775">
        <v>0.15</v>
      </c>
      <c r="F229" s="1783"/>
    </row>
    <row r="230" spans="1:6" ht="14.25" thickBot="1">
      <c r="A230" s="1770" t="s">
        <v>1404</v>
      </c>
      <c r="B230" s="1774" t="s">
        <v>1301</v>
      </c>
      <c r="C230" s="1775">
        <v>0.14499999999999999</v>
      </c>
      <c r="D230" s="1775">
        <v>0.14499999999999999</v>
      </c>
      <c r="E230" s="1775">
        <v>0.14399999999999999</v>
      </c>
      <c r="F230" s="1783"/>
    </row>
    <row r="231" spans="1:6" ht="14.25" thickBot="1">
      <c r="A231" s="1770" t="s">
        <v>1404</v>
      </c>
      <c r="B231" s="1774" t="s">
        <v>2150</v>
      </c>
      <c r="C231" s="1775">
        <v>0.128</v>
      </c>
      <c r="D231" s="1775">
        <v>0.125</v>
      </c>
      <c r="E231" s="1775">
        <v>0.13200000000000001</v>
      </c>
      <c r="F231" s="1783"/>
    </row>
    <row r="232" spans="1:6" ht="14.25" thickBot="1">
      <c r="A232" s="1770" t="s">
        <v>1404</v>
      </c>
      <c r="B232" s="1774" t="s">
        <v>2151</v>
      </c>
      <c r="C232" s="1775">
        <v>0.14499999999999999</v>
      </c>
      <c r="D232" s="1775">
        <v>0.14399999999999999</v>
      </c>
      <c r="E232" s="1775">
        <v>0.14599999999999999</v>
      </c>
      <c r="F232" s="1776">
        <v>0.13800000000000001</v>
      </c>
    </row>
    <row r="233" spans="1:6" ht="14.25" thickBot="1">
      <c r="A233" s="1770" t="s">
        <v>1404</v>
      </c>
      <c r="B233" s="1774" t="s">
        <v>2152</v>
      </c>
      <c r="C233" s="1775">
        <v>0.14499999999999999</v>
      </c>
      <c r="D233" s="1775">
        <v>0.14299999999999999</v>
      </c>
      <c r="E233" s="1775">
        <v>0.14199999999999999</v>
      </c>
      <c r="F233" s="1783"/>
    </row>
    <row r="234" spans="1:6" ht="14.25" thickBot="1">
      <c r="A234" s="1770" t="s">
        <v>1404</v>
      </c>
      <c r="B234" s="1774" t="s">
        <v>2153</v>
      </c>
      <c r="C234" s="1775">
        <v>0.14000000000000001</v>
      </c>
      <c r="D234" s="1775">
        <v>0.14000000000000001</v>
      </c>
      <c r="E234" s="1775">
        <v>0.14399999999999999</v>
      </c>
      <c r="F234" s="1783"/>
    </row>
    <row r="235" spans="1:6" ht="14.25" thickBot="1">
      <c r="A235" s="1770" t="s">
        <v>1404</v>
      </c>
      <c r="B235" s="1774" t="s">
        <v>2154</v>
      </c>
      <c r="C235" s="1775">
        <v>0.14099999999999999</v>
      </c>
      <c r="D235" s="1775">
        <v>0.14199999999999999</v>
      </c>
      <c r="E235" s="1775">
        <v>0.14499999999999999</v>
      </c>
      <c r="F235" s="1776">
        <v>0.15</v>
      </c>
    </row>
    <row r="236" spans="1:6" ht="14.25" thickBot="1">
      <c r="A236" s="1770" t="s">
        <v>1404</v>
      </c>
      <c r="B236" s="1774" t="s">
        <v>1336</v>
      </c>
      <c r="C236" s="1784"/>
      <c r="D236" s="1784"/>
      <c r="E236" s="1784"/>
      <c r="F236" s="1776">
        <v>0.14299999999999999</v>
      </c>
    </row>
    <row r="237" spans="1:6" ht="24.75" thickBot="1">
      <c r="A237" s="1770" t="s">
        <v>1404</v>
      </c>
      <c r="B237" s="1774" t="s">
        <v>2155</v>
      </c>
      <c r="C237" s="1784"/>
      <c r="D237" s="1784"/>
      <c r="E237" s="1784"/>
      <c r="F237" s="1776">
        <v>0.05</v>
      </c>
    </row>
    <row r="238" spans="1:6" ht="24.75" thickBot="1">
      <c r="A238" s="1770" t="s">
        <v>1404</v>
      </c>
      <c r="B238" s="1774" t="s">
        <v>2156</v>
      </c>
      <c r="C238" s="1784"/>
      <c r="D238" s="1784"/>
      <c r="E238" s="1784"/>
      <c r="F238" s="1776">
        <v>0.05</v>
      </c>
    </row>
    <row r="239" spans="1:6" ht="24.75" thickBot="1">
      <c r="A239" s="1770" t="s">
        <v>1404</v>
      </c>
      <c r="B239" s="1774" t="s">
        <v>2157</v>
      </c>
      <c r="C239" s="1784"/>
      <c r="D239" s="1784"/>
      <c r="E239" s="1784"/>
      <c r="F239" s="1776">
        <v>0.05</v>
      </c>
    </row>
    <row r="240" spans="1:6" ht="24.75" thickBot="1">
      <c r="A240" s="1770" t="s">
        <v>1404</v>
      </c>
      <c r="B240" s="1774" t="s">
        <v>2158</v>
      </c>
      <c r="C240" s="1784"/>
      <c r="D240" s="1784"/>
      <c r="E240" s="1784"/>
      <c r="F240" s="1776">
        <v>0.05</v>
      </c>
    </row>
    <row r="241" spans="1:6" ht="24.75" thickBot="1">
      <c r="A241" s="1770" t="s">
        <v>1404</v>
      </c>
      <c r="B241" s="1774" t="s">
        <v>2159</v>
      </c>
      <c r="C241" s="1784"/>
      <c r="D241" s="1784"/>
      <c r="E241" s="1784"/>
      <c r="F241" s="1776">
        <v>0.05</v>
      </c>
    </row>
    <row r="242" spans="1:6" ht="24.75" thickBot="1">
      <c r="A242" s="1770" t="s">
        <v>1404</v>
      </c>
      <c r="B242" s="1774" t="s">
        <v>2160</v>
      </c>
      <c r="C242" s="1784"/>
      <c r="D242" s="1784"/>
      <c r="E242" s="1784"/>
      <c r="F242" s="1776">
        <v>0.05</v>
      </c>
    </row>
    <row r="243" spans="1:6" ht="24.75" thickBot="1">
      <c r="A243" s="1770" t="s">
        <v>1404</v>
      </c>
      <c r="B243" s="1774" t="s">
        <v>2161</v>
      </c>
      <c r="C243" s="1784"/>
      <c r="D243" s="1784"/>
      <c r="E243" s="1784"/>
      <c r="F243" s="1776">
        <v>0.05</v>
      </c>
    </row>
    <row r="244" spans="1:6" ht="24.75" thickBot="1">
      <c r="A244" s="1778" t="s">
        <v>1404</v>
      </c>
      <c r="B244" s="1785" t="s">
        <v>2162</v>
      </c>
      <c r="C244" s="1781"/>
      <c r="D244" s="1781"/>
      <c r="E244" s="1781"/>
      <c r="F244" s="1786">
        <v>0.05</v>
      </c>
    </row>
    <row r="245" spans="1:6" ht="14.25" thickBot="1">
      <c r="A245" s="1770" t="s">
        <v>1406</v>
      </c>
      <c r="B245" s="1771" t="s">
        <v>2163</v>
      </c>
      <c r="C245" s="1772">
        <v>0.15</v>
      </c>
      <c r="D245" s="1772">
        <v>0.15</v>
      </c>
      <c r="E245" s="1772">
        <v>0.15</v>
      </c>
      <c r="F245" s="1773">
        <v>0.14299999999999999</v>
      </c>
    </row>
    <row r="246" spans="1:6" ht="14.25" thickBot="1">
      <c r="A246" s="1770" t="s">
        <v>1406</v>
      </c>
      <c r="B246" s="1774" t="s">
        <v>1069</v>
      </c>
      <c r="C246" s="1775">
        <v>0.15</v>
      </c>
      <c r="D246" s="1775">
        <v>0.15</v>
      </c>
      <c r="E246" s="1775">
        <v>0.15</v>
      </c>
      <c r="F246" s="1776">
        <v>0.114</v>
      </c>
    </row>
    <row r="247" spans="1:6" ht="14.25" thickBot="1">
      <c r="A247" s="1770" t="s">
        <v>1406</v>
      </c>
      <c r="B247" s="1774" t="s">
        <v>2164</v>
      </c>
      <c r="C247" s="1775">
        <v>0.15</v>
      </c>
      <c r="D247" s="1775">
        <v>0.15</v>
      </c>
      <c r="E247" s="1775">
        <v>0.15</v>
      </c>
      <c r="F247" s="1776">
        <v>0.15</v>
      </c>
    </row>
    <row r="248" spans="1:6" ht="14.25" thickBot="1">
      <c r="A248" s="1770" t="s">
        <v>1406</v>
      </c>
      <c r="B248" s="1774" t="s">
        <v>2165</v>
      </c>
      <c r="C248" s="1775">
        <v>0.15</v>
      </c>
      <c r="D248" s="1775">
        <v>0.15</v>
      </c>
      <c r="E248" s="1775">
        <v>0.15</v>
      </c>
      <c r="F248" s="1776">
        <v>0.14000000000000001</v>
      </c>
    </row>
    <row r="249" spans="1:6" ht="14.25" thickBot="1">
      <c r="A249" s="1770" t="s">
        <v>1406</v>
      </c>
      <c r="B249" s="1774" t="s">
        <v>2166</v>
      </c>
      <c r="C249" s="1775">
        <v>0.15</v>
      </c>
      <c r="D249" s="1775">
        <v>0.14899999999999999</v>
      </c>
      <c r="E249" s="1775">
        <v>0.15</v>
      </c>
      <c r="F249" s="1776">
        <v>0.1</v>
      </c>
    </row>
    <row r="250" spans="1:6" ht="14.25" thickBot="1">
      <c r="A250" s="1770" t="s">
        <v>1406</v>
      </c>
      <c r="B250" s="1774" t="s">
        <v>2167</v>
      </c>
      <c r="C250" s="1775">
        <v>0.15</v>
      </c>
      <c r="D250" s="1775">
        <v>0.15</v>
      </c>
      <c r="E250" s="1775">
        <v>0.15</v>
      </c>
      <c r="F250" s="1776">
        <v>0.14399999999999999</v>
      </c>
    </row>
    <row r="251" spans="1:6" ht="14.25" thickBot="1">
      <c r="A251" s="1770" t="s">
        <v>1406</v>
      </c>
      <c r="B251" s="1774" t="s">
        <v>1132</v>
      </c>
      <c r="C251" s="1775">
        <v>0.15</v>
      </c>
      <c r="D251" s="1775">
        <v>0.15</v>
      </c>
      <c r="E251" s="1775">
        <v>0.15</v>
      </c>
      <c r="F251" s="1776">
        <v>0.14299999999999999</v>
      </c>
    </row>
    <row r="252" spans="1:6" ht="14.25" thickBot="1">
      <c r="A252" s="1770" t="s">
        <v>1406</v>
      </c>
      <c r="B252" s="1774" t="s">
        <v>1143</v>
      </c>
      <c r="C252" s="1775">
        <v>0.15</v>
      </c>
      <c r="D252" s="1775">
        <v>0.15</v>
      </c>
      <c r="E252" s="1775">
        <v>0.15</v>
      </c>
      <c r="F252" s="1776">
        <v>0.1</v>
      </c>
    </row>
    <row r="253" spans="1:6" ht="14.25" thickBot="1">
      <c r="A253" s="1770" t="s">
        <v>1406</v>
      </c>
      <c r="B253" s="1774" t="s">
        <v>1155</v>
      </c>
      <c r="C253" s="1775">
        <v>0.15</v>
      </c>
      <c r="D253" s="1775">
        <v>0.15</v>
      </c>
      <c r="E253" s="1775">
        <v>0.15</v>
      </c>
      <c r="F253" s="1776">
        <v>0.1</v>
      </c>
    </row>
    <row r="254" spans="1:6" ht="14.25" thickBot="1">
      <c r="A254" s="1770" t="s">
        <v>1406</v>
      </c>
      <c r="B254" s="1774" t="s">
        <v>1165</v>
      </c>
      <c r="C254" s="1784"/>
      <c r="D254" s="1784"/>
      <c r="E254" s="1784"/>
      <c r="F254" s="1776">
        <v>0.15</v>
      </c>
    </row>
    <row r="255" spans="1:6" ht="14.25" thickBot="1">
      <c r="A255" s="1770" t="s">
        <v>1406</v>
      </c>
      <c r="B255" s="1774" t="s">
        <v>1175</v>
      </c>
      <c r="C255" s="1784"/>
      <c r="D255" s="1784"/>
      <c r="E255" s="1784"/>
      <c r="F255" s="1776">
        <v>0.14299999999999999</v>
      </c>
    </row>
    <row r="256" spans="1:6" ht="14.25" thickBot="1">
      <c r="A256" s="1770" t="s">
        <v>1406</v>
      </c>
      <c r="B256" s="1774" t="s">
        <v>2168</v>
      </c>
      <c r="C256" s="1775">
        <v>0.14599999999999999</v>
      </c>
      <c r="D256" s="1775">
        <v>0.14699999999999999</v>
      </c>
      <c r="E256" s="1775">
        <v>0.15</v>
      </c>
      <c r="F256" s="1776">
        <v>0.13200000000000001</v>
      </c>
    </row>
    <row r="257" spans="1:6" ht="14.25" thickBot="1">
      <c r="A257" s="1770" t="s">
        <v>1406</v>
      </c>
      <c r="B257" s="1774" t="s">
        <v>1195</v>
      </c>
      <c r="C257" s="1775">
        <v>0.15</v>
      </c>
      <c r="D257" s="1775">
        <v>0.15</v>
      </c>
      <c r="E257" s="1775">
        <v>0.15</v>
      </c>
      <c r="F257" s="1776">
        <v>0.13900000000000001</v>
      </c>
    </row>
    <row r="258" spans="1:6" ht="14.25" thickBot="1">
      <c r="A258" s="1770" t="s">
        <v>1406</v>
      </c>
      <c r="B258" s="1774" t="s">
        <v>1205</v>
      </c>
      <c r="C258" s="1775">
        <v>0.15</v>
      </c>
      <c r="D258" s="1775">
        <v>0.15</v>
      </c>
      <c r="E258" s="1775">
        <v>0.15</v>
      </c>
      <c r="F258" s="1776">
        <v>0.13</v>
      </c>
    </row>
    <row r="259" spans="1:6" ht="14.25" thickBot="1">
      <c r="A259" s="1770" t="s">
        <v>1406</v>
      </c>
      <c r="B259" s="1774" t="s">
        <v>2169</v>
      </c>
      <c r="C259" s="1775">
        <v>0.14799999999999999</v>
      </c>
      <c r="D259" s="1775">
        <v>0.14899999999999999</v>
      </c>
      <c r="E259" s="1775">
        <v>0.15</v>
      </c>
      <c r="F259" s="1776">
        <v>0.13700000000000001</v>
      </c>
    </row>
    <row r="260" spans="1:6" ht="14.25" thickBot="1">
      <c r="A260" s="1770" t="s">
        <v>1406</v>
      </c>
      <c r="B260" s="1774" t="s">
        <v>1225</v>
      </c>
      <c r="C260" s="1775">
        <v>0.15</v>
      </c>
      <c r="D260" s="1775">
        <v>0.15</v>
      </c>
      <c r="E260" s="1775">
        <v>0.15</v>
      </c>
      <c r="F260" s="1776">
        <v>0.14199999999999999</v>
      </c>
    </row>
    <row r="261" spans="1:6" ht="14.25" thickBot="1">
      <c r="A261" s="1770" t="s">
        <v>1406</v>
      </c>
      <c r="B261" s="1774" t="s">
        <v>1235</v>
      </c>
      <c r="C261" s="1775">
        <v>0.15</v>
      </c>
      <c r="D261" s="1775">
        <v>0.15</v>
      </c>
      <c r="E261" s="1775">
        <v>0.14899999999999999</v>
      </c>
      <c r="F261" s="1776">
        <v>0.14799999999999999</v>
      </c>
    </row>
    <row r="262" spans="1:6" ht="14.25" thickBot="1">
      <c r="A262" s="1770" t="s">
        <v>1406</v>
      </c>
      <c r="B262" s="1774" t="s">
        <v>1245</v>
      </c>
      <c r="C262" s="1775">
        <v>0.15</v>
      </c>
      <c r="D262" s="1775">
        <v>0.15</v>
      </c>
      <c r="E262" s="1775">
        <v>0.15</v>
      </c>
      <c r="F262" s="1783"/>
    </row>
    <row r="263" spans="1:6" ht="14.25" thickBot="1">
      <c r="A263" s="1770" t="s">
        <v>1406</v>
      </c>
      <c r="B263" s="1774" t="s">
        <v>2170</v>
      </c>
      <c r="C263" s="1775">
        <v>0.14899999999999999</v>
      </c>
      <c r="D263" s="1775">
        <v>0.14899999999999999</v>
      </c>
      <c r="E263" s="1775">
        <v>0.15</v>
      </c>
      <c r="F263" s="1776">
        <v>0.13</v>
      </c>
    </row>
    <row r="264" spans="1:6" ht="14.25" thickBot="1">
      <c r="A264" s="1770" t="s">
        <v>1406</v>
      </c>
      <c r="B264" s="1774" t="s">
        <v>1264</v>
      </c>
      <c r="C264" s="1775">
        <v>0.14799999999999999</v>
      </c>
      <c r="D264" s="1775">
        <v>0.14699999999999999</v>
      </c>
      <c r="E264" s="1775">
        <v>0.15</v>
      </c>
      <c r="F264" s="1776">
        <v>7.8E-2</v>
      </c>
    </row>
    <row r="265" spans="1:6" ht="14.25" thickBot="1">
      <c r="A265" s="1770" t="s">
        <v>1406</v>
      </c>
      <c r="B265" s="1774" t="s">
        <v>1273</v>
      </c>
      <c r="C265" s="1775">
        <v>0.15</v>
      </c>
      <c r="D265" s="1775">
        <v>0.15</v>
      </c>
      <c r="E265" s="1775">
        <v>0.15</v>
      </c>
      <c r="F265" s="1776">
        <v>7.3999999999999996E-2</v>
      </c>
    </row>
    <row r="266" spans="1:6" ht="14.25" thickBot="1">
      <c r="A266" s="1770" t="s">
        <v>1406</v>
      </c>
      <c r="B266" s="1774" t="s">
        <v>1281</v>
      </c>
      <c r="C266" s="1775">
        <v>0.14699999999999999</v>
      </c>
      <c r="D266" s="1775">
        <v>0.14699999999999999</v>
      </c>
      <c r="E266" s="1775">
        <v>0.15</v>
      </c>
      <c r="F266" s="1776">
        <v>0.14299999999999999</v>
      </c>
    </row>
    <row r="267" spans="1:6" ht="14.25" thickBot="1">
      <c r="A267" s="1770" t="s">
        <v>1406</v>
      </c>
      <c r="B267" s="1774" t="s">
        <v>1288</v>
      </c>
      <c r="C267" s="1775">
        <v>0.14199999999999999</v>
      </c>
      <c r="D267" s="1775">
        <v>0.14299999999999999</v>
      </c>
      <c r="E267" s="1775">
        <v>0.15</v>
      </c>
      <c r="F267" s="1783"/>
    </row>
    <row r="268" spans="1:6" ht="14.25" thickBot="1">
      <c r="A268" s="1770" t="s">
        <v>1406</v>
      </c>
      <c r="B268" s="1774" t="s">
        <v>2171</v>
      </c>
      <c r="C268" s="1775">
        <v>0.15</v>
      </c>
      <c r="D268" s="1775">
        <v>0.15</v>
      </c>
      <c r="E268" s="1775">
        <v>0.15</v>
      </c>
      <c r="F268" s="1776">
        <v>0.13</v>
      </c>
    </row>
    <row r="269" spans="1:6" ht="14.25" thickBot="1">
      <c r="A269" s="1770" t="s">
        <v>1406</v>
      </c>
      <c r="B269" s="1774" t="s">
        <v>1302</v>
      </c>
      <c r="C269" s="1775">
        <v>0.15</v>
      </c>
      <c r="D269" s="1775">
        <v>0.15</v>
      </c>
      <c r="E269" s="1775">
        <v>0.15</v>
      </c>
      <c r="F269" s="1776">
        <v>0.14299999999999999</v>
      </c>
    </row>
    <row r="270" spans="1:6" ht="14.25" thickBot="1">
      <c r="A270" s="1770" t="s">
        <v>1406</v>
      </c>
      <c r="B270" s="1774" t="s">
        <v>1309</v>
      </c>
      <c r="C270" s="1775">
        <v>0.14499999999999999</v>
      </c>
      <c r="D270" s="1775">
        <v>0.14499999999999999</v>
      </c>
      <c r="E270" s="1775">
        <v>0.15</v>
      </c>
      <c r="F270" s="1776">
        <v>0.14699999999999999</v>
      </c>
    </row>
    <row r="271" spans="1:6" ht="14.25" thickBot="1">
      <c r="A271" s="1770" t="s">
        <v>1406</v>
      </c>
      <c r="B271" s="1774" t="s">
        <v>1316</v>
      </c>
      <c r="C271" s="1775">
        <v>0.15</v>
      </c>
      <c r="D271" s="1775">
        <v>0.15</v>
      </c>
      <c r="E271" s="1775">
        <v>0.15</v>
      </c>
      <c r="F271" s="1776">
        <v>0.13800000000000001</v>
      </c>
    </row>
    <row r="272" spans="1:6" ht="14.25" thickBot="1">
      <c r="A272" s="1770" t="s">
        <v>1406</v>
      </c>
      <c r="B272" s="1774" t="s">
        <v>1323</v>
      </c>
      <c r="C272" s="1784"/>
      <c r="D272" s="1784"/>
      <c r="E272" s="1784"/>
      <c r="F272" s="1776">
        <v>0.14000000000000001</v>
      </c>
    </row>
    <row r="273" spans="1:6" ht="14.25" thickBot="1">
      <c r="A273" s="1770" t="s">
        <v>1406</v>
      </c>
      <c r="B273" s="1774" t="s">
        <v>2172</v>
      </c>
      <c r="C273" s="1775">
        <v>0.14199999999999999</v>
      </c>
      <c r="D273" s="1775">
        <v>0.14299999999999999</v>
      </c>
      <c r="E273" s="1775">
        <v>0.15</v>
      </c>
      <c r="F273" s="1776">
        <v>0.1</v>
      </c>
    </row>
    <row r="274" spans="1:6" ht="14.25" thickBot="1">
      <c r="A274" s="1770" t="s">
        <v>1406</v>
      </c>
      <c r="B274" s="1774" t="s">
        <v>2173</v>
      </c>
      <c r="C274" s="1775">
        <v>0.14799999999999999</v>
      </c>
      <c r="D274" s="1775">
        <v>0.14799999999999999</v>
      </c>
      <c r="E274" s="1775">
        <v>0.15</v>
      </c>
      <c r="F274" s="1776">
        <v>6.7000000000000004E-2</v>
      </c>
    </row>
    <row r="275" spans="1:6" ht="14.25" thickBot="1">
      <c r="A275" s="1770" t="s">
        <v>1406</v>
      </c>
      <c r="B275" s="1774" t="s">
        <v>2174</v>
      </c>
      <c r="C275" s="1775">
        <v>0.15</v>
      </c>
      <c r="D275" s="1775">
        <v>0.15</v>
      </c>
      <c r="E275" s="1775">
        <v>0.15</v>
      </c>
      <c r="F275" s="1776">
        <v>0.15</v>
      </c>
    </row>
    <row r="276" spans="1:6" ht="14.25" thickBot="1">
      <c r="A276" s="1770" t="s">
        <v>1406</v>
      </c>
      <c r="B276" s="1774" t="s">
        <v>2175</v>
      </c>
      <c r="C276" s="1775">
        <v>0.14499999999999999</v>
      </c>
      <c r="D276" s="1775">
        <v>0.14299999999999999</v>
      </c>
      <c r="E276" s="1775">
        <v>0.15</v>
      </c>
      <c r="F276" s="1776">
        <v>5.8999999999999997E-2</v>
      </c>
    </row>
    <row r="277" spans="1:6" ht="14.25" thickBot="1">
      <c r="A277" s="1770" t="s">
        <v>1406</v>
      </c>
      <c r="B277" s="1774" t="s">
        <v>2176</v>
      </c>
      <c r="C277" s="1775">
        <v>0.15</v>
      </c>
      <c r="D277" s="1775">
        <v>0.15</v>
      </c>
      <c r="E277" s="1775">
        <v>0.15</v>
      </c>
      <c r="F277" s="1776">
        <v>0.121</v>
      </c>
    </row>
    <row r="278" spans="1:6" ht="14.25" thickBot="1">
      <c r="A278" s="1770" t="s">
        <v>1406</v>
      </c>
      <c r="B278" s="1774" t="s">
        <v>2177</v>
      </c>
      <c r="C278" s="1775">
        <v>0.15</v>
      </c>
      <c r="D278" s="1775">
        <v>0.15</v>
      </c>
      <c r="E278" s="1775">
        <v>0.15</v>
      </c>
      <c r="F278" s="1776">
        <v>0.13800000000000001</v>
      </c>
    </row>
    <row r="279" spans="1:6" ht="24.75" thickBot="1">
      <c r="A279" s="1770" t="s">
        <v>1406</v>
      </c>
      <c r="B279" s="1774" t="s">
        <v>2178</v>
      </c>
      <c r="C279" s="1784"/>
      <c r="D279" s="1784"/>
      <c r="E279" s="1784"/>
      <c r="F279" s="1776">
        <v>0.05</v>
      </c>
    </row>
    <row r="280" spans="1:6" ht="24.75" thickBot="1">
      <c r="A280" s="1770" t="s">
        <v>1406</v>
      </c>
      <c r="B280" s="1774" t="s">
        <v>2179</v>
      </c>
      <c r="C280" s="1784"/>
      <c r="D280" s="1784"/>
      <c r="E280" s="1784"/>
      <c r="F280" s="1776">
        <v>0.05</v>
      </c>
    </row>
    <row r="281" spans="1:6" ht="24.75" thickBot="1">
      <c r="A281" s="1770" t="s">
        <v>1406</v>
      </c>
      <c r="B281" s="1774" t="s">
        <v>2180</v>
      </c>
      <c r="C281" s="1784"/>
      <c r="D281" s="1784"/>
      <c r="E281" s="1784"/>
      <c r="F281" s="1776">
        <v>0.05</v>
      </c>
    </row>
    <row r="282" spans="1:6" ht="24.75" thickBot="1">
      <c r="A282" s="1770" t="s">
        <v>1406</v>
      </c>
      <c r="B282" s="1774" t="s">
        <v>2181</v>
      </c>
      <c r="C282" s="1784"/>
      <c r="D282" s="1784"/>
      <c r="E282" s="1784"/>
      <c r="F282" s="1776">
        <v>0.05</v>
      </c>
    </row>
    <row r="283" spans="1:6" ht="24.75" thickBot="1">
      <c r="A283" s="1770" t="s">
        <v>1406</v>
      </c>
      <c r="B283" s="1774" t="s">
        <v>2182</v>
      </c>
      <c r="C283" s="1784"/>
      <c r="D283" s="1784"/>
      <c r="E283" s="1784"/>
      <c r="F283" s="1776">
        <v>0.05</v>
      </c>
    </row>
    <row r="284" spans="1:6" ht="24.75" thickBot="1">
      <c r="A284" s="1770" t="s">
        <v>1406</v>
      </c>
      <c r="B284" s="1774" t="s">
        <v>2183</v>
      </c>
      <c r="C284" s="1784"/>
      <c r="D284" s="1784"/>
      <c r="E284" s="1784"/>
      <c r="F284" s="1776">
        <v>0.05</v>
      </c>
    </row>
    <row r="285" spans="1:6" ht="24.75" thickBot="1">
      <c r="A285" s="1770" t="s">
        <v>1406</v>
      </c>
      <c r="B285" s="1774" t="s">
        <v>2184</v>
      </c>
      <c r="C285" s="1784"/>
      <c r="D285" s="1784"/>
      <c r="E285" s="1784"/>
      <c r="F285" s="1776">
        <v>0.05</v>
      </c>
    </row>
    <row r="286" spans="1:6" ht="24.75" thickBot="1">
      <c r="A286" s="1770" t="s">
        <v>1406</v>
      </c>
      <c r="B286" s="1774" t="s">
        <v>2185</v>
      </c>
      <c r="C286" s="1784"/>
      <c r="D286" s="1784"/>
      <c r="E286" s="1784"/>
      <c r="F286" s="1776">
        <v>0.05</v>
      </c>
    </row>
    <row r="287" spans="1:6" ht="24.75" thickBot="1">
      <c r="A287" s="1770" t="s">
        <v>1406</v>
      </c>
      <c r="B287" s="1774" t="s">
        <v>2186</v>
      </c>
      <c r="C287" s="1784"/>
      <c r="D287" s="1784"/>
      <c r="E287" s="1784"/>
      <c r="F287" s="1776">
        <v>0.05</v>
      </c>
    </row>
    <row r="288" spans="1:6" ht="24.75" thickBot="1">
      <c r="A288" s="1770" t="s">
        <v>1406</v>
      </c>
      <c r="B288" s="1774" t="s">
        <v>2187</v>
      </c>
      <c r="C288" s="1784"/>
      <c r="D288" s="1784"/>
      <c r="E288" s="1784"/>
      <c r="F288" s="1776">
        <v>0.05</v>
      </c>
    </row>
    <row r="289" spans="1:6" ht="24.75" thickBot="1">
      <c r="A289" s="1778" t="s">
        <v>1406</v>
      </c>
      <c r="B289" s="1785" t="s">
        <v>2188</v>
      </c>
      <c r="C289" s="1781"/>
      <c r="D289" s="1781"/>
      <c r="E289" s="1781"/>
      <c r="F289" s="1786">
        <v>0.05</v>
      </c>
    </row>
    <row r="290" spans="1:6" ht="14.25" thickBot="1">
      <c r="A290" s="1770" t="s">
        <v>1410</v>
      </c>
      <c r="B290" s="1771" t="s">
        <v>2189</v>
      </c>
      <c r="C290" s="1772">
        <v>0.15</v>
      </c>
      <c r="D290" s="1772">
        <v>0.15</v>
      </c>
      <c r="E290" s="1772">
        <v>0.15</v>
      </c>
      <c r="F290" s="1794"/>
    </row>
    <row r="291" spans="1:6" ht="14.25" thickBot="1">
      <c r="A291" s="1770" t="s">
        <v>1410</v>
      </c>
      <c r="B291" s="1774" t="s">
        <v>1070</v>
      </c>
      <c r="C291" s="1775">
        <v>0.15</v>
      </c>
      <c r="D291" s="1775">
        <v>0.15</v>
      </c>
      <c r="E291" s="1775">
        <v>0.15</v>
      </c>
      <c r="F291" s="1783"/>
    </row>
    <row r="292" spans="1:6" ht="14.25" thickBot="1">
      <c r="A292" s="1770" t="s">
        <v>1410</v>
      </c>
      <c r="B292" s="1774" t="s">
        <v>2190</v>
      </c>
      <c r="C292" s="1775">
        <v>0.15</v>
      </c>
      <c r="D292" s="1775">
        <v>0.15</v>
      </c>
      <c r="E292" s="1775">
        <v>0.15</v>
      </c>
      <c r="F292" s="1776">
        <v>0.14699999999999999</v>
      </c>
    </row>
    <row r="293" spans="1:6" ht="14.25" thickBot="1">
      <c r="A293" s="1770" t="s">
        <v>1410</v>
      </c>
      <c r="B293" s="1774" t="s">
        <v>2191</v>
      </c>
      <c r="C293" s="1784"/>
      <c r="D293" s="1784"/>
      <c r="E293" s="1784"/>
      <c r="F293" s="1776">
        <v>0.1</v>
      </c>
    </row>
    <row r="294" spans="1:6" ht="14.25" thickBot="1">
      <c r="A294" s="1770" t="s">
        <v>1410</v>
      </c>
      <c r="B294" s="1774" t="s">
        <v>2192</v>
      </c>
      <c r="C294" s="1775">
        <v>0.15</v>
      </c>
      <c r="D294" s="1775">
        <v>0.15</v>
      </c>
      <c r="E294" s="1775">
        <v>0.15</v>
      </c>
      <c r="F294" s="1776">
        <v>0.15</v>
      </c>
    </row>
    <row r="295" spans="1:6" ht="14.25" thickBot="1">
      <c r="A295" s="1770" t="s">
        <v>1410</v>
      </c>
      <c r="B295" s="1774" t="s">
        <v>1111</v>
      </c>
      <c r="C295" s="1775">
        <v>0.15</v>
      </c>
      <c r="D295" s="1775">
        <v>0.15</v>
      </c>
      <c r="E295" s="1775">
        <v>0.15</v>
      </c>
      <c r="F295" s="1776">
        <v>0.15</v>
      </c>
    </row>
    <row r="296" spans="1:6" ht="14.25" thickBot="1">
      <c r="A296" s="1770" t="s">
        <v>1410</v>
      </c>
      <c r="B296" s="1774" t="s">
        <v>2193</v>
      </c>
      <c r="C296" s="1775">
        <v>0.15</v>
      </c>
      <c r="D296" s="1775">
        <v>0.15</v>
      </c>
      <c r="E296" s="1775">
        <v>0.15</v>
      </c>
      <c r="F296" s="1776">
        <v>0.15</v>
      </c>
    </row>
    <row r="297" spans="1:6" ht="14.25" thickBot="1">
      <c r="A297" s="1770" t="s">
        <v>1410</v>
      </c>
      <c r="B297" s="1774" t="s">
        <v>2194</v>
      </c>
      <c r="C297" s="1775">
        <v>0.14799999999999999</v>
      </c>
      <c r="D297" s="1775">
        <v>0.14899999999999999</v>
      </c>
      <c r="E297" s="1775">
        <v>0.15</v>
      </c>
      <c r="F297" s="1776">
        <v>0.13700000000000001</v>
      </c>
    </row>
    <row r="298" spans="1:6" ht="14.25" thickBot="1">
      <c r="A298" s="1770" t="s">
        <v>1410</v>
      </c>
      <c r="B298" s="1774" t="s">
        <v>1144</v>
      </c>
      <c r="C298" s="1775">
        <v>0.13400000000000001</v>
      </c>
      <c r="D298" s="1775">
        <v>0.13400000000000001</v>
      </c>
      <c r="E298" s="1775">
        <v>0.14499999999999999</v>
      </c>
      <c r="F298" s="1776">
        <v>0.14799999999999999</v>
      </c>
    </row>
    <row r="299" spans="1:6" ht="14.25" thickBot="1">
      <c r="A299" s="1770" t="s">
        <v>1410</v>
      </c>
      <c r="B299" s="1774" t="s">
        <v>1156</v>
      </c>
      <c r="C299" s="1775">
        <v>0.15</v>
      </c>
      <c r="D299" s="1775">
        <v>0.15</v>
      </c>
      <c r="E299" s="1775">
        <v>0.15</v>
      </c>
      <c r="F299" s="1783"/>
    </row>
    <row r="300" spans="1:6" ht="14.25" thickBot="1">
      <c r="A300" s="1770" t="s">
        <v>1410</v>
      </c>
      <c r="B300" s="1774" t="s">
        <v>2195</v>
      </c>
      <c r="C300" s="1775">
        <v>0.15</v>
      </c>
      <c r="D300" s="1775">
        <v>0.15</v>
      </c>
      <c r="E300" s="1775">
        <v>0.15</v>
      </c>
      <c r="F300" s="1776">
        <v>0.15</v>
      </c>
    </row>
    <row r="301" spans="1:6" ht="14.25" thickBot="1">
      <c r="A301" s="1770" t="s">
        <v>1410</v>
      </c>
      <c r="B301" s="1774" t="s">
        <v>1176</v>
      </c>
      <c r="C301" s="1775">
        <v>0.15</v>
      </c>
      <c r="D301" s="1775">
        <v>0.15</v>
      </c>
      <c r="E301" s="1775">
        <v>0.15</v>
      </c>
      <c r="F301" s="1783"/>
    </row>
    <row r="302" spans="1:6" ht="14.25" thickBot="1">
      <c r="A302" s="1770" t="s">
        <v>1410</v>
      </c>
      <c r="B302" s="1774" t="s">
        <v>2196</v>
      </c>
      <c r="C302" s="1775">
        <v>0.15</v>
      </c>
      <c r="D302" s="1775">
        <v>0.15</v>
      </c>
      <c r="E302" s="1775">
        <v>0.15</v>
      </c>
      <c r="F302" s="1776">
        <v>0.15</v>
      </c>
    </row>
    <row r="303" spans="1:6" ht="14.25" thickBot="1">
      <c r="A303" s="1770" t="s">
        <v>1410</v>
      </c>
      <c r="B303" s="1774" t="s">
        <v>1196</v>
      </c>
      <c r="C303" s="1775">
        <v>0.15</v>
      </c>
      <c r="D303" s="1775">
        <v>0.15</v>
      </c>
      <c r="E303" s="1775">
        <v>0.15</v>
      </c>
      <c r="F303" s="1776">
        <v>0.15</v>
      </c>
    </row>
    <row r="304" spans="1:6" ht="14.25" thickBot="1">
      <c r="A304" s="1770" t="s">
        <v>1410</v>
      </c>
      <c r="B304" s="1774" t="s">
        <v>1206</v>
      </c>
      <c r="C304" s="1775">
        <v>0.15</v>
      </c>
      <c r="D304" s="1775">
        <v>0.15</v>
      </c>
      <c r="E304" s="1775">
        <v>0.15</v>
      </c>
      <c r="F304" s="1783"/>
    </row>
    <row r="305" spans="1:6" ht="14.25" thickBot="1">
      <c r="A305" s="1770" t="s">
        <v>1410</v>
      </c>
      <c r="B305" s="1774" t="s">
        <v>2197</v>
      </c>
      <c r="C305" s="1775">
        <v>0.15</v>
      </c>
      <c r="D305" s="1775">
        <v>0.15</v>
      </c>
      <c r="E305" s="1775">
        <v>0.15</v>
      </c>
      <c r="F305" s="1776">
        <v>0.14000000000000001</v>
      </c>
    </row>
    <row r="306" spans="1:6" ht="14.25" thickBot="1">
      <c r="A306" s="1770" t="s">
        <v>1410</v>
      </c>
      <c r="B306" s="1774" t="s">
        <v>1226</v>
      </c>
      <c r="C306" s="1775">
        <v>0.15</v>
      </c>
      <c r="D306" s="1775">
        <v>0.15</v>
      </c>
      <c r="E306" s="1775">
        <v>0.15</v>
      </c>
      <c r="F306" s="1783"/>
    </row>
    <row r="307" spans="1:6" ht="14.25" thickBot="1">
      <c r="A307" s="1770" t="s">
        <v>1410</v>
      </c>
      <c r="B307" s="1774" t="s">
        <v>2198</v>
      </c>
      <c r="C307" s="1775">
        <v>0.15</v>
      </c>
      <c r="D307" s="1775">
        <v>0.15</v>
      </c>
      <c r="E307" s="1775">
        <v>0.15</v>
      </c>
      <c r="F307" s="1776">
        <v>0.14299999999999999</v>
      </c>
    </row>
    <row r="308" spans="1:6" ht="14.25" thickBot="1">
      <c r="A308" s="1770" t="s">
        <v>1410</v>
      </c>
      <c r="B308" s="1774" t="s">
        <v>1246</v>
      </c>
      <c r="C308" s="1775">
        <v>0.15</v>
      </c>
      <c r="D308" s="1775">
        <v>0.15</v>
      </c>
      <c r="E308" s="1775">
        <v>0.15</v>
      </c>
      <c r="F308" s="1776">
        <v>0.15</v>
      </c>
    </row>
    <row r="309" spans="1:6" ht="14.25" thickBot="1">
      <c r="A309" s="1770" t="s">
        <v>1410</v>
      </c>
      <c r="B309" s="1774" t="s">
        <v>1256</v>
      </c>
      <c r="C309" s="1775">
        <v>0.15</v>
      </c>
      <c r="D309" s="1775">
        <v>0.15</v>
      </c>
      <c r="E309" s="1775">
        <v>0.15</v>
      </c>
      <c r="F309" s="1783"/>
    </row>
    <row r="310" spans="1:6" ht="14.25" thickBot="1">
      <c r="A310" s="1770" t="s">
        <v>1410</v>
      </c>
      <c r="B310" s="1774" t="s">
        <v>2199</v>
      </c>
      <c r="C310" s="1775">
        <v>0.15</v>
      </c>
      <c r="D310" s="1775">
        <v>0.15</v>
      </c>
      <c r="E310" s="1775">
        <v>0.15</v>
      </c>
      <c r="F310" s="1776">
        <v>0.13700000000000001</v>
      </c>
    </row>
    <row r="311" spans="1:6" ht="14.25" thickBot="1">
      <c r="A311" s="1770" t="s">
        <v>1410</v>
      </c>
      <c r="B311" s="1774" t="s">
        <v>2200</v>
      </c>
      <c r="C311" s="1775">
        <v>0.15</v>
      </c>
      <c r="D311" s="1775">
        <v>0.15</v>
      </c>
      <c r="E311" s="1775">
        <v>0.15</v>
      </c>
      <c r="F311" s="1776">
        <v>0.15</v>
      </c>
    </row>
    <row r="312" spans="1:6" ht="14.25" thickBot="1">
      <c r="A312" s="1770" t="s">
        <v>1410</v>
      </c>
      <c r="B312" s="1774" t="s">
        <v>1282</v>
      </c>
      <c r="C312" s="1775">
        <v>0.15</v>
      </c>
      <c r="D312" s="1775">
        <v>0.15</v>
      </c>
      <c r="E312" s="1775">
        <v>0.15</v>
      </c>
      <c r="F312" s="1776">
        <v>0.1</v>
      </c>
    </row>
    <row r="313" spans="1:6" ht="14.25" thickBot="1">
      <c r="A313" s="1770" t="s">
        <v>1410</v>
      </c>
      <c r="B313" s="1774" t="s">
        <v>2201</v>
      </c>
      <c r="C313" s="1775">
        <v>0.15</v>
      </c>
      <c r="D313" s="1775">
        <v>0.15</v>
      </c>
      <c r="E313" s="1775">
        <v>0.15</v>
      </c>
      <c r="F313" s="1776">
        <v>0.15</v>
      </c>
    </row>
    <row r="314" spans="1:6" ht="24.75" thickBot="1">
      <c r="A314" s="1770" t="s">
        <v>1410</v>
      </c>
      <c r="B314" s="1774" t="s">
        <v>2202</v>
      </c>
      <c r="C314" s="1784"/>
      <c r="D314" s="1784"/>
      <c r="E314" s="1784"/>
      <c r="F314" s="1776">
        <v>0.05</v>
      </c>
    </row>
    <row r="315" spans="1:6" ht="24.75" thickBot="1">
      <c r="A315" s="1770" t="s">
        <v>1410</v>
      </c>
      <c r="B315" s="1774" t="s">
        <v>2203</v>
      </c>
      <c r="C315" s="1784"/>
      <c r="D315" s="1784"/>
      <c r="E315" s="1784"/>
      <c r="F315" s="1776">
        <v>0.05</v>
      </c>
    </row>
    <row r="316" spans="1:6" ht="24.75" thickBot="1">
      <c r="A316" s="1778" t="s">
        <v>1410</v>
      </c>
      <c r="B316" s="1785" t="s">
        <v>2204</v>
      </c>
      <c r="C316" s="1781"/>
      <c r="D316" s="1781"/>
      <c r="E316" s="1781"/>
      <c r="F316" s="1786">
        <v>0.05</v>
      </c>
    </row>
    <row r="317" spans="1:6" ht="14.25" thickBot="1">
      <c r="A317" s="1770" t="s">
        <v>2205</v>
      </c>
      <c r="B317" s="1771" t="s">
        <v>2206</v>
      </c>
      <c r="C317" s="1772">
        <v>0.15</v>
      </c>
      <c r="D317" s="1772">
        <v>0.15</v>
      </c>
      <c r="E317" s="1772">
        <v>0.15</v>
      </c>
      <c r="F317" s="1773">
        <v>0.15</v>
      </c>
    </row>
    <row r="318" spans="1:6" ht="14.25" thickBot="1">
      <c r="A318" s="1770" t="s">
        <v>2205</v>
      </c>
      <c r="B318" s="1774" t="s">
        <v>2207</v>
      </c>
      <c r="C318" s="1775">
        <v>0.107</v>
      </c>
      <c r="D318" s="1775">
        <v>0.11</v>
      </c>
      <c r="E318" s="1775">
        <v>0.112</v>
      </c>
      <c r="F318" s="1783"/>
    </row>
    <row r="319" spans="1:6" ht="14.25" thickBot="1">
      <c r="A319" s="1770" t="s">
        <v>2205</v>
      </c>
      <c r="B319" s="1774" t="s">
        <v>2208</v>
      </c>
      <c r="C319" s="1775">
        <v>0.15</v>
      </c>
      <c r="D319" s="1775">
        <v>0.15</v>
      </c>
      <c r="E319" s="1775">
        <v>0.15</v>
      </c>
      <c r="F319" s="1776">
        <v>0.15</v>
      </c>
    </row>
    <row r="320" spans="1:6" ht="14.25" thickBot="1">
      <c r="A320" s="1770" t="s">
        <v>2205</v>
      </c>
      <c r="B320" s="1774" t="s">
        <v>1098</v>
      </c>
      <c r="C320" s="1775">
        <v>0.15</v>
      </c>
      <c r="D320" s="1775">
        <v>0.15</v>
      </c>
      <c r="E320" s="1775">
        <v>0.15</v>
      </c>
      <c r="F320" s="1783"/>
    </row>
    <row r="321" spans="1:6" ht="14.25" thickBot="1">
      <c r="A321" s="1770" t="s">
        <v>2205</v>
      </c>
      <c r="B321" s="1774" t="s">
        <v>2209</v>
      </c>
      <c r="C321" s="1775">
        <v>0.15</v>
      </c>
      <c r="D321" s="1775">
        <v>0.15</v>
      </c>
      <c r="E321" s="1775">
        <v>0.15</v>
      </c>
      <c r="F321" s="1783"/>
    </row>
    <row r="322" spans="1:6" ht="14.25" thickBot="1">
      <c r="A322" s="1770" t="s">
        <v>2205</v>
      </c>
      <c r="B322" s="1774" t="s">
        <v>2210</v>
      </c>
      <c r="C322" s="1775">
        <v>0.15</v>
      </c>
      <c r="D322" s="1775">
        <v>0.15</v>
      </c>
      <c r="E322" s="1775">
        <v>0.15</v>
      </c>
      <c r="F322" s="1776">
        <v>0.15</v>
      </c>
    </row>
    <row r="323" spans="1:6" ht="14.25" thickBot="1">
      <c r="A323" s="1770" t="s">
        <v>2205</v>
      </c>
      <c r="B323" s="1774" t="s">
        <v>2211</v>
      </c>
      <c r="C323" s="1775">
        <v>0.15</v>
      </c>
      <c r="D323" s="1775">
        <v>0.15</v>
      </c>
      <c r="E323" s="1775">
        <v>0.15</v>
      </c>
      <c r="F323" s="1783"/>
    </row>
    <row r="324" spans="1:6" ht="14.25" thickBot="1">
      <c r="A324" s="1770" t="s">
        <v>2205</v>
      </c>
      <c r="B324" s="1774" t="s">
        <v>2212</v>
      </c>
      <c r="C324" s="1775">
        <v>0.15</v>
      </c>
      <c r="D324" s="1775">
        <v>0.15</v>
      </c>
      <c r="E324" s="1775">
        <v>0.15</v>
      </c>
      <c r="F324" s="1783"/>
    </row>
    <row r="325" spans="1:6" ht="14.25" thickBot="1">
      <c r="A325" s="1770" t="s">
        <v>2205</v>
      </c>
      <c r="B325" s="1774" t="s">
        <v>2213</v>
      </c>
      <c r="C325" s="1775">
        <v>0.15</v>
      </c>
      <c r="D325" s="1775">
        <v>0.15</v>
      </c>
      <c r="E325" s="1775">
        <v>0.15</v>
      </c>
      <c r="F325" s="1776">
        <v>0.14699999999999999</v>
      </c>
    </row>
    <row r="326" spans="1:6" ht="14.25" thickBot="1">
      <c r="A326" s="1770" t="s">
        <v>2205</v>
      </c>
      <c r="B326" s="1774" t="s">
        <v>1167</v>
      </c>
      <c r="C326" s="1775">
        <v>0.15</v>
      </c>
      <c r="D326" s="1775">
        <v>0.15</v>
      </c>
      <c r="E326" s="1775">
        <v>0.15</v>
      </c>
      <c r="F326" s="1783"/>
    </row>
    <row r="327" spans="1:6" ht="14.25" thickBot="1">
      <c r="A327" s="1770" t="s">
        <v>2205</v>
      </c>
      <c r="B327" s="1774" t="s">
        <v>2214</v>
      </c>
      <c r="C327" s="1775">
        <v>0.15</v>
      </c>
      <c r="D327" s="1775">
        <v>0.15</v>
      </c>
      <c r="E327" s="1775">
        <v>0.15</v>
      </c>
      <c r="F327" s="1776">
        <v>0.15</v>
      </c>
    </row>
    <row r="328" spans="1:6" ht="14.25" thickBot="1">
      <c r="A328" s="1770" t="s">
        <v>2205</v>
      </c>
      <c r="B328" s="1774" t="s">
        <v>1187</v>
      </c>
      <c r="C328" s="1775">
        <v>0.15</v>
      </c>
      <c r="D328" s="1775">
        <v>0.15</v>
      </c>
      <c r="E328" s="1775">
        <v>0.15</v>
      </c>
      <c r="F328" s="1776">
        <v>0.14099999999999999</v>
      </c>
    </row>
    <row r="329" spans="1:6" ht="14.25" thickBot="1">
      <c r="A329" s="1770" t="s">
        <v>2205</v>
      </c>
      <c r="B329" s="1774" t="s">
        <v>1197</v>
      </c>
      <c r="C329" s="1775">
        <v>0.15</v>
      </c>
      <c r="D329" s="1775">
        <v>0.15</v>
      </c>
      <c r="E329" s="1775">
        <v>0.15</v>
      </c>
      <c r="F329" s="1776">
        <v>0.15</v>
      </c>
    </row>
    <row r="330" spans="1:6" ht="14.25" thickBot="1">
      <c r="A330" s="1770" t="s">
        <v>2205</v>
      </c>
      <c r="B330" s="1774" t="s">
        <v>1207</v>
      </c>
      <c r="C330" s="1775">
        <v>0.15</v>
      </c>
      <c r="D330" s="1775">
        <v>0.15</v>
      </c>
      <c r="E330" s="1775">
        <v>0.15</v>
      </c>
      <c r="F330" s="1783"/>
    </row>
    <row r="331" spans="1:6" ht="14.25" thickBot="1">
      <c r="A331" s="1770" t="s">
        <v>2205</v>
      </c>
      <c r="B331" s="1774" t="s">
        <v>2215</v>
      </c>
      <c r="C331" s="1775">
        <v>0.15</v>
      </c>
      <c r="D331" s="1775">
        <v>0.15</v>
      </c>
      <c r="E331" s="1775">
        <v>0.15</v>
      </c>
      <c r="F331" s="1776">
        <v>0.15</v>
      </c>
    </row>
    <row r="332" spans="1:6" ht="14.25" thickBot="1">
      <c r="A332" s="1770" t="s">
        <v>2205</v>
      </c>
      <c r="B332" s="1774" t="s">
        <v>1227</v>
      </c>
      <c r="C332" s="1775">
        <v>0.15</v>
      </c>
      <c r="D332" s="1775">
        <v>0.15</v>
      </c>
      <c r="E332" s="1775">
        <v>0.15</v>
      </c>
      <c r="F332" s="1776">
        <v>0.15</v>
      </c>
    </row>
    <row r="333" spans="1:6" ht="14.25" thickBot="1">
      <c r="A333" s="1770" t="s">
        <v>2205</v>
      </c>
      <c r="B333" s="1774" t="s">
        <v>2216</v>
      </c>
      <c r="C333" s="1775">
        <v>0.15</v>
      </c>
      <c r="D333" s="1775">
        <v>0.15</v>
      </c>
      <c r="E333" s="1775">
        <v>0.15</v>
      </c>
      <c r="F333" s="1776">
        <v>0.14099999999999999</v>
      </c>
    </row>
    <row r="334" spans="1:6" ht="14.25" thickBot="1">
      <c r="A334" s="1770" t="s">
        <v>2205</v>
      </c>
      <c r="B334" s="1774" t="s">
        <v>1247</v>
      </c>
      <c r="C334" s="1775">
        <v>0.15</v>
      </c>
      <c r="D334" s="1775">
        <v>0.15</v>
      </c>
      <c r="E334" s="1775">
        <v>0.15</v>
      </c>
      <c r="F334" s="1776">
        <v>0.15</v>
      </c>
    </row>
    <row r="335" spans="1:6" ht="14.25" thickBot="1">
      <c r="A335" s="1770" t="s">
        <v>2205</v>
      </c>
      <c r="B335" s="1774" t="s">
        <v>1257</v>
      </c>
      <c r="C335" s="1775">
        <v>0.15</v>
      </c>
      <c r="D335" s="1775">
        <v>0.15</v>
      </c>
      <c r="E335" s="1775">
        <v>0.15</v>
      </c>
      <c r="F335" s="1783"/>
    </row>
    <row r="336" spans="1:6" ht="14.25" thickBot="1">
      <c r="A336" s="1770" t="s">
        <v>2205</v>
      </c>
      <c r="B336" s="1774" t="s">
        <v>2217</v>
      </c>
      <c r="C336" s="1775">
        <v>0.15</v>
      </c>
      <c r="D336" s="1775">
        <v>0.15</v>
      </c>
      <c r="E336" s="1775">
        <v>0.15</v>
      </c>
      <c r="F336" s="1776">
        <v>0.11799999999999999</v>
      </c>
    </row>
    <row r="337" spans="1:6" ht="14.25" thickBot="1">
      <c r="A337" s="1778" t="s">
        <v>2205</v>
      </c>
      <c r="B337" s="1785" t="s">
        <v>1275</v>
      </c>
      <c r="C337" s="1781"/>
      <c r="D337" s="1781"/>
      <c r="E337" s="1781"/>
      <c r="F337" s="1786">
        <v>0.14299999999999999</v>
      </c>
    </row>
    <row r="338" spans="1:6" ht="14.25" thickBot="1">
      <c r="A338" s="1770" t="s">
        <v>2218</v>
      </c>
      <c r="B338" s="1771" t="s">
        <v>2219</v>
      </c>
      <c r="C338" s="1772">
        <v>0.15</v>
      </c>
      <c r="D338" s="1772">
        <v>0.15</v>
      </c>
      <c r="E338" s="1772">
        <v>0.15</v>
      </c>
      <c r="F338" s="1794"/>
    </row>
    <row r="339" spans="1:6" ht="14.25" thickBot="1">
      <c r="A339" s="1770" t="s">
        <v>2218</v>
      </c>
      <c r="B339" s="1774" t="s">
        <v>2220</v>
      </c>
      <c r="C339" s="1775">
        <v>0.15</v>
      </c>
      <c r="D339" s="1775">
        <v>0.15</v>
      </c>
      <c r="E339" s="1775">
        <v>0.15</v>
      </c>
      <c r="F339" s="1783"/>
    </row>
    <row r="340" spans="1:6" ht="14.25" thickBot="1">
      <c r="A340" s="1770" t="s">
        <v>2218</v>
      </c>
      <c r="B340" s="1774" t="s">
        <v>2221</v>
      </c>
      <c r="C340" s="1775">
        <v>0.15</v>
      </c>
      <c r="D340" s="1775">
        <v>0.15</v>
      </c>
      <c r="E340" s="1775">
        <v>0.15</v>
      </c>
      <c r="F340" s="1783"/>
    </row>
    <row r="341" spans="1:6" ht="14.25" thickBot="1">
      <c r="A341" s="1770" t="s">
        <v>2222</v>
      </c>
      <c r="B341" s="1774" t="s">
        <v>2223</v>
      </c>
      <c r="C341" s="1775">
        <v>0.15</v>
      </c>
      <c r="D341" s="1775">
        <v>0.15</v>
      </c>
      <c r="E341" s="1775">
        <v>0.15</v>
      </c>
      <c r="F341" s="1776">
        <v>0.15</v>
      </c>
    </row>
    <row r="342" spans="1:6" ht="14.25" thickBot="1">
      <c r="A342" s="1770" t="s">
        <v>2218</v>
      </c>
      <c r="B342" s="1774" t="s">
        <v>2224</v>
      </c>
      <c r="C342" s="1775">
        <v>0.15</v>
      </c>
      <c r="D342" s="1775">
        <v>0.15</v>
      </c>
      <c r="E342" s="1775">
        <v>0.15</v>
      </c>
      <c r="F342" s="1776">
        <v>0.15</v>
      </c>
    </row>
    <row r="343" spans="1:6" ht="14.25" thickBot="1">
      <c r="A343" s="1770" t="s">
        <v>2218</v>
      </c>
      <c r="B343" s="1774" t="s">
        <v>2225</v>
      </c>
      <c r="C343" s="1775">
        <v>0.15</v>
      </c>
      <c r="D343" s="1775">
        <v>0.15</v>
      </c>
      <c r="E343" s="1775">
        <v>0.15</v>
      </c>
      <c r="F343" s="1776">
        <v>0.15</v>
      </c>
    </row>
    <row r="344" spans="1:6" ht="14.25" thickBot="1">
      <c r="A344" s="1778" t="s">
        <v>2218</v>
      </c>
      <c r="B344" s="1785" t="s">
        <v>2226</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J7" sqref="J7:J34"/>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4" t="s">
        <v>2556</v>
      </c>
      <c r="C1" s="3554"/>
      <c r="D1" s="3554"/>
      <c r="E1" s="3554"/>
      <c r="F1" s="3554"/>
      <c r="G1" s="3553" t="s">
        <v>2557</v>
      </c>
      <c r="H1" s="3553"/>
      <c r="I1" s="3553"/>
      <c r="J1" s="3553"/>
      <c r="K1" s="3553"/>
      <c r="L1" s="3553"/>
      <c r="N1" s="3553" t="s">
        <v>2558</v>
      </c>
      <c r="O1" s="3553"/>
      <c r="P1" s="3553"/>
      <c r="Q1" s="3553"/>
      <c r="S1" s="3553" t="s">
        <v>2559</v>
      </c>
      <c r="T1" s="3553"/>
      <c r="U1" s="3553"/>
      <c r="V1" s="3553"/>
      <c r="X1" s="3552" t="s">
        <v>2619</v>
      </c>
      <c r="Y1" s="3553"/>
      <c r="Z1" s="3553"/>
      <c r="AA1" s="3553"/>
      <c r="AB1" s="3553"/>
      <c r="AD1" s="3552" t="s">
        <v>2623</v>
      </c>
      <c r="AE1" s="3553"/>
      <c r="AF1" s="3553"/>
      <c r="AG1" s="3553"/>
      <c r="AH1" s="3553"/>
    </row>
    <row r="2" spans="1:34" s="2865" customFormat="1" ht="14.25" thickBot="1">
      <c r="B2" s="2866" t="s">
        <v>2560</v>
      </c>
      <c r="C2" s="2866" t="s">
        <v>2621</v>
      </c>
      <c r="D2" s="2867" t="s">
        <v>1635</v>
      </c>
      <c r="E2" s="2867" t="s">
        <v>1938</v>
      </c>
      <c r="F2" s="2866" t="s">
        <v>2622</v>
      </c>
      <c r="G2" s="2868"/>
      <c r="I2" s="2866" t="s">
        <v>2911</v>
      </c>
      <c r="J2" s="2867" t="s">
        <v>2913</v>
      </c>
      <c r="K2" s="2867" t="s">
        <v>2914</v>
      </c>
      <c r="L2" s="2866" t="s">
        <v>2915</v>
      </c>
      <c r="N2" s="2866" t="s">
        <v>2560</v>
      </c>
      <c r="O2" s="2867" t="s">
        <v>2912</v>
      </c>
      <c r="P2" s="2867" t="s">
        <v>1938</v>
      </c>
      <c r="Q2" s="2866" t="s">
        <v>2622</v>
      </c>
      <c r="S2" s="2866" t="s">
        <v>2560</v>
      </c>
      <c r="T2" s="2867" t="s">
        <v>2912</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2922</v>
      </c>
      <c r="B3" s="2870"/>
      <c r="C3" s="2870"/>
      <c r="D3" s="2871"/>
      <c r="E3" s="2871"/>
      <c r="F3" s="2870"/>
      <c r="G3" s="2872"/>
      <c r="H3" s="2873"/>
      <c r="I3" s="2874">
        <f>ROUND(AVERAGE($I4:$I34),2)</f>
        <v>1.73</v>
      </c>
      <c r="J3" s="2874">
        <f>ROUND(AVERAGE($J4:$J34),2)</f>
        <v>1.0900000000000001</v>
      </c>
      <c r="K3" s="2874">
        <f>ROUND(AVERAGE($K4:$K34),2)</f>
        <v>1.9</v>
      </c>
      <c r="L3" s="2874">
        <f>ROUND(AVERAGE($L4:$L34),2)</f>
        <v>1.25</v>
      </c>
      <c r="N3" s="2872"/>
      <c r="S3" s="2872"/>
      <c r="W3" s="2876"/>
      <c r="X3" s="2877">
        <f>ROUND(SUMPRODUCT(PRODUCT(1+N3:N$33)),4)</f>
        <v>1.619</v>
      </c>
      <c r="Y3" s="2877">
        <f>ROUND(SUMPRODUCT(PRODUCT(1+O3:O$33)),4)</f>
        <v>1.3491</v>
      </c>
      <c r="Z3" s="2877">
        <f t="shared" ref="Z3:Z31" si="0">Y3</f>
        <v>1.3491</v>
      </c>
      <c r="AA3" s="2877">
        <f>ROUND(SUMPRODUCT(PRODUCT(1+P3:P$33)),4)</f>
        <v>1.6988000000000001</v>
      </c>
      <c r="AB3" s="2877">
        <f>ROUND(SUMPRODUCT(PRODUCT(1+Q3:Q$33)),4)</f>
        <v>1.4315</v>
      </c>
      <c r="AD3" s="2878">
        <f>ROUND(AVERAGE(I3:I$34)/100,4)</f>
        <v>1.7299999999999999E-2</v>
      </c>
      <c r="AE3" s="2878">
        <f>ROUND(AVERAGE(J3:J$34)/100,4)</f>
        <v>1.09E-2</v>
      </c>
      <c r="AF3" s="2878">
        <f t="shared" ref="AF3:AF32" si="1">AE3</f>
        <v>1.09E-2</v>
      </c>
      <c r="AG3" s="2878">
        <f>ROUND(AVERAGE(K3:K$34)/100,4)</f>
        <v>1.9E-2</v>
      </c>
      <c r="AH3" s="2878">
        <f>ROUND(AVERAGE(L3:L$34)/100,4)</f>
        <v>1.2500000000000001E-2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2994</v>
      </c>
      <c r="B5" s="2889">
        <f t="shared" ref="B5" si="2">B6*(1+N5)</f>
        <v>497.92799851020823</v>
      </c>
      <c r="C5" s="2889">
        <f t="shared" ref="C5" si="3">C6*(1+O5)</f>
        <v>347.77173663537445</v>
      </c>
      <c r="D5" s="2889">
        <f t="shared" ref="D5" si="4">C5</f>
        <v>347.77173663537445</v>
      </c>
      <c r="E5" s="2889">
        <f t="shared" ref="E5" si="5">E6*(1+P5)</f>
        <v>718.44695593258189</v>
      </c>
      <c r="F5" s="2889">
        <f t="shared" ref="F5" si="6">F6*(1+Q5)</f>
        <v>329.12600580153247</v>
      </c>
      <c r="G5" s="2882">
        <v>2021</v>
      </c>
      <c r="H5" s="2890">
        <v>2</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2923</v>
      </c>
      <c r="X5" s="2896">
        <f>ROUND(IF(项目基本情况!B4="出让",SUMPRODUCT(PRODUCT(1+N5:N$34)),SUMPRODUCT(PRODUCT(1+N5:N$33))),4)</f>
        <v>1.619</v>
      </c>
      <c r="Y5" s="2896">
        <f>ROUND(IF(项目基本情况!B4="出让",SUMPRODUCT(PRODUCT(1+O5:O$34)),SUMPRODUCT(PRODUCT(1+O5:O$33))),4)</f>
        <v>1.3491</v>
      </c>
      <c r="Z5" s="2896">
        <f t="shared" ref="Z5" si="11">Y5</f>
        <v>1.3491</v>
      </c>
      <c r="AA5" s="2896">
        <f>ROUND(IF(项目基本情况!B4="出让",SUMPRODUCT(PRODUCT(1+P5:P$34)),SUMPRODUCT(PRODUCT(1+P5:P$33))),4)</f>
        <v>1.6988000000000001</v>
      </c>
      <c r="AB5" s="2896">
        <f>ROUND(IF(项目基本情况!B4="出让",SUMPRODUCT(PRODUCT(1+Q5:Q$34)),SUMPRODUCT(PRODUCT(1+Q5:Q$33))),4)</f>
        <v>1.4315</v>
      </c>
      <c r="AD5" s="2897">
        <f>ROUND(AVERAGE(I5:I$34)/100,4)</f>
        <v>1.7299999999999999E-2</v>
      </c>
      <c r="AE5" s="2897">
        <f>ROUND(AVERAGE(J5:J$34)/100,4)</f>
        <v>1.09E-2</v>
      </c>
      <c r="AF5" s="2897">
        <f t="shared" ref="AF5" si="12">AE5</f>
        <v>1.09E-2</v>
      </c>
      <c r="AG5" s="2897">
        <f>ROUND(AVERAGE(K5:K$34)/100,4)</f>
        <v>1.9E-2</v>
      </c>
      <c r="AH5" s="2897">
        <f>ROUND(AVERAGE(L5:L$34)/100,4)</f>
        <v>1.2500000000000001E-2</v>
      </c>
    </row>
    <row r="6" spans="1:34" s="2905" customFormat="1">
      <c r="A6" s="2898" t="s">
        <v>2993</v>
      </c>
      <c r="B6" s="2899">
        <f t="shared" ref="B6" si="13">B7*(1+N6)</f>
        <v>497.92799851020823</v>
      </c>
      <c r="C6" s="2899">
        <f t="shared" ref="C6" si="14">C7*(1+O6)</f>
        <v>347.77173663537445</v>
      </c>
      <c r="D6" s="2899">
        <f t="shared" ref="D6" si="15">C6</f>
        <v>347.77173663537445</v>
      </c>
      <c r="E6" s="2899">
        <f t="shared" ref="E6" si="16">E7*(1+P6)</f>
        <v>718.44695593258189</v>
      </c>
      <c r="F6" s="2899">
        <f t="shared" ref="F6" si="17">F7*(1+Q6)</f>
        <v>329.12600580153247</v>
      </c>
      <c r="G6" s="2882">
        <v>2021</v>
      </c>
      <c r="H6" s="2900">
        <v>1</v>
      </c>
      <c r="I6" s="2862">
        <v>0.97</v>
      </c>
      <c r="J6" s="2862">
        <v>0.16</v>
      </c>
      <c r="K6" s="2862">
        <v>1.1100000000000001</v>
      </c>
      <c r="L6" s="2863">
        <v>0.36</v>
      </c>
      <c r="M6" s="2886"/>
      <c r="N6" s="2901">
        <f t="shared" ref="N6" si="18">I6/100</f>
        <v>9.7000000000000003E-3</v>
      </c>
      <c r="O6" s="2887">
        <f t="shared" ref="O6" si="19">J6/100</f>
        <v>1.6000000000000001E-3</v>
      </c>
      <c r="P6" s="2887">
        <f t="shared" ref="P6" si="20">K6/100</f>
        <v>1.11E-2</v>
      </c>
      <c r="Q6" s="2887">
        <f t="shared" ref="Q6" si="21">L6/100</f>
        <v>3.5999999999999999E-3</v>
      </c>
      <c r="R6" s="2902"/>
      <c r="S6" s="2903">
        <f>B6/B7-1</f>
        <v>9.7000000000000419E-3</v>
      </c>
      <c r="T6" s="2904">
        <f>C6/C7-1</f>
        <v>1.6000000000000458E-3</v>
      </c>
      <c r="U6" s="2904">
        <f>E6/E7-1</f>
        <v>1.110000000000011E-2</v>
      </c>
      <c r="V6" s="2904">
        <f>F6/F7-1</f>
        <v>3.6000000000000476E-3</v>
      </c>
      <c r="W6" s="2886"/>
      <c r="X6" s="2886">
        <f>ROUND(IF(项目基本情况!B5="出让",SUMPRODUCT(PRODUCT(1+N6:N$34)),SUMPRODUCT(PRODUCT(1+N6:N$33))),4)</f>
        <v>1.619</v>
      </c>
      <c r="Y6" s="2886">
        <f>ROUND(IF(项目基本情况!B5="出让",SUMPRODUCT(PRODUCT(1+O6:O$34)),SUMPRODUCT(PRODUCT(1+O6:O$33))),4)</f>
        <v>1.3491</v>
      </c>
      <c r="Z6" s="2886">
        <f t="shared" ref="Z6" si="22">Y6</f>
        <v>1.3491</v>
      </c>
      <c r="AA6" s="2886">
        <f>ROUND(IF(项目基本情况!B5="出让",SUMPRODUCT(PRODUCT(1+P6:P$34)),SUMPRODUCT(PRODUCT(1+P6:P$33))),4)</f>
        <v>1.6988000000000001</v>
      </c>
      <c r="AB6" s="2886">
        <f>ROUND(IF(项目基本情况!B5="出让",SUMPRODUCT(PRODUCT(1+Q6:Q$34)),SUMPRODUCT(PRODUCT(1+Q6:Q$33))),4)</f>
        <v>1.4315</v>
      </c>
      <c r="AC6" s="2886"/>
      <c r="AD6" s="2887">
        <f>ROUND(AVERAGE(I6:I$34)/100,4)</f>
        <v>1.7899999999999999E-2</v>
      </c>
      <c r="AE6" s="2887">
        <f>ROUND(AVERAGE(J6:J$34)/100,4)</f>
        <v>1.12E-2</v>
      </c>
      <c r="AF6" s="2887">
        <f t="shared" ref="AF6" si="23">AE6</f>
        <v>1.12E-2</v>
      </c>
      <c r="AG6" s="2887">
        <f>ROUND(AVERAGE(K6:K$34)/100,4)</f>
        <v>1.9699999999999999E-2</v>
      </c>
      <c r="AH6" s="2887">
        <f>ROUND(AVERAGE(L6:L$34)/100,4)</f>
        <v>1.29E-2</v>
      </c>
    </row>
    <row r="7" spans="1:34" s="2905" customFormat="1">
      <c r="A7" s="2898" t="s">
        <v>2990</v>
      </c>
      <c r="B7" s="2899">
        <f t="shared" ref="B7" si="24">B8*(1+N7)</f>
        <v>493.14449689037161</v>
      </c>
      <c r="C7" s="2899">
        <f t="shared" ref="C7" si="25">C8*(1+O7)</f>
        <v>347.21619073020611</v>
      </c>
      <c r="D7" s="2899">
        <f t="shared" ref="D7" si="26">C7</f>
        <v>347.21619073020611</v>
      </c>
      <c r="E7" s="2899">
        <f t="shared" ref="E7" si="27">E8*(1+P7)</f>
        <v>710.55974278763904</v>
      </c>
      <c r="F7" s="2899">
        <f t="shared" ref="F7" si="28">F8*(1+Q7)</f>
        <v>327.94540235306141</v>
      </c>
      <c r="G7" s="2882">
        <v>2020</v>
      </c>
      <c r="H7" s="2900">
        <v>4</v>
      </c>
      <c r="I7" s="2862">
        <v>2.0699999999999998</v>
      </c>
      <c r="J7" s="2862">
        <v>0.37</v>
      </c>
      <c r="K7" s="2862">
        <v>2.35</v>
      </c>
      <c r="L7" s="2863">
        <v>2.69</v>
      </c>
      <c r="M7" s="2886"/>
      <c r="N7" s="2901">
        <f t="shared" ref="N7" si="29">I7/100</f>
        <v>2.07E-2</v>
      </c>
      <c r="O7" s="2887">
        <f t="shared" ref="O7" si="30">J7/100</f>
        <v>3.7000000000000002E-3</v>
      </c>
      <c r="P7" s="2887">
        <f t="shared" ref="P7" si="31">K7/100</f>
        <v>2.35E-2</v>
      </c>
      <c r="Q7" s="2887">
        <f t="shared" ref="Q7" si="32">L7/100</f>
        <v>2.69E-2</v>
      </c>
      <c r="R7" s="2902"/>
      <c r="S7" s="2903"/>
      <c r="T7" s="2904"/>
      <c r="U7" s="2904"/>
      <c r="V7" s="2904"/>
      <c r="W7" s="2886"/>
      <c r="X7" s="2886">
        <f>ROUND(IF(项目基本情况!B6="出让",SUMPRODUCT(PRODUCT(1+N7:N$34)),SUMPRODUCT(PRODUCT(1+N7:N$33))),4)</f>
        <v>1.6034999999999999</v>
      </c>
      <c r="Y7" s="2886">
        <f>ROUND(IF(项目基本情况!B6="出让",SUMPRODUCT(PRODUCT(1+O7:O$34)),SUMPRODUCT(PRODUCT(1+O7:O$33))),4)</f>
        <v>1.3469</v>
      </c>
      <c r="Z7" s="2886">
        <f t="shared" ref="Z7" si="33">Y7</f>
        <v>1.3469</v>
      </c>
      <c r="AA7" s="2886">
        <f>ROUND(IF(项目基本情况!B6="出让",SUMPRODUCT(PRODUCT(1+P7:P$34)),SUMPRODUCT(PRODUCT(1+P7:P$33))),4)</f>
        <v>1.6801999999999999</v>
      </c>
      <c r="AB7" s="2886">
        <f>ROUND(IF(项目基本情况!B6="出让",SUMPRODUCT(PRODUCT(1+Q7:Q$34)),SUMPRODUCT(PRODUCT(1+Q7:Q$33))),4)</f>
        <v>1.4263999999999999</v>
      </c>
      <c r="AC7" s="2886"/>
      <c r="AD7" s="2887">
        <f>ROUND(AVERAGE(I7:I$34)/100,4)</f>
        <v>1.8200000000000001E-2</v>
      </c>
      <c r="AE7" s="2887">
        <f>ROUND(AVERAGE(J7:J$34)/100,4)</f>
        <v>1.1599999999999999E-2</v>
      </c>
      <c r="AF7" s="2887">
        <f t="shared" ref="AF7" si="34">AE7</f>
        <v>1.1599999999999999E-2</v>
      </c>
      <c r="AG7" s="2887">
        <f>ROUND(AVERAGE(K7:K$34)/100,4)</f>
        <v>0.02</v>
      </c>
      <c r="AH7" s="2887">
        <f>ROUND(AVERAGE(L7:L$34)/100,4)</f>
        <v>1.3299999999999999E-2</v>
      </c>
    </row>
    <row r="8" spans="1:34" s="2905" customFormat="1">
      <c r="A8" s="2898" t="s">
        <v>2989</v>
      </c>
      <c r="B8" s="2899">
        <f t="shared" ref="B8" si="35">B9*(1+N8)</f>
        <v>483.1434279321756</v>
      </c>
      <c r="C8" s="2899">
        <f t="shared" ref="C8" si="36">C9*(1+O8)</f>
        <v>345.93622669144776</v>
      </c>
      <c r="D8" s="2899">
        <f t="shared" ref="D8" si="37">C8</f>
        <v>345.93622669144776</v>
      </c>
      <c r="E8" s="2899">
        <f t="shared" ref="E8" si="38">E9*(1+P8)</f>
        <v>694.24498562544113</v>
      </c>
      <c r="F8" s="2899">
        <f t="shared" ref="F8" si="39">F9*(1+Q8)</f>
        <v>319.35475932716082</v>
      </c>
      <c r="G8" s="2882">
        <v>2020</v>
      </c>
      <c r="H8" s="2900">
        <v>3</v>
      </c>
      <c r="I8" s="2862">
        <v>0.36</v>
      </c>
      <c r="J8" s="2862">
        <v>-0.39</v>
      </c>
      <c r="K8" s="2862">
        <v>0.49</v>
      </c>
      <c r="L8" s="2863">
        <v>7.0000000000000007E-2</v>
      </c>
      <c r="M8" s="2886"/>
      <c r="N8" s="2901">
        <f t="shared" ref="N8" si="40">I8/100</f>
        <v>3.5999999999999999E-3</v>
      </c>
      <c r="O8" s="2887">
        <f t="shared" ref="O8" si="41">J8/100</f>
        <v>-3.9000000000000003E-3</v>
      </c>
      <c r="P8" s="2887">
        <f t="shared" ref="P8" si="42">K8/100</f>
        <v>4.8999999999999998E-3</v>
      </c>
      <c r="Q8" s="2887">
        <f t="shared" ref="Q8" si="43">L8/100</f>
        <v>7.000000000000001E-4</v>
      </c>
      <c r="R8" s="2902"/>
      <c r="S8" s="2903"/>
      <c r="T8" s="2904"/>
      <c r="U8" s="2904"/>
      <c r="V8" s="2904"/>
      <c r="W8" s="2886"/>
      <c r="X8" s="2886">
        <f>ROUND(IF(项目基本情况!B7="出让",SUMPRODUCT(PRODUCT(1+N8:N$34)),SUMPRODUCT(PRODUCT(1+N8:N$33))),4)</f>
        <v>1.571</v>
      </c>
      <c r="Y8" s="2886">
        <f>ROUND(IF(项目基本情况!B7="出让",SUMPRODUCT(PRODUCT(1+O8:O$34)),SUMPRODUCT(PRODUCT(1+O8:O$33))),4)</f>
        <v>1.3420000000000001</v>
      </c>
      <c r="Z8" s="2886">
        <f t="shared" ref="Z8" si="44">Y8</f>
        <v>1.3420000000000001</v>
      </c>
      <c r="AA8" s="2886">
        <f>ROUND(IF(项目基本情况!B7="出让",SUMPRODUCT(PRODUCT(1+P8:P$34)),SUMPRODUCT(PRODUCT(1+P8:P$33))),4)</f>
        <v>1.6415999999999999</v>
      </c>
      <c r="AB8" s="2886">
        <f>ROUND(IF(项目基本情况!B7="出让",SUMPRODUCT(PRODUCT(1+Q8:Q$34)),SUMPRODUCT(PRODUCT(1+Q8:Q$33))),4)</f>
        <v>1.389</v>
      </c>
      <c r="AC8" s="2886"/>
      <c r="AD8" s="2887">
        <f>ROUND(AVERAGE(I8:I$34)/100,4)</f>
        <v>1.8100000000000002E-2</v>
      </c>
      <c r="AE8" s="2887">
        <f>ROUND(AVERAGE(J8:J$34)/100,4)</f>
        <v>1.1900000000000001E-2</v>
      </c>
      <c r="AF8" s="2887">
        <f t="shared" ref="AF8" si="45">AE8</f>
        <v>1.1900000000000001E-2</v>
      </c>
      <c r="AG8" s="2887">
        <f>ROUND(AVERAGE(K8:K$34)/100,4)</f>
        <v>1.9900000000000001E-2</v>
      </c>
      <c r="AH8" s="2887">
        <f>ROUND(AVERAGE(L8:L$34)/100,4)</f>
        <v>1.2800000000000001E-2</v>
      </c>
    </row>
    <row r="9" spans="1:34" s="2905" customFormat="1">
      <c r="A9" s="2898" t="s">
        <v>2952</v>
      </c>
      <c r="B9" s="2899">
        <f t="shared" ref="B9" si="46">B10*(1+N9)</f>
        <v>481.4103506697644</v>
      </c>
      <c r="C9" s="2899">
        <f t="shared" ref="C9" si="47">C10*(1+O9)</f>
        <v>347.29066026648707</v>
      </c>
      <c r="D9" s="2899">
        <f t="shared" ref="D9" si="48">C9</f>
        <v>347.29066026648707</v>
      </c>
      <c r="E9" s="2899">
        <f t="shared" ref="E9" si="49">E10*(1+P9)</f>
        <v>690.85977273901995</v>
      </c>
      <c r="F9" s="2899">
        <f t="shared" ref="F9" si="50">F10*(1+Q9)</f>
        <v>319.13136737000184</v>
      </c>
      <c r="G9" s="2882">
        <v>2020</v>
      </c>
      <c r="H9" s="2900">
        <v>2</v>
      </c>
      <c r="I9" s="2862">
        <v>0.31</v>
      </c>
      <c r="J9" s="2862">
        <v>-0.78</v>
      </c>
      <c r="K9" s="2862">
        <v>0.5</v>
      </c>
      <c r="L9" s="2863">
        <v>0.47</v>
      </c>
      <c r="M9" s="2886"/>
      <c r="N9" s="2901">
        <f t="shared" ref="N9" si="51">I9/100</f>
        <v>3.0999999999999999E-3</v>
      </c>
      <c r="O9" s="2887">
        <f t="shared" ref="O9" si="52">J9/100</f>
        <v>-7.8000000000000005E-3</v>
      </c>
      <c r="P9" s="2887">
        <f t="shared" ref="P9" si="53">K9/100</f>
        <v>5.0000000000000001E-3</v>
      </c>
      <c r="Q9" s="2887">
        <f t="shared" ref="Q9" si="54">L9/100</f>
        <v>4.6999999999999993E-3</v>
      </c>
      <c r="R9" s="2902"/>
      <c r="S9" s="2903"/>
      <c r="T9" s="2904"/>
      <c r="U9" s="2904"/>
      <c r="V9" s="2904"/>
      <c r="W9" s="2886"/>
      <c r="X9" s="2886">
        <f>ROUND(IF(项目基本情况!B8="出让",SUMPRODUCT(PRODUCT(1+N9:N$34)),SUMPRODUCT(PRODUCT(1+N9:N$33))),4)</f>
        <v>1.5652999999999999</v>
      </c>
      <c r="Y9" s="2886">
        <f>ROUND(IF(项目基本情况!B8="出让",SUMPRODUCT(PRODUCT(1+O9:O$34)),SUMPRODUCT(PRODUCT(1+O9:O$33))),4)</f>
        <v>1.3472</v>
      </c>
      <c r="Z9" s="2886">
        <f t="shared" ref="Z9" si="55">Y9</f>
        <v>1.3472</v>
      </c>
      <c r="AA9" s="2886">
        <f>ROUND(IF(项目基本情况!B8="出让",SUMPRODUCT(PRODUCT(1+P9:P$34)),SUMPRODUCT(PRODUCT(1+P9:P$33))),4)</f>
        <v>1.6335999999999999</v>
      </c>
      <c r="AB9" s="2886">
        <f>ROUND(IF(项目基本情况!B8="出让",SUMPRODUCT(PRODUCT(1+Q9:Q$34)),SUMPRODUCT(PRODUCT(1+Q9:Q$33))),4)</f>
        <v>1.3880999999999999</v>
      </c>
      <c r="AC9" s="2886"/>
      <c r="AD9" s="2887">
        <f>ROUND(AVERAGE(I9:I$34)/100,4)</f>
        <v>1.8599999999999998E-2</v>
      </c>
      <c r="AE9" s="2887">
        <f>ROUND(AVERAGE(J9:J$34)/100,4)</f>
        <v>1.2500000000000001E-2</v>
      </c>
      <c r="AF9" s="2887">
        <f t="shared" ref="AF9" si="56">AE9</f>
        <v>1.2500000000000001E-2</v>
      </c>
      <c r="AG9" s="2887">
        <f>ROUND(AVERAGE(K9:K$34)/100,4)</f>
        <v>2.0400000000000001E-2</v>
      </c>
      <c r="AH9" s="2887">
        <f>ROUND(AVERAGE(L9:L$34)/100,4)</f>
        <v>1.32E-2</v>
      </c>
    </row>
    <row r="10" spans="1:34" s="2905" customFormat="1">
      <c r="A10" s="2898" t="s">
        <v>2950</v>
      </c>
      <c r="B10" s="2899">
        <f t="shared" ref="B10" si="57">B11*(1+N10)</f>
        <v>479.92259063878413</v>
      </c>
      <c r="C10" s="2899">
        <f t="shared" ref="C10" si="58">C11*(1+O10)</f>
        <v>350.02082268341775</v>
      </c>
      <c r="D10" s="2899">
        <f t="shared" ref="D10" si="59">C10</f>
        <v>350.02082268341775</v>
      </c>
      <c r="E10" s="2899">
        <f t="shared" ref="E10" si="60">E11*(1+P10)</f>
        <v>687.42265944181099</v>
      </c>
      <c r="F10" s="2899">
        <f t="shared" ref="F10" si="61">F11*(1+Q10)</f>
        <v>317.63846657708956</v>
      </c>
      <c r="G10" s="2882">
        <v>2020</v>
      </c>
      <c r="H10" s="2900">
        <v>1</v>
      </c>
      <c r="I10" s="2862">
        <v>0.12</v>
      </c>
      <c r="J10" s="2862">
        <v>-0.4</v>
      </c>
      <c r="K10" s="2862">
        <v>0.21</v>
      </c>
      <c r="L10" s="2863">
        <v>0.27</v>
      </c>
      <c r="M10" s="2886"/>
      <c r="N10" s="2901">
        <f t="shared" ref="N10" si="62">I10/100</f>
        <v>1.1999999999999999E-3</v>
      </c>
      <c r="O10" s="2887">
        <f t="shared" ref="O10" si="63">J10/100</f>
        <v>-4.0000000000000001E-3</v>
      </c>
      <c r="P10" s="2887">
        <f t="shared" ref="P10" si="64">K10/100</f>
        <v>2.0999999999999999E-3</v>
      </c>
      <c r="Q10" s="2887">
        <f t="shared" ref="Q10" si="65">L10/100</f>
        <v>2.7000000000000001E-3</v>
      </c>
      <c r="R10" s="2902"/>
      <c r="S10" s="2903">
        <f>B10/B11-1</f>
        <v>1.2000000000000899E-3</v>
      </c>
      <c r="T10" s="2904">
        <f>C10/C11-1</f>
        <v>-4.0000000000000036E-3</v>
      </c>
      <c r="U10" s="2904">
        <f>E10/E11-1</f>
        <v>2.0999999999999908E-3</v>
      </c>
      <c r="V10" s="2904">
        <f>F10/F11-1</f>
        <v>2.6999999999999247E-3</v>
      </c>
      <c r="W10" s="2886"/>
      <c r="X10" s="2886">
        <f>ROUND(IF(项目基本情况!B8="出让",SUMPRODUCT(PRODUCT(1+N10:N$34)),SUMPRODUCT(PRODUCT(1+N10:N$33))),4)</f>
        <v>1.5605</v>
      </c>
      <c r="Y10" s="2886">
        <f>ROUND(IF(项目基本情况!B8="出让",SUMPRODUCT(PRODUCT(1+O10:O$34)),SUMPRODUCT(PRODUCT(1+O10:O$33))),4)</f>
        <v>1.3577999999999999</v>
      </c>
      <c r="Z10" s="2886">
        <f t="shared" ref="Z10" si="66">Y10</f>
        <v>1.3577999999999999</v>
      </c>
      <c r="AA10" s="2886">
        <f>ROUND(IF(项目基本情况!B8="出让",SUMPRODUCT(PRODUCT(1+P10:P$34)),SUMPRODUCT(PRODUCT(1+P10:P$33))),4)</f>
        <v>1.6254999999999999</v>
      </c>
      <c r="AB10" s="2886">
        <f>ROUND(IF(项目基本情况!B8="出让",SUMPRODUCT(PRODUCT(1+Q10:Q$34)),SUMPRODUCT(PRODUCT(1+Q10:Q$33))),4)</f>
        <v>1.3815999999999999</v>
      </c>
      <c r="AC10" s="2886"/>
      <c r="AD10" s="2887">
        <f>ROUND(AVERAGE(I10:I$34)/100,4)</f>
        <v>1.9199999999999998E-2</v>
      </c>
      <c r="AE10" s="2887">
        <f>ROUND(AVERAGE(J10:J$34)/100,4)</f>
        <v>1.3299999999999999E-2</v>
      </c>
      <c r="AF10" s="2887">
        <f t="shared" ref="AF10" si="67">AE10</f>
        <v>1.3299999999999999E-2</v>
      </c>
      <c r="AG10" s="2887">
        <f>ROUND(AVERAGE(K10:K$34)/100,4)</f>
        <v>2.1100000000000001E-2</v>
      </c>
      <c r="AH10" s="2887">
        <f>ROUND(AVERAGE(L10:L$34)/100,4)</f>
        <v>1.3599999999999999E-2</v>
      </c>
    </row>
    <row r="11" spans="1:34" s="2905" customFormat="1">
      <c r="A11" s="2898" t="s">
        <v>2947</v>
      </c>
      <c r="B11" s="2899">
        <f t="shared" ref="B11" si="68">B12*(1+N11)</f>
        <v>479.34737379023579</v>
      </c>
      <c r="C11" s="2899">
        <f t="shared" ref="C11" si="69">C12*(1+O11)</f>
        <v>351.4265287986122</v>
      </c>
      <c r="D11" s="2899">
        <f t="shared" ref="D11" si="70">C11</f>
        <v>351.4265287986122</v>
      </c>
      <c r="E11" s="2899">
        <f t="shared" ref="E11" si="71">E12*(1+P11)</f>
        <v>685.98209703803116</v>
      </c>
      <c r="F11" s="2899">
        <f t="shared" ref="F11" si="72">F12*(1+Q11)</f>
        <v>316.78315206651001</v>
      </c>
      <c r="G11" s="2882">
        <v>2019</v>
      </c>
      <c r="H11" s="2900">
        <v>4</v>
      </c>
      <c r="I11" s="2900">
        <v>0.45</v>
      </c>
      <c r="J11" s="2900">
        <v>-0.12</v>
      </c>
      <c r="K11" s="2900">
        <v>0.54</v>
      </c>
      <c r="L11" s="2906">
        <v>0.48</v>
      </c>
      <c r="M11" s="2886"/>
      <c r="N11" s="2901">
        <f t="shared" ref="N11" si="73">I11/100</f>
        <v>4.5000000000000005E-3</v>
      </c>
      <c r="O11" s="2887">
        <f t="shared" ref="O11" si="74">J11/100</f>
        <v>-1.1999999999999999E-3</v>
      </c>
      <c r="P11" s="2887">
        <f t="shared" ref="P11" si="75">K11/100</f>
        <v>5.4000000000000003E-3</v>
      </c>
      <c r="Q11" s="2887">
        <f t="shared" ref="Q11" si="76">L11/100</f>
        <v>4.7999999999999996E-3</v>
      </c>
      <c r="R11" s="2902"/>
      <c r="S11" s="2903"/>
      <c r="T11" s="2904"/>
      <c r="U11" s="2904"/>
      <c r="V11" s="2904"/>
      <c r="W11" s="2886"/>
      <c r="X11" s="2886">
        <f>ROUND(IF(项目基本情况!B8="出让",SUMPRODUCT(PRODUCT(1+N11:N$34)),SUMPRODUCT(PRODUCT(1+N11:N$33))),4)</f>
        <v>1.5586</v>
      </c>
      <c r="Y11" s="2886">
        <f>ROUND(IF(项目基本情况!B8="出让",SUMPRODUCT(PRODUCT(1+O11:O$34)),SUMPRODUCT(PRODUCT(1+O11:O$33))),4)</f>
        <v>1.3633</v>
      </c>
      <c r="Z11" s="2886">
        <f t="shared" ref="Z11" si="77">Y11</f>
        <v>1.3633</v>
      </c>
      <c r="AA11" s="2886">
        <f>ROUND(IF(项目基本情况!B8="出让",SUMPRODUCT(PRODUCT(1+P11:P$34)),SUMPRODUCT(PRODUCT(1+P11:P$33))),4)</f>
        <v>1.6221000000000001</v>
      </c>
      <c r="AB11" s="2886">
        <f>ROUND(IF(项目基本情况!B8="出让",SUMPRODUCT(PRODUCT(1+Q11:Q$34)),SUMPRODUCT(PRODUCT(1+Q11:Q$33))),4)</f>
        <v>1.3777999999999999</v>
      </c>
      <c r="AC11" s="2886"/>
      <c r="AD11" s="2887">
        <f>ROUND(AVERAGE(I11:I$34)/100,4)</f>
        <v>0.02</v>
      </c>
      <c r="AE11" s="2887">
        <f>ROUND(AVERAGE(J11:J$34)/100,4)</f>
        <v>1.4E-2</v>
      </c>
      <c r="AF11" s="2887">
        <f t="shared" ref="AF11" si="78">AE11</f>
        <v>1.4E-2</v>
      </c>
      <c r="AG11" s="2887">
        <f>ROUND(AVERAGE(K11:K$34)/100,4)</f>
        <v>2.1899999999999999E-2</v>
      </c>
      <c r="AH11" s="2887">
        <f>ROUND(AVERAGE(L11:L$34)/100,4)</f>
        <v>1.4E-2</v>
      </c>
    </row>
    <row r="12" spans="1:34" s="2905" customFormat="1" ht="13.5" thickBot="1">
      <c r="A12" s="2898" t="s">
        <v>2946</v>
      </c>
      <c r="B12" s="2899">
        <f t="shared" ref="B12" si="79">B13*(1+N12)</f>
        <v>477.19997390765138</v>
      </c>
      <c r="C12" s="2899">
        <f t="shared" ref="C12" si="80">C13*(1+O12)</f>
        <v>351.84874729536665</v>
      </c>
      <c r="D12" s="2899">
        <f t="shared" ref="D12" si="81">C12</f>
        <v>351.84874729536665</v>
      </c>
      <c r="E12" s="2899">
        <f t="shared" ref="E12" si="82">E13*(1+P12)</f>
        <v>682.29768951465201</v>
      </c>
      <c r="F12" s="2899">
        <f t="shared" ref="F12" si="83">F13*(1+Q12)</f>
        <v>315.26985675409043</v>
      </c>
      <c r="G12" s="2882">
        <v>2019</v>
      </c>
      <c r="H12" s="2900">
        <v>3</v>
      </c>
      <c r="I12" s="2900">
        <v>0.61</v>
      </c>
      <c r="J12" s="2900">
        <v>0.67</v>
      </c>
      <c r="K12" s="2900">
        <v>0.6</v>
      </c>
      <c r="L12" s="2906">
        <v>1.03</v>
      </c>
      <c r="M12" s="2886"/>
      <c r="N12" s="2901">
        <f t="shared" ref="N12" si="84">I12/100</f>
        <v>6.0999999999999995E-3</v>
      </c>
      <c r="O12" s="2887">
        <f t="shared" ref="O12" si="85">J12/100</f>
        <v>6.7000000000000002E-3</v>
      </c>
      <c r="P12" s="2887">
        <f t="shared" ref="P12" si="86">K12/100</f>
        <v>6.0000000000000001E-3</v>
      </c>
      <c r="Q12" s="2887">
        <f t="shared" ref="Q12" si="87">L12/100</f>
        <v>1.03E-2</v>
      </c>
      <c r="R12" s="2902"/>
      <c r="S12" s="2903"/>
      <c r="T12" s="2904"/>
      <c r="U12" s="2904"/>
      <c r="V12" s="2904"/>
      <c r="W12" s="2886"/>
      <c r="X12" s="2886">
        <f>ROUND(IF(项目基本情况!B8="出让",SUMPRODUCT(PRODUCT(1+N12:N$34)),SUMPRODUCT(PRODUCT(1+N12:N$33))),4)</f>
        <v>1.5516000000000001</v>
      </c>
      <c r="Y12" s="2886">
        <f>ROUND(IF(项目基本情况!B8="出让",SUMPRODUCT(PRODUCT(1+O12:O$34)),SUMPRODUCT(PRODUCT(1+O12:O$33))),4)</f>
        <v>1.3649</v>
      </c>
      <c r="Z12" s="2886">
        <f t="shared" ref="Z12" si="88">Y12</f>
        <v>1.3649</v>
      </c>
      <c r="AA12" s="2886">
        <f>ROUND(IF(项目基本情况!B8="出让",SUMPRODUCT(PRODUCT(1+P12:P$34)),SUMPRODUCT(PRODUCT(1+P12:P$33))),4)</f>
        <v>1.6133999999999999</v>
      </c>
      <c r="AB12" s="2886">
        <f>ROUND(IF(项目基本情况!B8="出让",SUMPRODUCT(PRODUCT(1+Q12:Q$34)),SUMPRODUCT(PRODUCT(1+Q12:Q$33))),4)</f>
        <v>1.3713</v>
      </c>
      <c r="AC12" s="2886"/>
      <c r="AD12" s="2887">
        <f>ROUND(AVERAGE(I12:I$34)/100,4)</f>
        <v>2.07E-2</v>
      </c>
      <c r="AE12" s="2887">
        <f>ROUND(AVERAGE(J12:J$34)/100,4)</f>
        <v>1.47E-2</v>
      </c>
      <c r="AF12" s="2887">
        <f t="shared" ref="AF12" si="89">AE12</f>
        <v>1.47E-2</v>
      </c>
      <c r="AG12" s="2887">
        <f>ROUND(AVERAGE(K12:K$34)/100,4)</f>
        <v>2.2599999999999999E-2</v>
      </c>
      <c r="AH12" s="2887">
        <f>ROUND(AVERAGE(L12:L$34)/100,4)</f>
        <v>1.44E-2</v>
      </c>
    </row>
    <row r="13" spans="1:34" s="2905" customFormat="1">
      <c r="A13" s="2898" t="s">
        <v>2943</v>
      </c>
      <c r="B13" s="2899">
        <f t="shared" ref="B13:B18" si="90">B14*(1+N13)</f>
        <v>474.30670301923408</v>
      </c>
      <c r="C13" s="2899">
        <f t="shared" ref="C13" si="91">C14*(1+O13)</f>
        <v>349.50705005996491</v>
      </c>
      <c r="D13" s="2899">
        <f t="shared" ref="D13" si="92">C13</f>
        <v>349.50705005996491</v>
      </c>
      <c r="E13" s="2899">
        <f t="shared" ref="E13" si="93">E14*(1+P13)</f>
        <v>678.22831959706957</v>
      </c>
      <c r="F13" s="2899">
        <f t="shared" ref="F13" si="94">F14*(1+Q13)</f>
        <v>312.0556832169558</v>
      </c>
      <c r="G13" s="2882">
        <v>2019</v>
      </c>
      <c r="H13" s="2907">
        <v>2</v>
      </c>
      <c r="I13" s="2907">
        <v>1.53</v>
      </c>
      <c r="J13" s="2907">
        <v>1.01</v>
      </c>
      <c r="K13" s="2907">
        <v>1.62</v>
      </c>
      <c r="L13" s="2908">
        <v>1.25</v>
      </c>
      <c r="M13" s="2886"/>
      <c r="N13" s="2901">
        <f t="shared" ref="N13" si="95">I13/100</f>
        <v>1.5300000000000001E-2</v>
      </c>
      <c r="O13" s="2887">
        <f t="shared" ref="O13" si="96">J13/100</f>
        <v>1.01E-2</v>
      </c>
      <c r="P13" s="2887">
        <f t="shared" ref="P13" si="97">K13/100</f>
        <v>1.6200000000000003E-2</v>
      </c>
      <c r="Q13" s="2887">
        <f t="shared" ref="Q13" si="98">L13/100</f>
        <v>1.2500000000000001E-2</v>
      </c>
      <c r="R13" s="2902"/>
      <c r="S13" s="2903"/>
      <c r="T13" s="2904"/>
      <c r="U13" s="2904"/>
      <c r="V13" s="2904"/>
      <c r="W13" s="2886"/>
      <c r="X13" s="2886">
        <f>ROUND(IF(项目基本情况!B8="出让",SUMPRODUCT(PRODUCT(1+N13:N$34)),SUMPRODUCT(PRODUCT(1+N13:N$33))),4)</f>
        <v>1.5422</v>
      </c>
      <c r="Y13" s="2886">
        <f>ROUND(IF(项目基本情况!B8="出让",SUMPRODUCT(PRODUCT(1+O13:O$34)),SUMPRODUCT(PRODUCT(1+O13:O$33))),4)</f>
        <v>1.3557999999999999</v>
      </c>
      <c r="Z13" s="2886">
        <f t="shared" ref="Z13" si="99">Y13</f>
        <v>1.3557999999999999</v>
      </c>
      <c r="AA13" s="2886">
        <f>ROUND(IF(项目基本情况!B8="出让",SUMPRODUCT(PRODUCT(1+P13:P$34)),SUMPRODUCT(PRODUCT(1+P13:P$33))),4)</f>
        <v>1.6036999999999999</v>
      </c>
      <c r="AB13" s="2886">
        <f>ROUND(IF(项目基本情况!B8="出让",SUMPRODUCT(PRODUCT(1+Q13:Q$34)),SUMPRODUCT(PRODUCT(1+Q13:Q$33))),4)</f>
        <v>1.3573</v>
      </c>
      <c r="AC13" s="2886"/>
      <c r="AD13" s="2887">
        <f>ROUND(AVERAGE(I13:I$34)/100,4)</f>
        <v>2.1299999999999999E-2</v>
      </c>
      <c r="AE13" s="2887">
        <f>ROUND(AVERAGE(J13:J$34)/100,4)</f>
        <v>1.4999999999999999E-2</v>
      </c>
      <c r="AF13" s="2887">
        <f t="shared" ref="AF13" si="100">AE13</f>
        <v>1.4999999999999999E-2</v>
      </c>
      <c r="AG13" s="2887">
        <f>ROUND(AVERAGE(K13:K$34)/100,4)</f>
        <v>2.3300000000000001E-2</v>
      </c>
      <c r="AH13" s="2887">
        <f>ROUND(AVERAGE(L13:L$34)/100,4)</f>
        <v>1.46E-2</v>
      </c>
    </row>
    <row r="14" spans="1:34" s="2905" customFormat="1" ht="13.5" thickBot="1">
      <c r="A14" s="2898" t="s">
        <v>2942</v>
      </c>
      <c r="B14" s="2899">
        <f t="shared" si="90"/>
        <v>467.15916775261894</v>
      </c>
      <c r="C14" s="2899">
        <f t="shared" ref="C14" si="101">C15*(1+O14)</f>
        <v>346.01232557169084</v>
      </c>
      <c r="D14" s="2899">
        <f t="shared" ref="D14" si="102">C14</f>
        <v>346.01232557169084</v>
      </c>
      <c r="E14" s="2899">
        <f t="shared" ref="E14" si="103">E15*(1+P14)</f>
        <v>667.41617752122568</v>
      </c>
      <c r="F14" s="2899">
        <f t="shared" ref="F14" si="104">F15*(1+Q14)</f>
        <v>308.20314391798104</v>
      </c>
      <c r="G14" s="2882">
        <v>2019</v>
      </c>
      <c r="H14" s="2900">
        <v>1</v>
      </c>
      <c r="I14" s="2900">
        <v>0.6</v>
      </c>
      <c r="J14" s="2900">
        <v>0.37</v>
      </c>
      <c r="K14" s="2900">
        <v>0.63</v>
      </c>
      <c r="L14" s="2906">
        <v>1.1299999999999999</v>
      </c>
      <c r="M14" s="2886"/>
      <c r="N14" s="2901">
        <f t="shared" ref="N14" si="105">I14/100</f>
        <v>6.0000000000000001E-3</v>
      </c>
      <c r="O14" s="2887">
        <f t="shared" ref="O14" si="106">J14/100</f>
        <v>3.7000000000000002E-3</v>
      </c>
      <c r="P14" s="2887">
        <f t="shared" ref="P14" si="107">K14/100</f>
        <v>6.3E-3</v>
      </c>
      <c r="Q14" s="2887">
        <f t="shared" ref="Q14" si="108">L14/100</f>
        <v>1.1299999999999999E-2</v>
      </c>
      <c r="R14" s="2902"/>
      <c r="S14" s="2903">
        <f>B14/B15-1</f>
        <v>6.0000000000000053E-3</v>
      </c>
      <c r="T14" s="2904">
        <f>C14/C15-1</f>
        <v>3.7000000000000366E-3</v>
      </c>
      <c r="U14" s="2904">
        <f>E14/E15-1</f>
        <v>6.2999999999999723E-3</v>
      </c>
      <c r="V14" s="2904">
        <f>F14/F15-1</f>
        <v>1.1300000000000088E-2</v>
      </c>
      <c r="W14" s="2886"/>
      <c r="X14" s="2886">
        <f>ROUND(IF(项目基本情况!B8="出让",SUMPRODUCT(PRODUCT(1+N14:N$34)),SUMPRODUCT(PRODUCT(1+N14:N$33))),4)</f>
        <v>1.5189999999999999</v>
      </c>
      <c r="Y14" s="2886">
        <f>ROUND(IF(项目基本情况!B8="出让",SUMPRODUCT(PRODUCT(1+O14:O$34)),SUMPRODUCT(PRODUCT(1+O14:O$33))),4)</f>
        <v>1.3423</v>
      </c>
      <c r="Z14" s="2886">
        <f t="shared" ref="Z14" si="109">Y14</f>
        <v>1.3423</v>
      </c>
      <c r="AA14" s="2886">
        <f>ROUND(IF(项目基本情况!B8="出让",SUMPRODUCT(PRODUCT(1+P14:P$34)),SUMPRODUCT(PRODUCT(1+P14:P$33))),4)</f>
        <v>1.5782</v>
      </c>
      <c r="AB14" s="2886">
        <f>ROUND(IF(项目基本情况!B8="出让",SUMPRODUCT(PRODUCT(1+Q14:Q$34)),SUMPRODUCT(PRODUCT(1+Q14:Q$33))),4)</f>
        <v>1.3405</v>
      </c>
      <c r="AC14" s="2886"/>
      <c r="AD14" s="2887">
        <f>ROUND(AVERAGE(I14:I$34)/100,4)</f>
        <v>2.1600000000000001E-2</v>
      </c>
      <c r="AE14" s="2887">
        <f>ROUND(AVERAGE(J14:J$34)/100,4)</f>
        <v>1.5299999999999999E-2</v>
      </c>
      <c r="AF14" s="2887">
        <f t="shared" ref="AF14" si="110">AE14</f>
        <v>1.5299999999999999E-2</v>
      </c>
      <c r="AG14" s="2887">
        <f>ROUND(AVERAGE(K14:K$34)/100,4)</f>
        <v>2.3699999999999999E-2</v>
      </c>
      <c r="AH14" s="2887">
        <f>ROUND(AVERAGE(L14:L$34)/100,4)</f>
        <v>1.47E-2</v>
      </c>
    </row>
    <row r="15" spans="1:34" s="2905" customFormat="1">
      <c r="A15" s="2898" t="s">
        <v>2939</v>
      </c>
      <c r="B15" s="2909">
        <f t="shared" si="90"/>
        <v>464.37293017158942</v>
      </c>
      <c r="C15" s="2909">
        <f t="shared" ref="C15" si="111">C16*(1+O15)</f>
        <v>344.73679941385956</v>
      </c>
      <c r="D15" s="2909">
        <f t="shared" ref="D15" si="112">C15</f>
        <v>344.73679941385956</v>
      </c>
      <c r="E15" s="2909">
        <f t="shared" ref="E15" si="113">E16*(1+P15)</f>
        <v>663.2377795103107</v>
      </c>
      <c r="F15" s="2910">
        <f t="shared" ref="F15" si="114">F16*(1+Q15)</f>
        <v>304.75936311478398</v>
      </c>
      <c r="G15" s="3556">
        <v>2018</v>
      </c>
      <c r="H15" s="2907">
        <v>4</v>
      </c>
      <c r="I15" s="2907">
        <v>0.96</v>
      </c>
      <c r="J15" s="2907">
        <v>1.03</v>
      </c>
      <c r="K15" s="2907">
        <v>0.92</v>
      </c>
      <c r="L15" s="2908">
        <v>1.29</v>
      </c>
      <c r="M15" s="2886"/>
      <c r="N15" s="2901">
        <f t="shared" ref="N15" si="115">I15/100</f>
        <v>9.5999999999999992E-3</v>
      </c>
      <c r="O15" s="2887">
        <f t="shared" ref="O15" si="116">J15/100</f>
        <v>1.03E-2</v>
      </c>
      <c r="P15" s="2887">
        <f t="shared" ref="P15" si="117">K15/100</f>
        <v>9.1999999999999998E-3</v>
      </c>
      <c r="Q15" s="2887">
        <f t="shared" ref="Q15" si="118">L15/100</f>
        <v>1.29E-2</v>
      </c>
      <c r="R15" s="2902"/>
      <c r="S15" s="2911"/>
      <c r="T15" s="2912"/>
      <c r="U15" s="2912"/>
      <c r="V15" s="2912"/>
      <c r="W15" s="2886"/>
      <c r="X15" s="2886">
        <f>ROUND(SUMPRODUCT(PRODUCT(1+N15:N$33)),4)</f>
        <v>1.5099</v>
      </c>
      <c r="Y15" s="2886">
        <f>ROUND(SUMPRODUCT(PRODUCT(1+O15:O$33)),4)</f>
        <v>1.3372999999999999</v>
      </c>
      <c r="Z15" s="2886">
        <f t="shared" ref="Z15" si="119">Y15</f>
        <v>1.3372999999999999</v>
      </c>
      <c r="AA15" s="2886">
        <f>ROUND(SUMPRODUCT(PRODUCT(1+P15:P$33)),4)</f>
        <v>1.5683</v>
      </c>
      <c r="AB15" s="2886">
        <f>ROUND(SUMPRODUCT(PRODUCT(1+Q15:Q$33)),4)</f>
        <v>1.3255999999999999</v>
      </c>
      <c r="AC15" s="2886"/>
      <c r="AD15" s="2887">
        <f>ROUND(AVERAGE(I15:I$34)/100,4)</f>
        <v>2.24E-2</v>
      </c>
      <c r="AE15" s="2887">
        <f>ROUND(AVERAGE(J15:J$34)/100,4)</f>
        <v>1.5800000000000002E-2</v>
      </c>
      <c r="AF15" s="2887">
        <f t="shared" ref="AF15" si="120">AE15</f>
        <v>1.5800000000000002E-2</v>
      </c>
      <c r="AG15" s="2887">
        <f>ROUND(AVERAGE(K15:K$34)/100,4)</f>
        <v>2.4500000000000001E-2</v>
      </c>
      <c r="AH15" s="2887">
        <f>ROUND(AVERAGE(L15:L$34)/100,4)</f>
        <v>1.49E-2</v>
      </c>
    </row>
    <row r="16" spans="1:34" s="2905" customFormat="1" ht="14.45" customHeight="1">
      <c r="A16" s="2898" t="s">
        <v>2932</v>
      </c>
      <c r="B16" s="2899">
        <f t="shared" si="90"/>
        <v>459.95733971036987</v>
      </c>
      <c r="C16" s="2899">
        <f t="shared" ref="C16" si="121">C17*(1+O16)</f>
        <v>341.22221064422405</v>
      </c>
      <c r="D16" s="2899">
        <f t="shared" ref="D16" si="122">C16</f>
        <v>341.22221064422405</v>
      </c>
      <c r="E16" s="2899">
        <f t="shared" ref="E16" si="123">E17*(1+P16)</f>
        <v>657.19161663724799</v>
      </c>
      <c r="F16" s="2899">
        <f t="shared" ref="F16" si="124">F17*(1+Q16)</f>
        <v>300.87803644464805</v>
      </c>
      <c r="G16" s="3556"/>
      <c r="H16" s="2900">
        <v>3</v>
      </c>
      <c r="I16" s="2900">
        <v>1.51</v>
      </c>
      <c r="J16" s="2900">
        <v>1.41</v>
      </c>
      <c r="K16" s="2900">
        <v>1.52</v>
      </c>
      <c r="L16" s="2906">
        <v>1.74</v>
      </c>
      <c r="M16" s="2886"/>
      <c r="N16" s="2901">
        <f t="shared" ref="N16" si="125">I16/100</f>
        <v>1.5100000000000001E-2</v>
      </c>
      <c r="O16" s="2887">
        <f t="shared" ref="O16" si="126">J16/100</f>
        <v>1.41E-2</v>
      </c>
      <c r="P16" s="2887">
        <f t="shared" ref="P16" si="127">K16/100</f>
        <v>1.52E-2</v>
      </c>
      <c r="Q16" s="2887">
        <f t="shared" ref="Q16" si="128">L16/100</f>
        <v>1.7399999999999999E-2</v>
      </c>
      <c r="R16" s="2902"/>
      <c r="S16" s="2901"/>
      <c r="T16" s="2887"/>
      <c r="U16" s="2887"/>
      <c r="V16" s="2887"/>
      <c r="W16" s="2886"/>
      <c r="X16" s="2886">
        <f>ROUND(SUMPRODUCT(PRODUCT(1+N16:N$33)),4)</f>
        <v>1.4956</v>
      </c>
      <c r="Y16" s="2886">
        <f>ROUND(SUMPRODUCT(PRODUCT(1+O16:O$33)),4)</f>
        <v>1.3237000000000001</v>
      </c>
      <c r="Z16" s="2886">
        <f t="shared" ref="Z16" si="129">Y16</f>
        <v>1.3237000000000001</v>
      </c>
      <c r="AA16" s="2886">
        <f>ROUND(SUMPRODUCT(PRODUCT(1+P16:P$33)),4)</f>
        <v>1.554</v>
      </c>
      <c r="AB16" s="2886">
        <f>ROUND(SUMPRODUCT(PRODUCT(1+Q16:Q$33)),4)</f>
        <v>1.3087</v>
      </c>
      <c r="AC16" s="2886"/>
      <c r="AD16" s="2887">
        <f>ROUND(AVERAGE(I16:I$34)/100,4)</f>
        <v>2.3099999999999999E-2</v>
      </c>
      <c r="AE16" s="2887">
        <f>ROUND(AVERAGE(J16:J$34)/100,4)</f>
        <v>1.61E-2</v>
      </c>
      <c r="AF16" s="2887">
        <f t="shared" ref="AF16" si="130">AE16</f>
        <v>1.61E-2</v>
      </c>
      <c r="AG16" s="2887">
        <f>ROUND(AVERAGE(K16:K$34)/100,4)</f>
        <v>2.53E-2</v>
      </c>
      <c r="AH16" s="2887">
        <f>ROUND(AVERAGE(L16:L$34)/100,4)</f>
        <v>1.4999999999999999E-2</v>
      </c>
    </row>
    <row r="17" spans="1:34" s="2905" customFormat="1" ht="14.45" customHeight="1">
      <c r="A17" s="2898" t="s">
        <v>2933</v>
      </c>
      <c r="B17" s="2899">
        <f t="shared" si="90"/>
        <v>453.11529869999993</v>
      </c>
      <c r="C17" s="2899">
        <f t="shared" ref="C17" si="131">C18*(1+O17)</f>
        <v>336.47787264000004</v>
      </c>
      <c r="D17" s="2899">
        <f t="shared" ref="D17" si="132">C17</f>
        <v>336.47787264000004</v>
      </c>
      <c r="E17" s="2899">
        <f t="shared" ref="E17" si="133">E18*(1+P17)</f>
        <v>647.35186823999993</v>
      </c>
      <c r="F17" s="2899">
        <f t="shared" ref="F17" si="134">F18*(1+Q17)</f>
        <v>295.73229452000004</v>
      </c>
      <c r="G17" s="3556"/>
      <c r="H17" s="2913">
        <v>2</v>
      </c>
      <c r="I17" s="2913">
        <v>1.49</v>
      </c>
      <c r="J17" s="2913">
        <v>0.96</v>
      </c>
      <c r="K17" s="2913">
        <v>1.58</v>
      </c>
      <c r="L17" s="2914">
        <v>2.44</v>
      </c>
      <c r="M17" s="2886"/>
      <c r="N17" s="2901">
        <f t="shared" ref="N17" si="135">I17/100</f>
        <v>1.49E-2</v>
      </c>
      <c r="O17" s="2887">
        <f t="shared" ref="O17" si="136">J17/100</f>
        <v>9.5999999999999992E-3</v>
      </c>
      <c r="P17" s="2887">
        <f t="shared" ref="P17" si="137">K17/100</f>
        <v>1.5800000000000002E-2</v>
      </c>
      <c r="Q17" s="2887">
        <f t="shared" ref="Q17" si="138">L17/100</f>
        <v>2.4399999999999998E-2</v>
      </c>
      <c r="R17" s="2902"/>
      <c r="S17" s="2901"/>
      <c r="T17" s="2887"/>
      <c r="U17" s="2887"/>
      <c r="V17" s="2887"/>
      <c r="W17" s="2886"/>
      <c r="X17" s="2886">
        <f>ROUND(SUMPRODUCT(PRODUCT(1+N17:N$33)),4)</f>
        <v>1.4733000000000001</v>
      </c>
      <c r="Y17" s="2886">
        <f>ROUND(SUMPRODUCT(PRODUCT(1+O17:O$33)),4)</f>
        <v>1.3052999999999999</v>
      </c>
      <c r="Z17" s="2886">
        <f t="shared" ref="Z17" si="139">Y17</f>
        <v>1.3052999999999999</v>
      </c>
      <c r="AA17" s="2886">
        <f>ROUND(SUMPRODUCT(PRODUCT(1+P17:P$33)),4)</f>
        <v>1.5306999999999999</v>
      </c>
      <c r="AB17" s="2886">
        <f>ROUND(SUMPRODUCT(PRODUCT(1+Q17:Q$33)),4)</f>
        <v>1.2863</v>
      </c>
      <c r="AC17" s="2886"/>
      <c r="AD17" s="2887">
        <f>ROUND(AVERAGE(I17:I$34)/100,4)</f>
        <v>2.35E-2</v>
      </c>
      <c r="AE17" s="2887">
        <f>ROUND(AVERAGE(J17:J$34)/100,4)</f>
        <v>1.6199999999999999E-2</v>
      </c>
      <c r="AF17" s="2887">
        <f t="shared" ref="AF17" si="140">AE17</f>
        <v>1.6199999999999999E-2</v>
      </c>
      <c r="AG17" s="2887">
        <f>ROUND(AVERAGE(K17:K$34)/100,4)</f>
        <v>2.5899999999999999E-2</v>
      </c>
      <c r="AH17" s="2887">
        <f>ROUND(AVERAGE(L17:L$34)/100,4)</f>
        <v>1.49E-2</v>
      </c>
    </row>
    <row r="18" spans="1:34" s="2905" customFormat="1" ht="15" customHeight="1" thickBot="1">
      <c r="A18" s="2898" t="s">
        <v>2929</v>
      </c>
      <c r="B18" s="2899">
        <f t="shared" si="90"/>
        <v>446.46299999999997</v>
      </c>
      <c r="C18" s="2899">
        <f t="shared" ref="C18" si="141">C19*(1+O18)</f>
        <v>333.27840000000003</v>
      </c>
      <c r="D18" s="2899">
        <f t="shared" ref="D18:D23" si="142">C18</f>
        <v>333.27840000000003</v>
      </c>
      <c r="E18" s="2899">
        <f t="shared" ref="E18" si="143">E19*(1+P18)</f>
        <v>637.28279999999995</v>
      </c>
      <c r="F18" s="2899">
        <f t="shared" ref="F18" si="144">F19*(1+Q18)</f>
        <v>288.68830000000003</v>
      </c>
      <c r="G18" s="3562"/>
      <c r="H18" s="2900">
        <v>1</v>
      </c>
      <c r="I18" s="2900">
        <v>1.7</v>
      </c>
      <c r="J18" s="2900">
        <v>1.92</v>
      </c>
      <c r="K18" s="2900">
        <v>1.64</v>
      </c>
      <c r="L18" s="2906">
        <v>2.0099999999999998</v>
      </c>
      <c r="M18" s="2886"/>
      <c r="N18" s="2901">
        <f t="shared" ref="N18:N23" si="145">I18/100</f>
        <v>1.7000000000000001E-2</v>
      </c>
      <c r="O18" s="2887">
        <f t="shared" ref="O18" si="146">J18/100</f>
        <v>1.9199999999999998E-2</v>
      </c>
      <c r="P18" s="2887">
        <f t="shared" ref="P18" si="147">K18/100</f>
        <v>1.6399999999999998E-2</v>
      </c>
      <c r="Q18" s="2887">
        <f t="shared" ref="Q18" si="148">L18/100</f>
        <v>2.0099999999999996E-2</v>
      </c>
      <c r="R18" s="2902"/>
      <c r="S18" s="2903">
        <f>B18/B19-1</f>
        <v>1.6999999999999904E-2</v>
      </c>
      <c r="T18" s="2904">
        <f>C18/C19-1</f>
        <v>1.9200000000000106E-2</v>
      </c>
      <c r="U18" s="2904">
        <f>E18/E19-1</f>
        <v>1.639999999999997E-2</v>
      </c>
      <c r="V18" s="2904">
        <f>F18/F19-1</f>
        <v>2.0100000000000007E-2</v>
      </c>
      <c r="W18" s="2886"/>
      <c r="X18" s="2886">
        <f>ROUND(SUMPRODUCT(PRODUCT(1+N18:N$33)),4)</f>
        <v>1.4517</v>
      </c>
      <c r="Y18" s="2886">
        <f>ROUND(SUMPRODUCT(PRODUCT(1+O18:O$33)),4)</f>
        <v>1.2928999999999999</v>
      </c>
      <c r="Z18" s="2886">
        <f t="shared" ref="Z18" si="149">Y18</f>
        <v>1.2928999999999999</v>
      </c>
      <c r="AA18" s="2886">
        <f>ROUND(SUMPRODUCT(PRODUCT(1+P18:P$33)),4)</f>
        <v>1.5068999999999999</v>
      </c>
      <c r="AB18" s="2886">
        <f>ROUND(SUMPRODUCT(PRODUCT(1+Q18:Q$33)),4)</f>
        <v>1.2557</v>
      </c>
      <c r="AC18" s="2886"/>
      <c r="AD18" s="2887">
        <f>ROUND(AVERAGE(I18:I$34)/100,4)</f>
        <v>2.4E-2</v>
      </c>
      <c r="AE18" s="2887">
        <f>ROUND(AVERAGE(J18:J$34)/100,4)</f>
        <v>1.66E-2</v>
      </c>
      <c r="AF18" s="2887">
        <f t="shared" ref="AF18" si="150">AE18</f>
        <v>1.66E-2</v>
      </c>
      <c r="AG18" s="2887">
        <f>ROUND(AVERAGE(K18:K$34)/100,4)</f>
        <v>2.6499999999999999E-2</v>
      </c>
      <c r="AH18" s="2887">
        <f>ROUND(AVERAGE(L18:L$34)/100,4)</f>
        <v>1.43E-2</v>
      </c>
    </row>
    <row r="19" spans="1:34">
      <c r="A19" s="2898" t="s">
        <v>2921</v>
      </c>
      <c r="B19" s="2915">
        <v>439</v>
      </c>
      <c r="C19" s="2915">
        <v>327</v>
      </c>
      <c r="D19" s="2915">
        <f t="shared" si="142"/>
        <v>327</v>
      </c>
      <c r="E19" s="2915">
        <v>627</v>
      </c>
      <c r="F19" s="2916">
        <v>283</v>
      </c>
      <c r="G19" s="3561">
        <v>2017</v>
      </c>
      <c r="H19" s="2907">
        <v>4</v>
      </c>
      <c r="I19" s="2907">
        <v>1.71</v>
      </c>
      <c r="J19" s="2907">
        <v>1.78</v>
      </c>
      <c r="K19" s="2907">
        <v>1.71</v>
      </c>
      <c r="L19" s="2908">
        <v>1.43</v>
      </c>
      <c r="N19" s="2917">
        <f t="shared" si="145"/>
        <v>1.7100000000000001E-2</v>
      </c>
      <c r="O19" s="2918">
        <f t="shared" ref="O19" si="151">J19/100</f>
        <v>1.78E-2</v>
      </c>
      <c r="P19" s="2918">
        <f t="shared" ref="P19" si="152">K19/100</f>
        <v>1.7100000000000001E-2</v>
      </c>
      <c r="Q19" s="2918">
        <f t="shared" ref="Q19" si="153">L19/100</f>
        <v>1.43E-2</v>
      </c>
      <c r="R19" s="2902"/>
      <c r="S19" s="2911"/>
      <c r="T19" s="2912"/>
      <c r="U19" s="2912"/>
      <c r="V19" s="2912"/>
      <c r="X19" s="2886">
        <f>ROUND(SUMPRODUCT(PRODUCT(1+N19:N$33)),4)</f>
        <v>1.4274</v>
      </c>
      <c r="Y19" s="2886">
        <f>ROUND(SUMPRODUCT(PRODUCT(1+O19:O$33)),4)</f>
        <v>1.2685</v>
      </c>
      <c r="Z19" s="2886">
        <f t="shared" si="0"/>
        <v>1.2685</v>
      </c>
      <c r="AA19" s="2886">
        <f>ROUND(SUMPRODUCT(PRODUCT(1+P19:P$33)),4)</f>
        <v>1.4825999999999999</v>
      </c>
      <c r="AB19" s="2886">
        <f>ROUND(SUMPRODUCT(PRODUCT(1+Q19:Q$33)),4)</f>
        <v>1.2309000000000001</v>
      </c>
      <c r="AD19" s="2887">
        <f>ROUND(AVERAGE(I19:I$34)/100,4)</f>
        <v>2.4500000000000001E-2</v>
      </c>
      <c r="AE19" s="2887">
        <f>ROUND(AVERAGE(J19:J$34)/100,4)</f>
        <v>1.6500000000000001E-2</v>
      </c>
      <c r="AF19" s="2887">
        <f t="shared" si="1"/>
        <v>1.6500000000000001E-2</v>
      </c>
      <c r="AG19" s="2887">
        <f>ROUND(AVERAGE(K19:K$34)/100,4)</f>
        <v>2.7099999999999999E-2</v>
      </c>
      <c r="AH19" s="2887">
        <f>ROUND(AVERAGE(L19:L$34)/100,4)</f>
        <v>1.3899999999999999E-2</v>
      </c>
    </row>
    <row r="20" spans="1:34" s="2905" customFormat="1" ht="14.45" customHeight="1">
      <c r="A20" s="2898" t="s">
        <v>2924</v>
      </c>
      <c r="B20" s="2899">
        <f t="shared" ref="B20:C22" si="154">B21*(1+N20)</f>
        <v>431.80730811680002</v>
      </c>
      <c r="C20" s="2899">
        <f t="shared" si="154"/>
        <v>320.57880516480003</v>
      </c>
      <c r="D20" s="2899">
        <f t="shared" si="142"/>
        <v>320.57880516480003</v>
      </c>
      <c r="E20" s="2899">
        <f t="shared" ref="E20:F22" si="155">E21*(1+P20)</f>
        <v>615.96110553196797</v>
      </c>
      <c r="F20" s="2899">
        <f t="shared" si="155"/>
        <v>279.46777300108801</v>
      </c>
      <c r="G20" s="3556"/>
      <c r="H20" s="2900">
        <v>3</v>
      </c>
      <c r="I20" s="2900">
        <v>2.98</v>
      </c>
      <c r="J20" s="2900">
        <v>2.11</v>
      </c>
      <c r="K20" s="2900">
        <v>3.24</v>
      </c>
      <c r="L20" s="2906">
        <v>1.72</v>
      </c>
      <c r="M20" s="2886"/>
      <c r="N20" s="2901">
        <f t="shared" si="145"/>
        <v>2.98E-2</v>
      </c>
      <c r="O20" s="2919">
        <f t="shared" ref="O20:O21" si="156">J20/100</f>
        <v>2.1099999999999997E-2</v>
      </c>
      <c r="P20" s="2919">
        <f t="shared" ref="P20:P21" si="157">K20/100</f>
        <v>3.2400000000000005E-2</v>
      </c>
      <c r="Q20" s="2919">
        <f t="shared" ref="Q20:Q21" si="158">L20/100</f>
        <v>1.72E-2</v>
      </c>
      <c r="R20" s="2902"/>
      <c r="S20" s="2901"/>
      <c r="T20" s="2887"/>
      <c r="U20" s="2887"/>
      <c r="V20" s="2887"/>
      <c r="W20" s="2886"/>
      <c r="X20" s="2886">
        <f>ROUND(SUMPRODUCT(PRODUCT(1+N20:N$33)),4)</f>
        <v>1.4034</v>
      </c>
      <c r="Y20" s="2886">
        <f>ROUND(SUMPRODUCT(PRODUCT(1+O20:O$33)),4)</f>
        <v>1.2463</v>
      </c>
      <c r="Z20" s="2886">
        <f t="shared" si="0"/>
        <v>1.2463</v>
      </c>
      <c r="AA20" s="2886">
        <f>ROUND(SUMPRODUCT(PRODUCT(1+P20:P$33)),4)</f>
        <v>1.4577</v>
      </c>
      <c r="AB20" s="2886">
        <f>ROUND(SUMPRODUCT(PRODUCT(1+Q20:Q$33)),4)</f>
        <v>1.2136</v>
      </c>
      <c r="AC20" s="2886"/>
      <c r="AD20" s="2887">
        <f>ROUND(AVERAGE(I20:I$34)/100,4)</f>
        <v>2.4899999999999999E-2</v>
      </c>
      <c r="AE20" s="2887">
        <f>ROUND(AVERAGE(J20:J$34)/100,4)</f>
        <v>1.6400000000000001E-2</v>
      </c>
      <c r="AF20" s="2887">
        <f t="shared" si="1"/>
        <v>1.6400000000000001E-2</v>
      </c>
      <c r="AG20" s="2887">
        <f>ROUND(AVERAGE(K20:K$34)/100,4)</f>
        <v>2.7799999999999998E-2</v>
      </c>
      <c r="AH20" s="2887">
        <f>ROUND(AVERAGE(L20:L$34)/100,4)</f>
        <v>1.3899999999999999E-2</v>
      </c>
    </row>
    <row r="21" spans="1:34" s="2864" customFormat="1" ht="14.45" customHeight="1">
      <c r="A21" s="2898" t="s">
        <v>2561</v>
      </c>
      <c r="B21" s="2899">
        <f t="shared" si="154"/>
        <v>419.31181600000002</v>
      </c>
      <c r="C21" s="2899">
        <f t="shared" si="154"/>
        <v>313.95436800000004</v>
      </c>
      <c r="D21" s="2899">
        <f t="shared" si="142"/>
        <v>313.95436800000004</v>
      </c>
      <c r="E21" s="2899">
        <f t="shared" si="155"/>
        <v>596.63028431999999</v>
      </c>
      <c r="F21" s="2899">
        <f t="shared" si="155"/>
        <v>274.74220703999998</v>
      </c>
      <c r="G21" s="3556"/>
      <c r="H21" s="2913">
        <v>2</v>
      </c>
      <c r="I21" s="2913">
        <v>3.4</v>
      </c>
      <c r="J21" s="2913">
        <v>2</v>
      </c>
      <c r="K21" s="2913">
        <v>3.82</v>
      </c>
      <c r="L21" s="2914">
        <v>1.68</v>
      </c>
      <c r="N21" s="2901">
        <f t="shared" si="145"/>
        <v>3.4000000000000002E-2</v>
      </c>
      <c r="O21" s="2919">
        <f t="shared" si="156"/>
        <v>0.02</v>
      </c>
      <c r="P21" s="2919">
        <f t="shared" si="157"/>
        <v>3.8199999999999998E-2</v>
      </c>
      <c r="Q21" s="2919">
        <f t="shared" si="158"/>
        <v>1.6799999999999999E-2</v>
      </c>
      <c r="S21" s="2901"/>
      <c r="T21" s="2887"/>
      <c r="U21" s="2887"/>
      <c r="V21" s="2887"/>
      <c r="X21" s="2886">
        <f>ROUND(SUMPRODUCT(PRODUCT(1+N21:N$33)),4)</f>
        <v>1.3628</v>
      </c>
      <c r="Y21" s="2886">
        <f>ROUND(SUMPRODUCT(PRODUCT(1+O21:O$33)),4)</f>
        <v>1.2205999999999999</v>
      </c>
      <c r="Z21" s="2886">
        <f t="shared" si="0"/>
        <v>1.2205999999999999</v>
      </c>
      <c r="AA21" s="2886">
        <f>ROUND(SUMPRODUCT(PRODUCT(1+P21:P$33)),4)</f>
        <v>1.4118999999999999</v>
      </c>
      <c r="AB21" s="2886">
        <f>ROUND(SUMPRODUCT(PRODUCT(1+Q21:Q$33)),4)</f>
        <v>1.1930000000000001</v>
      </c>
      <c r="AD21" s="2887">
        <f>ROUND(AVERAGE(I21:I$34)/100,4)</f>
        <v>2.46E-2</v>
      </c>
      <c r="AE21" s="2887">
        <f>ROUND(AVERAGE(J21:J$34)/100,4)</f>
        <v>1.6E-2</v>
      </c>
      <c r="AF21" s="2887">
        <f t="shared" si="1"/>
        <v>1.6E-2</v>
      </c>
      <c r="AG21" s="2887">
        <f>ROUND(AVERAGE(K21:K$34)/100,4)</f>
        <v>2.75E-2</v>
      </c>
      <c r="AH21" s="2887">
        <f>ROUND(AVERAGE(L21:L$34)/100,4)</f>
        <v>1.37E-2</v>
      </c>
    </row>
    <row r="22" spans="1:34" s="2905" customFormat="1" ht="15" customHeight="1" thickBot="1">
      <c r="A22" s="2898" t="s">
        <v>2562</v>
      </c>
      <c r="B22" s="2899">
        <f t="shared" si="154"/>
        <v>405.524</v>
      </c>
      <c r="C22" s="2899">
        <f t="shared" si="154"/>
        <v>307.79840000000002</v>
      </c>
      <c r="D22" s="2899">
        <f t="shared" si="142"/>
        <v>307.79840000000002</v>
      </c>
      <c r="E22" s="2899">
        <f t="shared" si="155"/>
        <v>574.67759999999998</v>
      </c>
      <c r="F22" s="2899">
        <f t="shared" si="155"/>
        <v>270.20280000000002</v>
      </c>
      <c r="G22" s="3562"/>
      <c r="H22" s="2900">
        <v>1</v>
      </c>
      <c r="I22" s="2900">
        <v>3.45</v>
      </c>
      <c r="J22" s="2900">
        <v>1.92</v>
      </c>
      <c r="K22" s="2900">
        <v>3.92</v>
      </c>
      <c r="L22" s="2906">
        <v>1.58</v>
      </c>
      <c r="M22" s="2886"/>
      <c r="N22" s="2903">
        <f t="shared" si="145"/>
        <v>3.4500000000000003E-2</v>
      </c>
      <c r="O22" s="2904">
        <f t="shared" ref="O22" si="159">J22/100</f>
        <v>1.9199999999999998E-2</v>
      </c>
      <c r="P22" s="2904">
        <f t="shared" ref="P22" si="160">K22/100</f>
        <v>3.9199999999999999E-2</v>
      </c>
      <c r="Q22" s="2904">
        <f t="shared" ref="Q22" si="161">L22/100</f>
        <v>1.5800000000000002E-2</v>
      </c>
      <c r="R22" s="2902"/>
      <c r="S22" s="2903">
        <f>B22/B23-1</f>
        <v>3.4499999999999975E-2</v>
      </c>
      <c r="T22" s="2904">
        <f>C22/C23-1</f>
        <v>1.9200000000000106E-2</v>
      </c>
      <c r="U22" s="2904">
        <f>E22/E23-1</f>
        <v>3.9199999999999902E-2</v>
      </c>
      <c r="V22" s="2904">
        <f>F22/F23-1</f>
        <v>1.5800000000000036E-2</v>
      </c>
      <c r="W22" s="2886"/>
      <c r="X22" s="2886">
        <f>ROUND(SUMPRODUCT(PRODUCT(1+N22:N$33)),4)</f>
        <v>1.3180000000000001</v>
      </c>
      <c r="Y22" s="2886">
        <f>ROUND(SUMPRODUCT(PRODUCT(1+O22:O$33)),4)</f>
        <v>1.1966000000000001</v>
      </c>
      <c r="Z22" s="2886">
        <f t="shared" si="0"/>
        <v>1.1966000000000001</v>
      </c>
      <c r="AA22" s="2886">
        <f>ROUND(SUMPRODUCT(PRODUCT(1+P22:P$33)),4)</f>
        <v>1.36</v>
      </c>
      <c r="AB22" s="2886">
        <f>ROUND(SUMPRODUCT(PRODUCT(1+Q22:Q$33)),4)</f>
        <v>1.1733</v>
      </c>
      <c r="AC22" s="2886"/>
      <c r="AD22" s="2887">
        <f>ROUND(AVERAGE(I22:I$34)/100,4)</f>
        <v>2.3900000000000001E-2</v>
      </c>
      <c r="AE22" s="2887">
        <f>ROUND(AVERAGE(J22:J$34)/100,4)</f>
        <v>1.5699999999999999E-2</v>
      </c>
      <c r="AF22" s="2887">
        <f t="shared" si="1"/>
        <v>1.5699999999999999E-2</v>
      </c>
      <c r="AG22" s="2887">
        <f>ROUND(AVERAGE(K22:K$34)/100,4)</f>
        <v>2.6599999999999999E-2</v>
      </c>
      <c r="AH22" s="2887">
        <f>ROUND(AVERAGE(L22:L$34)/100,4)</f>
        <v>1.34E-2</v>
      </c>
    </row>
    <row r="23" spans="1:34">
      <c r="A23" s="2898" t="s">
        <v>961</v>
      </c>
      <c r="B23" s="2920">
        <v>392</v>
      </c>
      <c r="C23" s="2920">
        <v>302</v>
      </c>
      <c r="D23" s="2920">
        <f t="shared" si="142"/>
        <v>302</v>
      </c>
      <c r="E23" s="2920">
        <v>553</v>
      </c>
      <c r="F23" s="2921">
        <v>266</v>
      </c>
      <c r="G23" s="3561">
        <v>2016</v>
      </c>
      <c r="H23" s="2907">
        <v>4</v>
      </c>
      <c r="I23" s="2907">
        <v>4.5599999999999996</v>
      </c>
      <c r="J23" s="2907">
        <v>2.15</v>
      </c>
      <c r="K23" s="2907">
        <v>5.32</v>
      </c>
      <c r="L23" s="2908">
        <v>1.57</v>
      </c>
      <c r="N23" s="2901">
        <f t="shared" si="145"/>
        <v>4.5599999999999995E-2</v>
      </c>
      <c r="O23" s="2887">
        <f t="shared" ref="O23:Q38" si="162">J23/100</f>
        <v>2.1499999999999998E-2</v>
      </c>
      <c r="P23" s="2887">
        <f t="shared" si="162"/>
        <v>5.3200000000000004E-2</v>
      </c>
      <c r="Q23" s="2887">
        <f t="shared" si="162"/>
        <v>1.5700000000000002E-2</v>
      </c>
      <c r="R23" s="2902"/>
      <c r="S23" s="2911"/>
      <c r="T23" s="2912"/>
      <c r="U23" s="2912"/>
      <c r="V23" s="2912"/>
      <c r="X23" s="2886">
        <f>ROUND(SUMPRODUCT(PRODUCT(1+N23:N$33)),4)</f>
        <v>1.274</v>
      </c>
      <c r="Y23" s="2886">
        <f>ROUND(SUMPRODUCT(PRODUCT(1+O23:O$33)),4)</f>
        <v>1.1740999999999999</v>
      </c>
      <c r="Z23" s="2886">
        <f t="shared" si="0"/>
        <v>1.1740999999999999</v>
      </c>
      <c r="AA23" s="2886">
        <f>ROUND(SUMPRODUCT(PRODUCT(1+P23:P$33)),4)</f>
        <v>1.3087</v>
      </c>
      <c r="AB23" s="2886">
        <f>ROUND(SUMPRODUCT(PRODUCT(1+Q23:Q$33)),4)</f>
        <v>1.1551</v>
      </c>
      <c r="AD23" s="2887">
        <f>ROUND(AVERAGE(I23:I$34)/100,4)</f>
        <v>2.3E-2</v>
      </c>
      <c r="AE23" s="2887">
        <f>ROUND(AVERAGE(J23:J$34)/100,4)</f>
        <v>1.55E-2</v>
      </c>
      <c r="AF23" s="2887">
        <f t="shared" si="1"/>
        <v>1.55E-2</v>
      </c>
      <c r="AG23" s="2887">
        <f>ROUND(AVERAGE(K23:K$34)/100,4)</f>
        <v>2.5600000000000001E-2</v>
      </c>
      <c r="AH23" s="2887">
        <f>ROUND(AVERAGE(L23:L$34)/100,4)</f>
        <v>1.32E-2</v>
      </c>
    </row>
    <row r="24" spans="1:34">
      <c r="A24" s="2898" t="s">
        <v>960</v>
      </c>
      <c r="B24" s="2899">
        <f t="shared" ref="B24:C26" si="163">B23/(1+N23)</f>
        <v>374.90436113236416</v>
      </c>
      <c r="C24" s="2899">
        <f t="shared" si="163"/>
        <v>295.64366128242779</v>
      </c>
      <c r="D24" s="2899">
        <f t="shared" ref="D24:D83" si="164">C24</f>
        <v>295.64366128242779</v>
      </c>
      <c r="E24" s="2899">
        <f t="shared" ref="E24:F26" si="165">E23/(1+P23)</f>
        <v>525.06646410938095</v>
      </c>
      <c r="F24" s="2899">
        <f t="shared" si="165"/>
        <v>261.88835286009646</v>
      </c>
      <c r="G24" s="3556"/>
      <c r="H24" s="2900">
        <v>3</v>
      </c>
      <c r="I24" s="2900">
        <v>4.12</v>
      </c>
      <c r="J24" s="2900">
        <v>2</v>
      </c>
      <c r="K24" s="2900">
        <v>4.79</v>
      </c>
      <c r="L24" s="2906">
        <v>1.97</v>
      </c>
      <c r="N24" s="2901">
        <f t="shared" ref="N24:Q58" si="166">I24/100</f>
        <v>4.1200000000000001E-2</v>
      </c>
      <c r="O24" s="2887">
        <f t="shared" si="162"/>
        <v>0.02</v>
      </c>
      <c r="P24" s="2887">
        <f t="shared" si="162"/>
        <v>4.7899999999999998E-2</v>
      </c>
      <c r="Q24" s="2887">
        <f t="shared" si="162"/>
        <v>1.9699999999999999E-2</v>
      </c>
      <c r="R24" s="2902"/>
      <c r="S24" s="2901"/>
      <c r="T24" s="2887"/>
      <c r="U24" s="2887"/>
      <c r="V24" s="2887"/>
      <c r="X24" s="2886">
        <f>ROUND(SUMPRODUCT(PRODUCT(1+N24:N$33)),4)</f>
        <v>1.2184999999999999</v>
      </c>
      <c r="Y24" s="2886">
        <f>ROUND(SUMPRODUCT(PRODUCT(1+O24:O$33)),4)</f>
        <v>1.1494</v>
      </c>
      <c r="Z24" s="2886">
        <f t="shared" si="0"/>
        <v>1.1494</v>
      </c>
      <c r="AA24" s="2886">
        <f>ROUND(SUMPRODUCT(PRODUCT(1+P24:P$33)),4)</f>
        <v>1.2425999999999999</v>
      </c>
      <c r="AB24" s="2886">
        <f>ROUND(SUMPRODUCT(PRODUCT(1+Q24:Q$33)),4)</f>
        <v>1.1372</v>
      </c>
      <c r="AD24" s="2887">
        <f>ROUND(AVERAGE(I24:I$34)/100,4)</f>
        <v>2.0899999999999998E-2</v>
      </c>
      <c r="AE24" s="2887">
        <f>ROUND(AVERAGE(J24:J$34)/100,4)</f>
        <v>1.49E-2</v>
      </c>
      <c r="AF24" s="2887">
        <f t="shared" si="1"/>
        <v>1.49E-2</v>
      </c>
      <c r="AG24" s="2887">
        <f>ROUND(AVERAGE(K24:K$34)/100,4)</f>
        <v>2.3099999999999999E-2</v>
      </c>
      <c r="AH24" s="2887">
        <f>ROUND(AVERAGE(L24:L$34)/100,4)</f>
        <v>1.2999999999999999E-2</v>
      </c>
    </row>
    <row r="25" spans="1:34">
      <c r="A25" s="2898" t="s">
        <v>950</v>
      </c>
      <c r="B25" s="2899">
        <f t="shared" si="163"/>
        <v>360.06949782209392</v>
      </c>
      <c r="C25" s="2899">
        <f t="shared" si="163"/>
        <v>289.84672674747821</v>
      </c>
      <c r="D25" s="2899">
        <f t="shared" si="164"/>
        <v>289.84672674747821</v>
      </c>
      <c r="E25" s="2899">
        <f t="shared" si="165"/>
        <v>501.06543001181495</v>
      </c>
      <c r="F25" s="2899">
        <f t="shared" si="165"/>
        <v>256.82882500744967</v>
      </c>
      <c r="G25" s="3556"/>
      <c r="H25" s="2913">
        <v>2</v>
      </c>
      <c r="I25" s="2913">
        <v>3.85</v>
      </c>
      <c r="J25" s="2913">
        <v>1.95</v>
      </c>
      <c r="K25" s="2913">
        <v>4.4800000000000004</v>
      </c>
      <c r="L25" s="2914">
        <v>1.41</v>
      </c>
      <c r="N25" s="2901">
        <f t="shared" si="166"/>
        <v>3.85E-2</v>
      </c>
      <c r="O25" s="2887">
        <f t="shared" si="162"/>
        <v>1.95E-2</v>
      </c>
      <c r="P25" s="2887">
        <f t="shared" si="162"/>
        <v>4.4800000000000006E-2</v>
      </c>
      <c r="Q25" s="2887">
        <f t="shared" si="162"/>
        <v>1.41E-2</v>
      </c>
      <c r="R25" s="2902"/>
      <c r="S25" s="2901"/>
      <c r="T25" s="2887"/>
      <c r="U25" s="2887"/>
      <c r="V25" s="2887"/>
      <c r="X25" s="2886">
        <f>ROUND(SUMPRODUCT(PRODUCT(1+N25:N$33)),4)</f>
        <v>1.1702999999999999</v>
      </c>
      <c r="Y25" s="2886">
        <f>ROUND(SUMPRODUCT(PRODUCT(1+O25:O$33)),4)</f>
        <v>1.1269</v>
      </c>
      <c r="Z25" s="2886">
        <f t="shared" si="0"/>
        <v>1.1269</v>
      </c>
      <c r="AA25" s="2886">
        <f>ROUND(SUMPRODUCT(PRODUCT(1+P25:P$33)),4)</f>
        <v>1.1858</v>
      </c>
      <c r="AB25" s="2886">
        <f>ROUND(SUMPRODUCT(PRODUCT(1+Q25:Q$33)),4)</f>
        <v>1.1152</v>
      </c>
      <c r="AD25" s="2887">
        <f>ROUND(AVERAGE(I25:I$34)/100,4)</f>
        <v>1.89E-2</v>
      </c>
      <c r="AE25" s="2887">
        <f>ROUND(AVERAGE(J25:J$34)/100,4)</f>
        <v>1.44E-2</v>
      </c>
      <c r="AF25" s="2887">
        <f t="shared" si="1"/>
        <v>1.44E-2</v>
      </c>
      <c r="AG25" s="2887">
        <f>ROUND(AVERAGE(K25:K$34)/100,4)</f>
        <v>2.06E-2</v>
      </c>
      <c r="AH25" s="2887">
        <f>ROUND(AVERAGE(L25:L$34)/100,4)</f>
        <v>1.23E-2</v>
      </c>
    </row>
    <row r="26" spans="1:34" ht="13.5" thickBot="1">
      <c r="A26" s="2898" t="s">
        <v>959</v>
      </c>
      <c r="B26" s="2899">
        <f t="shared" si="163"/>
        <v>346.720748986128</v>
      </c>
      <c r="C26" s="2899">
        <f t="shared" si="163"/>
        <v>284.30282172386285</v>
      </c>
      <c r="D26" s="2899">
        <f t="shared" si="164"/>
        <v>284.30282172386285</v>
      </c>
      <c r="E26" s="2899">
        <f t="shared" si="165"/>
        <v>479.58023546306947</v>
      </c>
      <c r="F26" s="2899">
        <f t="shared" si="165"/>
        <v>253.25788877571213</v>
      </c>
      <c r="G26" s="3557"/>
      <c r="H26" s="2900">
        <v>1</v>
      </c>
      <c r="I26" s="2900">
        <v>4.09</v>
      </c>
      <c r="J26" s="2900">
        <v>2.93</v>
      </c>
      <c r="K26" s="2900">
        <v>4.54</v>
      </c>
      <c r="L26" s="2906">
        <v>1.48</v>
      </c>
      <c r="N26" s="2901">
        <f t="shared" si="166"/>
        <v>4.0899999999999999E-2</v>
      </c>
      <c r="O26" s="2887">
        <f t="shared" si="162"/>
        <v>2.9300000000000003E-2</v>
      </c>
      <c r="P26" s="2887">
        <f t="shared" si="162"/>
        <v>4.5400000000000003E-2</v>
      </c>
      <c r="Q26" s="2887">
        <f t="shared" si="162"/>
        <v>1.4800000000000001E-2</v>
      </c>
      <c r="R26" s="2902"/>
      <c r="S26" s="2903">
        <f>B26/B27-1</f>
        <v>4.1203450408792808E-2</v>
      </c>
      <c r="T26" s="2904">
        <f>C26/C27-1</f>
        <v>2.6363977342465095E-2</v>
      </c>
      <c r="U26" s="2904">
        <f>E26/E27-1</f>
        <v>4.4837114298626357E-2</v>
      </c>
      <c r="V26" s="2904">
        <f>F26/F27-1</f>
        <v>1.7099954922538574E-2</v>
      </c>
      <c r="X26" s="2886">
        <f>ROUND(SUMPRODUCT(PRODUCT(1+N26:N$33)),4)</f>
        <v>1.1269</v>
      </c>
      <c r="Y26" s="2886">
        <f>ROUND(SUMPRODUCT(PRODUCT(1+O26:O$33)),4)</f>
        <v>1.1052999999999999</v>
      </c>
      <c r="Z26" s="2886">
        <f t="shared" si="0"/>
        <v>1.1052999999999999</v>
      </c>
      <c r="AA26" s="2886">
        <f>ROUND(SUMPRODUCT(PRODUCT(1+P26:P$33)),4)</f>
        <v>1.1349</v>
      </c>
      <c r="AB26" s="2886">
        <f>ROUND(SUMPRODUCT(PRODUCT(1+Q26:Q$33)),4)</f>
        <v>1.0996999999999999</v>
      </c>
      <c r="AD26" s="2887">
        <f>ROUND(AVERAGE(I26:I$34)/100,4)</f>
        <v>1.67E-2</v>
      </c>
      <c r="AE26" s="2887">
        <f>ROUND(AVERAGE(J26:J$34)/100,4)</f>
        <v>1.38E-2</v>
      </c>
      <c r="AF26" s="2887">
        <f t="shared" si="1"/>
        <v>1.38E-2</v>
      </c>
      <c r="AG26" s="2887">
        <f>ROUND(AVERAGE(K26:K$34)/100,4)</f>
        <v>1.7899999999999999E-2</v>
      </c>
      <c r="AH26" s="2887">
        <f>ROUND(AVERAGE(L26:L$34)/100,4)</f>
        <v>1.21E-2</v>
      </c>
    </row>
    <row r="27" spans="1:34" ht="13.5" thickBot="1">
      <c r="A27" s="2898" t="s">
        <v>958</v>
      </c>
      <c r="B27" s="2920">
        <v>333</v>
      </c>
      <c r="C27" s="2920">
        <v>277</v>
      </c>
      <c r="D27" s="2920">
        <f t="shared" si="164"/>
        <v>277</v>
      </c>
      <c r="E27" s="2920">
        <v>459</v>
      </c>
      <c r="F27" s="2921">
        <v>249</v>
      </c>
      <c r="G27" s="3555">
        <v>2015</v>
      </c>
      <c r="H27" s="2922">
        <v>4</v>
      </c>
      <c r="I27" s="2922">
        <v>1.63</v>
      </c>
      <c r="J27" s="2922">
        <v>1.1100000000000001</v>
      </c>
      <c r="K27" s="2922">
        <v>1.77</v>
      </c>
      <c r="L27" s="2923">
        <v>1.89</v>
      </c>
      <c r="N27" s="2917">
        <f t="shared" si="166"/>
        <v>1.6299999999999999E-2</v>
      </c>
      <c r="O27" s="2918">
        <f t="shared" si="162"/>
        <v>1.11E-2</v>
      </c>
      <c r="P27" s="2918">
        <f t="shared" si="162"/>
        <v>1.77E-2</v>
      </c>
      <c r="Q27" s="2918">
        <f t="shared" si="162"/>
        <v>1.89E-2</v>
      </c>
      <c r="R27" s="2902"/>
      <c r="X27" s="2886">
        <f>ROUND(SUMPRODUCT(PRODUCT(1+N27:N$33)),4)</f>
        <v>1.0826</v>
      </c>
      <c r="Y27" s="2886">
        <f>ROUND(SUMPRODUCT(PRODUCT(1+O27:O$33)),4)</f>
        <v>1.0738000000000001</v>
      </c>
      <c r="Z27" s="2886">
        <f t="shared" si="0"/>
        <v>1.0738000000000001</v>
      </c>
      <c r="AA27" s="2886">
        <f>ROUND(SUMPRODUCT(PRODUCT(1+P27:P$33)),4)</f>
        <v>1.0855999999999999</v>
      </c>
      <c r="AB27" s="2886">
        <f>ROUND(SUMPRODUCT(PRODUCT(1+Q27:Q$33)),4)</f>
        <v>1.0837000000000001</v>
      </c>
      <c r="AD27" s="2887">
        <f>ROUND(AVERAGE(I27:I$34)/100,4)</f>
        <v>1.37E-2</v>
      </c>
      <c r="AE27" s="2887">
        <f>ROUND(AVERAGE(J27:J$34)/100,4)</f>
        <v>1.1900000000000001E-2</v>
      </c>
      <c r="AF27" s="2887">
        <f t="shared" si="1"/>
        <v>1.1900000000000001E-2</v>
      </c>
      <c r="AG27" s="2887">
        <f>ROUND(AVERAGE(K27:K$34)/100,4)</f>
        <v>1.4500000000000001E-2</v>
      </c>
      <c r="AH27" s="2887">
        <f>ROUND(AVERAGE(L27:L$34)/100,4)</f>
        <v>1.18E-2</v>
      </c>
    </row>
    <row r="28" spans="1:34">
      <c r="A28" s="2898" t="s">
        <v>957</v>
      </c>
      <c r="B28" s="2899">
        <f t="shared" ref="B28:C30" si="167">B27/(1+N27)</f>
        <v>327.65915576109415</v>
      </c>
      <c r="C28" s="2899">
        <f t="shared" si="167"/>
        <v>273.95905449510434</v>
      </c>
      <c r="D28" s="2899">
        <f t="shared" si="164"/>
        <v>273.95905449510434</v>
      </c>
      <c r="E28" s="2899">
        <f t="shared" ref="E28:F30" si="168">E27/(1+P27)</f>
        <v>451.01699911565294</v>
      </c>
      <c r="F28" s="2899">
        <f t="shared" si="168"/>
        <v>244.38119540681129</v>
      </c>
      <c r="G28" s="3556"/>
      <c r="H28" s="2925">
        <v>3</v>
      </c>
      <c r="I28" s="2925">
        <v>1.65</v>
      </c>
      <c r="J28" s="2925">
        <v>0.92</v>
      </c>
      <c r="K28" s="2925">
        <v>1.88</v>
      </c>
      <c r="L28" s="2926">
        <v>1.26</v>
      </c>
      <c r="N28" s="2901">
        <f t="shared" si="166"/>
        <v>1.6500000000000001E-2</v>
      </c>
      <c r="O28" s="2919">
        <f t="shared" si="162"/>
        <v>9.1999999999999998E-3</v>
      </c>
      <c r="P28" s="2919">
        <f t="shared" si="162"/>
        <v>1.8799999999999997E-2</v>
      </c>
      <c r="Q28" s="2919">
        <f t="shared" si="162"/>
        <v>1.26E-2</v>
      </c>
      <c r="R28" s="2902"/>
      <c r="S28" s="2901"/>
      <c r="T28" s="2887"/>
      <c r="U28" s="2887"/>
      <c r="V28" s="2887"/>
      <c r="X28" s="2886">
        <f>ROUND(SUMPRODUCT(PRODUCT(1+N28:N$33)),4)</f>
        <v>1.0651999999999999</v>
      </c>
      <c r="Y28" s="2886">
        <f>ROUND(SUMPRODUCT(PRODUCT(1+O28:O$33)),4)</f>
        <v>1.0621</v>
      </c>
      <c r="Z28" s="2886">
        <f t="shared" si="0"/>
        <v>1.0621</v>
      </c>
      <c r="AA28" s="2886">
        <f>ROUND(SUMPRODUCT(PRODUCT(1+P28:P$33)),4)</f>
        <v>1.0668</v>
      </c>
      <c r="AB28" s="2886">
        <f>ROUND(SUMPRODUCT(PRODUCT(1+Q28:Q$33)),4)</f>
        <v>1.0636000000000001</v>
      </c>
      <c r="AD28" s="2887">
        <f>ROUND(AVERAGE(I28:I$34)/100,4)</f>
        <v>1.3299999999999999E-2</v>
      </c>
      <c r="AE28" s="2887">
        <f>ROUND(AVERAGE(J28:J$34)/100,4)</f>
        <v>1.2E-2</v>
      </c>
      <c r="AF28" s="2887">
        <f t="shared" si="1"/>
        <v>1.2E-2</v>
      </c>
      <c r="AG28" s="2887">
        <f>ROUND(AVERAGE(K28:K$34)/100,4)</f>
        <v>1.4E-2</v>
      </c>
      <c r="AH28" s="2887">
        <f>ROUND(AVERAGE(L28:L$34)/100,4)</f>
        <v>1.0800000000000001E-2</v>
      </c>
    </row>
    <row r="29" spans="1:34">
      <c r="A29" s="2898" t="s">
        <v>956</v>
      </c>
      <c r="B29" s="2899">
        <f t="shared" si="167"/>
        <v>322.34053690220776</v>
      </c>
      <c r="C29" s="2899">
        <f t="shared" si="167"/>
        <v>271.46160770422546</v>
      </c>
      <c r="D29" s="2899">
        <f t="shared" si="164"/>
        <v>271.46160770422546</v>
      </c>
      <c r="E29" s="2899">
        <f t="shared" si="168"/>
        <v>442.69434542172456</v>
      </c>
      <c r="F29" s="2899">
        <f t="shared" si="168"/>
        <v>241.34030753190925</v>
      </c>
      <c r="G29" s="3556"/>
      <c r="H29" s="2913">
        <v>2</v>
      </c>
      <c r="I29" s="2913">
        <v>0.77</v>
      </c>
      <c r="J29" s="2913">
        <v>0.69</v>
      </c>
      <c r="K29" s="2913">
        <v>0.8</v>
      </c>
      <c r="L29" s="2914">
        <v>0.88</v>
      </c>
      <c r="N29" s="2901">
        <f t="shared" si="166"/>
        <v>7.7000000000000002E-3</v>
      </c>
      <c r="O29" s="2919">
        <f t="shared" si="162"/>
        <v>6.8999999999999999E-3</v>
      </c>
      <c r="P29" s="2919">
        <f t="shared" si="162"/>
        <v>8.0000000000000002E-3</v>
      </c>
      <c r="Q29" s="2919">
        <f t="shared" si="162"/>
        <v>8.8000000000000005E-3</v>
      </c>
      <c r="R29" s="2902"/>
      <c r="S29" s="2901"/>
      <c r="T29" s="2887"/>
      <c r="U29" s="2887"/>
      <c r="V29" s="2887"/>
      <c r="X29" s="2886">
        <f>ROUND(SUMPRODUCT(PRODUCT(1+N29:N$33)),4)</f>
        <v>1.048</v>
      </c>
      <c r="Y29" s="2886">
        <f>ROUND(SUMPRODUCT(PRODUCT(1+O29:O$33)),4)</f>
        <v>1.0524</v>
      </c>
      <c r="Z29" s="2886">
        <f t="shared" si="0"/>
        <v>1.0524</v>
      </c>
      <c r="AA29" s="2886">
        <f>ROUND(SUMPRODUCT(PRODUCT(1+P29:P$33)),4)</f>
        <v>1.0470999999999999</v>
      </c>
      <c r="AB29" s="2886">
        <f>ROUND(SUMPRODUCT(PRODUCT(1+Q29:Q$33)),4)</f>
        <v>1.0504</v>
      </c>
      <c r="AD29" s="2887">
        <f>ROUND(AVERAGE(I29:I$34)/100,4)</f>
        <v>1.2800000000000001E-2</v>
      </c>
      <c r="AE29" s="2887">
        <f>ROUND(AVERAGE(J29:J$34)/100,4)</f>
        <v>1.2500000000000001E-2</v>
      </c>
      <c r="AF29" s="2887">
        <f t="shared" si="1"/>
        <v>1.2500000000000001E-2</v>
      </c>
      <c r="AG29" s="2887">
        <f>ROUND(AVERAGE(K29:K$34)/100,4)</f>
        <v>1.32E-2</v>
      </c>
      <c r="AH29" s="2887">
        <f>ROUND(AVERAGE(L29:L$34)/100,4)</f>
        <v>1.0500000000000001E-2</v>
      </c>
    </row>
    <row r="30" spans="1:34">
      <c r="A30" s="2898" t="s">
        <v>955</v>
      </c>
      <c r="B30" s="2899">
        <f t="shared" si="167"/>
        <v>319.87748030386797</v>
      </c>
      <c r="C30" s="2899">
        <f t="shared" si="167"/>
        <v>269.60135833173649</v>
      </c>
      <c r="D30" s="2899">
        <f t="shared" si="164"/>
        <v>269.60135833173649</v>
      </c>
      <c r="E30" s="2899">
        <f t="shared" si="168"/>
        <v>439.18089823583784</v>
      </c>
      <c r="F30" s="2899">
        <f t="shared" si="168"/>
        <v>239.23503918706311</v>
      </c>
      <c r="G30" s="3557"/>
      <c r="H30" s="2900">
        <v>1</v>
      </c>
      <c r="I30" s="2900">
        <v>0.51</v>
      </c>
      <c r="J30" s="2900">
        <v>0.54</v>
      </c>
      <c r="K30" s="2900">
        <v>0.48</v>
      </c>
      <c r="L30" s="2906">
        <v>0.93</v>
      </c>
      <c r="N30" s="2903">
        <f t="shared" si="166"/>
        <v>5.1000000000000004E-3</v>
      </c>
      <c r="O30" s="2904">
        <f t="shared" si="162"/>
        <v>5.4000000000000003E-3</v>
      </c>
      <c r="P30" s="2904">
        <f t="shared" si="162"/>
        <v>4.7999999999999996E-3</v>
      </c>
      <c r="Q30" s="2904">
        <f t="shared" si="162"/>
        <v>9.300000000000001E-3</v>
      </c>
      <c r="R30" s="2902"/>
      <c r="S30" s="2903">
        <f>B30/B31-1</f>
        <v>5.9040261127922822E-3</v>
      </c>
      <c r="T30" s="2904">
        <f>C30/C31-1</f>
        <v>5.9752176557332781E-3</v>
      </c>
      <c r="U30" s="2904">
        <f>E30/E31-1</f>
        <v>4.9906138119859556E-3</v>
      </c>
      <c r="V30" s="2904">
        <f>F30/F31-1</f>
        <v>9.4305450930933787E-3</v>
      </c>
      <c r="X30" s="2886">
        <f>ROUND(SUMPRODUCT(PRODUCT(1+N30:N$33)),4)</f>
        <v>1.0399</v>
      </c>
      <c r="Y30" s="2886">
        <f>ROUND(SUMPRODUCT(PRODUCT(1+O30:O$33)),4)</f>
        <v>1.0451999999999999</v>
      </c>
      <c r="Z30" s="2886">
        <f t="shared" si="0"/>
        <v>1.0451999999999999</v>
      </c>
      <c r="AA30" s="2886">
        <f>ROUND(SUMPRODUCT(PRODUCT(1+P30:P$33)),4)</f>
        <v>1.0387999999999999</v>
      </c>
      <c r="AB30" s="2886">
        <f>ROUND(SUMPRODUCT(PRODUCT(1+Q30:Q$33)),4)</f>
        <v>1.0411999999999999</v>
      </c>
      <c r="AD30" s="2887">
        <f>ROUND(AVERAGE(I30:I$34)/100,4)</f>
        <v>1.38E-2</v>
      </c>
      <c r="AE30" s="2887">
        <f>ROUND(AVERAGE(J30:J$34)/100,4)</f>
        <v>1.3599999999999999E-2</v>
      </c>
      <c r="AF30" s="2887">
        <f t="shared" si="1"/>
        <v>1.3599999999999999E-2</v>
      </c>
      <c r="AG30" s="2887">
        <f>ROUND(AVERAGE(K30:K$34)/100,4)</f>
        <v>1.4200000000000001E-2</v>
      </c>
      <c r="AH30" s="2887">
        <f>ROUND(AVERAGE(L30:L$34)/100,4)</f>
        <v>1.0800000000000001E-2</v>
      </c>
    </row>
    <row r="31" spans="1:34" ht="13.5" thickBot="1">
      <c r="A31" s="2898" t="s">
        <v>954</v>
      </c>
      <c r="B31" s="2927">
        <v>318</v>
      </c>
      <c r="C31" s="2927">
        <v>268</v>
      </c>
      <c r="D31" s="2927">
        <f t="shared" si="164"/>
        <v>268</v>
      </c>
      <c r="E31" s="2927">
        <v>437</v>
      </c>
      <c r="F31" s="2928">
        <v>237</v>
      </c>
      <c r="G31" s="3555">
        <v>2014</v>
      </c>
      <c r="H31" s="2922">
        <v>4</v>
      </c>
      <c r="I31" s="2922">
        <v>0.21</v>
      </c>
      <c r="J31" s="2922">
        <v>0.41</v>
      </c>
      <c r="K31" s="2922">
        <v>0.12</v>
      </c>
      <c r="L31" s="2923">
        <v>0.89</v>
      </c>
      <c r="N31" s="2901">
        <f t="shared" si="166"/>
        <v>2.0999999999999999E-3</v>
      </c>
      <c r="O31" s="2887">
        <f t="shared" si="162"/>
        <v>4.0999999999999995E-3</v>
      </c>
      <c r="P31" s="2887">
        <f t="shared" si="162"/>
        <v>1.1999999999999999E-3</v>
      </c>
      <c r="Q31" s="2887">
        <f t="shared" si="162"/>
        <v>8.8999999999999999E-3</v>
      </c>
      <c r="R31" s="2902"/>
      <c r="S31" s="2911"/>
      <c r="T31" s="2912"/>
      <c r="U31" s="2912"/>
      <c r="V31" s="2912"/>
      <c r="X31" s="2886">
        <f>ROUND(SUMPRODUCT(PRODUCT(1+N31:N$33)),4)</f>
        <v>1.0347</v>
      </c>
      <c r="Y31" s="2886">
        <f>ROUND(SUMPRODUCT(PRODUCT(1+O31:O$33)),4)</f>
        <v>1.0395000000000001</v>
      </c>
      <c r="Z31" s="2886">
        <f t="shared" si="0"/>
        <v>1.0395000000000001</v>
      </c>
      <c r="AA31" s="2886">
        <f>ROUND(SUMPRODUCT(PRODUCT(1+P31:P$33)),4)</f>
        <v>1.0338000000000001</v>
      </c>
      <c r="AB31" s="2886">
        <f>ROUND(SUMPRODUCT(PRODUCT(1+Q31:Q$33)),4)</f>
        <v>1.0316000000000001</v>
      </c>
      <c r="AD31" s="2887">
        <f>ROUND(AVERAGE(I31:I$34)/100,4)</f>
        <v>1.6E-2</v>
      </c>
      <c r="AE31" s="2887">
        <f>ROUND(AVERAGE(J31:J$34)/100,4)</f>
        <v>1.5599999999999999E-2</v>
      </c>
      <c r="AF31" s="2887">
        <f t="shared" si="1"/>
        <v>1.5599999999999999E-2</v>
      </c>
      <c r="AG31" s="2887">
        <f>ROUND(AVERAGE(K31:K$34)/100,4)</f>
        <v>1.66E-2</v>
      </c>
      <c r="AH31" s="2887">
        <f>ROUND(AVERAGE(L31:L$34)/100,4)</f>
        <v>1.12E-2</v>
      </c>
    </row>
    <row r="32" spans="1:34">
      <c r="A32" s="2898" t="s">
        <v>953</v>
      </c>
      <c r="B32" s="2899">
        <f t="shared" ref="B32:C34" si="169">B31/(1+N31)</f>
        <v>317.33359944117353</v>
      </c>
      <c r="C32" s="2899">
        <f t="shared" si="169"/>
        <v>266.90568668459315</v>
      </c>
      <c r="D32" s="2899">
        <f t="shared" si="164"/>
        <v>266.90568668459315</v>
      </c>
      <c r="E32" s="2899">
        <f t="shared" ref="E32:F34" si="170">E31/(1+P31)</f>
        <v>436.47622852576905</v>
      </c>
      <c r="F32" s="2899">
        <f t="shared" si="170"/>
        <v>234.90930716622066</v>
      </c>
      <c r="G32" s="3556"/>
      <c r="H32" s="2929">
        <v>3</v>
      </c>
      <c r="I32" s="2929">
        <v>0.83</v>
      </c>
      <c r="J32" s="2929">
        <v>1.47</v>
      </c>
      <c r="K32" s="2929">
        <v>0.65</v>
      </c>
      <c r="L32" s="2930">
        <v>0.72</v>
      </c>
      <c r="N32" s="2901">
        <f t="shared" si="166"/>
        <v>8.3000000000000001E-3</v>
      </c>
      <c r="O32" s="2887">
        <f t="shared" si="162"/>
        <v>1.47E-2</v>
      </c>
      <c r="P32" s="2887">
        <f t="shared" si="162"/>
        <v>6.5000000000000006E-3</v>
      </c>
      <c r="Q32" s="2887">
        <f t="shared" si="162"/>
        <v>7.1999999999999998E-3</v>
      </c>
      <c r="R32" s="2902"/>
      <c r="S32" s="2901"/>
      <c r="T32" s="2887"/>
      <c r="U32" s="2887"/>
      <c r="V32" s="2887"/>
      <c r="X32" s="2886">
        <f>ROUND(SUMPRODUCT(PRODUCT(1+N32:N$33)),4)</f>
        <v>1.0325</v>
      </c>
      <c r="Y32" s="2886">
        <f>ROUND(SUMPRODUCT(PRODUCT(1+O32:O$33)),4)</f>
        <v>1.0353000000000001</v>
      </c>
      <c r="Z32" s="2886">
        <f t="shared" ref="Z32:Z33" si="171">Y32</f>
        <v>1.0353000000000001</v>
      </c>
      <c r="AA32" s="2886">
        <f>ROUND(SUMPRODUCT(PRODUCT(1+P32:P$33)),4)</f>
        <v>1.0326</v>
      </c>
      <c r="AB32" s="2886">
        <f>ROUND(SUMPRODUCT(PRODUCT(1+Q32:Q$33)),4)</f>
        <v>1.0225</v>
      </c>
      <c r="AD32" s="2887">
        <f>ROUND(AVERAGE(I32:I$34)/100,4)</f>
        <v>2.07E-2</v>
      </c>
      <c r="AE32" s="2887">
        <f>ROUND(AVERAGE(J32:J$34)/100,4)</f>
        <v>1.95E-2</v>
      </c>
      <c r="AF32" s="2887">
        <f t="shared" si="1"/>
        <v>1.95E-2</v>
      </c>
      <c r="AG32" s="2887">
        <f>ROUND(AVERAGE(K32:K$34)/100,4)</f>
        <v>2.1700000000000001E-2</v>
      </c>
      <c r="AH32" s="2887">
        <f>ROUND(AVERAGE(L32:L$34)/100,4)</f>
        <v>1.2E-2</v>
      </c>
    </row>
    <row r="33" spans="1:34" ht="13.5" thickBot="1">
      <c r="A33" s="2898" t="s">
        <v>952</v>
      </c>
      <c r="B33" s="2899">
        <f t="shared" si="169"/>
        <v>314.72141172386546</v>
      </c>
      <c r="C33" s="2899">
        <f t="shared" si="169"/>
        <v>263.03901319069001</v>
      </c>
      <c r="D33" s="2899">
        <f t="shared" si="164"/>
        <v>263.03901319069001</v>
      </c>
      <c r="E33" s="2899">
        <f t="shared" si="170"/>
        <v>433.65745506782821</v>
      </c>
      <c r="F33" s="2899">
        <f t="shared" si="170"/>
        <v>233.23005080045735</v>
      </c>
      <c r="G33" s="3556"/>
      <c r="H33" s="2922">
        <v>2</v>
      </c>
      <c r="I33" s="2922">
        <v>2.4</v>
      </c>
      <c r="J33" s="2922">
        <v>2.0299999999999998</v>
      </c>
      <c r="K33" s="2922">
        <v>2.59</v>
      </c>
      <c r="L33" s="2923">
        <v>1.52</v>
      </c>
      <c r="N33" s="2901">
        <f t="shared" si="166"/>
        <v>2.4E-2</v>
      </c>
      <c r="O33" s="2887">
        <f t="shared" si="162"/>
        <v>2.0299999999999999E-2</v>
      </c>
      <c r="P33" s="2887">
        <f t="shared" si="162"/>
        <v>2.5899999999999999E-2</v>
      </c>
      <c r="Q33" s="2887">
        <f t="shared" si="162"/>
        <v>1.52E-2</v>
      </c>
      <c r="R33" s="2902"/>
      <c r="S33" s="2901"/>
      <c r="T33" s="2887"/>
      <c r="U33" s="2887"/>
      <c r="V33" s="2887"/>
      <c r="X33" s="2886">
        <f>1+N33</f>
        <v>1.024</v>
      </c>
      <c r="Y33" s="2886">
        <f>1+O33</f>
        <v>1.0203</v>
      </c>
      <c r="Z33" s="2886">
        <f t="shared" si="171"/>
        <v>1.0203</v>
      </c>
      <c r="AA33" s="2886">
        <f>1+P33</f>
        <v>1.0259</v>
      </c>
      <c r="AB33" s="2886">
        <f>1+Q33</f>
        <v>1.0152000000000001</v>
      </c>
      <c r="AD33" s="2887">
        <f>ROUND(AVERAGE(I33:I$34)/100,4)</f>
        <v>2.69E-2</v>
      </c>
      <c r="AE33" s="2887">
        <f>ROUND(AVERAGE(J33:J$34)/100,4)</f>
        <v>2.1899999999999999E-2</v>
      </c>
      <c r="AF33" s="2887">
        <f t="shared" ref="AF33" si="172">AE33</f>
        <v>2.1899999999999999E-2</v>
      </c>
      <c r="AG33" s="2887">
        <f>ROUND(AVERAGE(K33:K$34)/100,4)</f>
        <v>2.9399999999999999E-2</v>
      </c>
      <c r="AH33" s="2887">
        <f>ROUND(AVERAGE(L33:L$34)/100,4)</f>
        <v>1.44E-2</v>
      </c>
    </row>
    <row r="34" spans="1:34" s="2935" customFormat="1" ht="13.5" thickBot="1">
      <c r="A34" s="2931" t="s">
        <v>951</v>
      </c>
      <c r="B34" s="2932">
        <f t="shared" si="169"/>
        <v>307.34512863658733</v>
      </c>
      <c r="C34" s="2932">
        <f t="shared" si="169"/>
        <v>257.80556031626975</v>
      </c>
      <c r="D34" s="2932">
        <f t="shared" si="164"/>
        <v>257.80556031626975</v>
      </c>
      <c r="E34" s="2932">
        <f t="shared" si="170"/>
        <v>422.70928459677179</v>
      </c>
      <c r="F34" s="2932">
        <f t="shared" si="170"/>
        <v>229.73803270336617</v>
      </c>
      <c r="G34" s="3557"/>
      <c r="H34" s="2933">
        <v>1</v>
      </c>
      <c r="I34" s="2933">
        <v>2.97</v>
      </c>
      <c r="J34" s="2933">
        <v>2.34</v>
      </c>
      <c r="K34" s="2933">
        <v>3.28</v>
      </c>
      <c r="L34" s="2934">
        <v>1.36</v>
      </c>
      <c r="N34" s="2936">
        <f t="shared" si="166"/>
        <v>2.9700000000000001E-2</v>
      </c>
      <c r="O34" s="2937">
        <f t="shared" si="162"/>
        <v>2.3399999999999997E-2</v>
      </c>
      <c r="P34" s="2937">
        <f t="shared" si="162"/>
        <v>3.2799999999999996E-2</v>
      </c>
      <c r="Q34" s="2937">
        <f t="shared" si="162"/>
        <v>1.3600000000000001E-2</v>
      </c>
      <c r="R34" s="2938"/>
      <c r="S34" s="2939">
        <f>B34/B35-1</f>
        <v>2.7910129219355539E-2</v>
      </c>
      <c r="T34" s="2940">
        <f>C34/C35-1</f>
        <v>2.3037937762975247E-2</v>
      </c>
      <c r="U34" s="2940">
        <f>E34/E35-1</f>
        <v>3.3519033243940788E-2</v>
      </c>
      <c r="V34" s="2940">
        <f>F34/F35-1</f>
        <v>1.2061818076502862E-2</v>
      </c>
      <c r="W34" s="2941" t="s">
        <v>2620</v>
      </c>
      <c r="X34" s="2942">
        <v>1</v>
      </c>
      <c r="Y34" s="2942">
        <v>1</v>
      </c>
      <c r="Z34" s="2942">
        <v>1</v>
      </c>
      <c r="AA34" s="2942">
        <v>1</v>
      </c>
      <c r="AB34" s="2942">
        <v>1</v>
      </c>
      <c r="AD34" s="2937">
        <f>I34/100</f>
        <v>2.9700000000000001E-2</v>
      </c>
      <c r="AE34" s="2937">
        <f>J34/100</f>
        <v>2.3399999999999997E-2</v>
      </c>
      <c r="AF34" s="2937">
        <f>AE34</f>
        <v>2.3399999999999997E-2</v>
      </c>
      <c r="AG34" s="2937">
        <f>K34/100</f>
        <v>3.2799999999999996E-2</v>
      </c>
      <c r="AH34" s="2937">
        <f>L34/100</f>
        <v>1.3600000000000001E-2</v>
      </c>
    </row>
    <row r="35" spans="1:34" ht="13.5" thickBot="1">
      <c r="A35" s="2898" t="s">
        <v>2563</v>
      </c>
      <c r="B35" s="2920">
        <v>299</v>
      </c>
      <c r="C35" s="2920">
        <v>252</v>
      </c>
      <c r="D35" s="2920">
        <f t="shared" si="164"/>
        <v>252</v>
      </c>
      <c r="E35" s="2920">
        <v>409</v>
      </c>
      <c r="F35" s="2921">
        <v>227</v>
      </c>
      <c r="G35" s="3558">
        <v>2013</v>
      </c>
      <c r="H35" s="2943">
        <v>4</v>
      </c>
      <c r="I35" s="2943">
        <v>1.83</v>
      </c>
      <c r="J35" s="2943">
        <v>1.68</v>
      </c>
      <c r="K35" s="2943">
        <v>1.97</v>
      </c>
      <c r="L35" s="2944">
        <v>0.87</v>
      </c>
      <c r="N35" s="2917">
        <f t="shared" si="166"/>
        <v>1.83E-2</v>
      </c>
      <c r="O35" s="2918">
        <f t="shared" si="162"/>
        <v>1.6799999999999999E-2</v>
      </c>
      <c r="P35" s="2918">
        <f t="shared" si="162"/>
        <v>1.9699999999999999E-2</v>
      </c>
      <c r="Q35" s="2918">
        <f t="shared" si="162"/>
        <v>8.6999999999999994E-3</v>
      </c>
      <c r="R35" s="2902"/>
      <c r="S35" s="2911"/>
      <c r="T35" s="2912"/>
      <c r="U35" s="2912"/>
      <c r="V35" s="2912"/>
      <c r="X35" s="2912"/>
      <c r="Y35" s="2912"/>
      <c r="Z35" s="2912"/>
    </row>
    <row r="36" spans="1:34">
      <c r="A36" s="2898" t="s">
        <v>2564</v>
      </c>
      <c r="B36" s="2899">
        <f t="shared" ref="B36:C38" si="173">B35/(1+N35)</f>
        <v>293.62663262299913</v>
      </c>
      <c r="C36" s="2899">
        <f t="shared" si="173"/>
        <v>247.83634933123525</v>
      </c>
      <c r="D36" s="2899">
        <f t="shared" si="164"/>
        <v>247.83634933123525</v>
      </c>
      <c r="E36" s="2899">
        <f t="shared" ref="E36:F38" si="174">E35/(1+P35)</f>
        <v>401.09836226341076</v>
      </c>
      <c r="F36" s="2899">
        <f t="shared" si="174"/>
        <v>225.04213343908003</v>
      </c>
      <c r="G36" s="3559"/>
      <c r="H36" s="2925">
        <v>3</v>
      </c>
      <c r="I36" s="2925">
        <v>1.86</v>
      </c>
      <c r="J36" s="2925">
        <v>1.72</v>
      </c>
      <c r="K36" s="2925">
        <v>1.98</v>
      </c>
      <c r="L36" s="2926">
        <v>0.88</v>
      </c>
      <c r="N36" s="2901">
        <f t="shared" si="166"/>
        <v>1.8600000000000002E-2</v>
      </c>
      <c r="O36" s="2919">
        <f t="shared" si="162"/>
        <v>1.72E-2</v>
      </c>
      <c r="P36" s="2919">
        <f t="shared" si="162"/>
        <v>1.9799999999999998E-2</v>
      </c>
      <c r="Q36" s="2919">
        <f t="shared" si="162"/>
        <v>8.8000000000000005E-3</v>
      </c>
      <c r="R36" s="2902"/>
      <c r="S36" s="2901"/>
      <c r="T36" s="2887"/>
      <c r="U36" s="2887"/>
      <c r="V36" s="2887"/>
    </row>
    <row r="37" spans="1:34">
      <c r="A37" s="2898" t="s">
        <v>2565</v>
      </c>
      <c r="B37" s="2899">
        <f t="shared" si="173"/>
        <v>288.2649053828776</v>
      </c>
      <c r="C37" s="2899">
        <f t="shared" si="173"/>
        <v>243.64564425013293</v>
      </c>
      <c r="D37" s="2899">
        <f t="shared" si="164"/>
        <v>243.64564425013293</v>
      </c>
      <c r="E37" s="2899">
        <f t="shared" si="174"/>
        <v>393.31080825986544</v>
      </c>
      <c r="F37" s="2899">
        <f t="shared" si="174"/>
        <v>223.07903790551154</v>
      </c>
      <c r="G37" s="3559"/>
      <c r="H37" s="2913">
        <v>2</v>
      </c>
      <c r="I37" s="2913">
        <v>2.04</v>
      </c>
      <c r="J37" s="2913">
        <v>2.33</v>
      </c>
      <c r="K37" s="2913">
        <v>2.0699999999999998</v>
      </c>
      <c r="L37" s="2914">
        <v>0.69</v>
      </c>
      <c r="N37" s="2901">
        <f t="shared" si="166"/>
        <v>2.0400000000000001E-2</v>
      </c>
      <c r="O37" s="2919">
        <f t="shared" si="162"/>
        <v>2.3300000000000001E-2</v>
      </c>
      <c r="P37" s="2919">
        <f t="shared" si="162"/>
        <v>2.07E-2</v>
      </c>
      <c r="Q37" s="2919">
        <f t="shared" si="162"/>
        <v>6.8999999999999999E-3</v>
      </c>
      <c r="R37" s="2902"/>
      <c r="S37" s="2901"/>
      <c r="T37" s="2887"/>
      <c r="U37" s="2887"/>
      <c r="V37" s="2887"/>
      <c r="X37" s="2945"/>
      <c r="Y37" s="2946"/>
    </row>
    <row r="38" spans="1:34">
      <c r="A38" s="2898" t="s">
        <v>2566</v>
      </c>
      <c r="B38" s="2899">
        <f t="shared" si="173"/>
        <v>282.50186729015837</v>
      </c>
      <c r="C38" s="2899">
        <f t="shared" si="173"/>
        <v>238.09796174155468</v>
      </c>
      <c r="D38" s="2899">
        <f t="shared" si="164"/>
        <v>238.09796174155468</v>
      </c>
      <c r="E38" s="2899">
        <f t="shared" si="174"/>
        <v>385.33438646014054</v>
      </c>
      <c r="F38" s="2899">
        <f t="shared" si="174"/>
        <v>221.55034055567739</v>
      </c>
      <c r="G38" s="3560"/>
      <c r="H38" s="2900">
        <v>1</v>
      </c>
      <c r="I38" s="2900">
        <v>1.67</v>
      </c>
      <c r="J38" s="2900">
        <v>1.31</v>
      </c>
      <c r="K38" s="2900">
        <v>1.85</v>
      </c>
      <c r="L38" s="2906">
        <v>0.96</v>
      </c>
      <c r="N38" s="2903">
        <f t="shared" si="166"/>
        <v>1.67E-2</v>
      </c>
      <c r="O38" s="2904">
        <f t="shared" si="162"/>
        <v>1.3100000000000001E-2</v>
      </c>
      <c r="P38" s="2904">
        <f t="shared" si="162"/>
        <v>1.8500000000000003E-2</v>
      </c>
      <c r="Q38" s="2904">
        <f t="shared" si="162"/>
        <v>9.5999999999999992E-3</v>
      </c>
      <c r="R38" s="2902"/>
      <c r="S38" s="2903">
        <f>B38/B39-1</f>
        <v>1.6193767230785472E-2</v>
      </c>
      <c r="T38" s="2904">
        <f>C38/C39-1</f>
        <v>1.7512657015190891E-2</v>
      </c>
      <c r="U38" s="2904">
        <f>E38/E39-1</f>
        <v>1.6713420739157048E-2</v>
      </c>
      <c r="V38" s="2904">
        <f>F38/F39-1</f>
        <v>7.0470025258062563E-3</v>
      </c>
      <c r="X38" s="2947"/>
      <c r="Y38" s="2887"/>
      <c r="Z38" s="2887"/>
    </row>
    <row r="39" spans="1:34" ht="13.5" thickBot="1">
      <c r="A39" s="2898" t="s">
        <v>2567</v>
      </c>
      <c r="B39" s="2948">
        <v>278</v>
      </c>
      <c r="C39" s="2948">
        <v>234</v>
      </c>
      <c r="D39" s="2948">
        <f t="shared" si="164"/>
        <v>234</v>
      </c>
      <c r="E39" s="2948">
        <v>379</v>
      </c>
      <c r="F39" s="2949">
        <v>220</v>
      </c>
      <c r="G39" s="3555">
        <v>2012</v>
      </c>
      <c r="H39" s="2922">
        <v>4</v>
      </c>
      <c r="I39" s="2922">
        <v>0.91</v>
      </c>
      <c r="J39" s="2922">
        <v>0.68</v>
      </c>
      <c r="K39" s="2922">
        <v>0.98</v>
      </c>
      <c r="L39" s="2923">
        <v>0.9</v>
      </c>
      <c r="N39" s="2901">
        <f t="shared" si="166"/>
        <v>9.1000000000000004E-3</v>
      </c>
      <c r="O39" s="2887">
        <f t="shared" si="166"/>
        <v>6.8000000000000005E-3</v>
      </c>
      <c r="P39" s="2887">
        <f t="shared" si="166"/>
        <v>9.7999999999999997E-3</v>
      </c>
      <c r="Q39" s="2887">
        <f t="shared" si="166"/>
        <v>9.0000000000000011E-3</v>
      </c>
      <c r="R39" s="2902"/>
      <c r="S39" s="2911"/>
      <c r="T39" s="2912"/>
      <c r="U39" s="2912"/>
      <c r="V39" s="2912"/>
      <c r="X39" s="2912"/>
      <c r="Y39" s="2912"/>
      <c r="Z39" s="2912"/>
    </row>
    <row r="40" spans="1:34">
      <c r="A40" s="2898" t="s">
        <v>2568</v>
      </c>
      <c r="B40" s="2899">
        <f>B39/(1+N39)</f>
        <v>275.49301357645425</v>
      </c>
      <c r="C40" s="2899">
        <f>C39/(1+O39)</f>
        <v>232.41954707985698</v>
      </c>
      <c r="D40" s="2899">
        <f t="shared" si="164"/>
        <v>232.41954707985698</v>
      </c>
      <c r="E40" s="2899">
        <f t="shared" ref="E40:F42" si="175">E39/(1+P39)</f>
        <v>375.32184591008121</v>
      </c>
      <c r="F40" s="2899">
        <f t="shared" si="175"/>
        <v>218.03766105054513</v>
      </c>
      <c r="G40" s="3556"/>
      <c r="H40" s="2925">
        <v>3</v>
      </c>
      <c r="I40" s="2925">
        <v>0.09</v>
      </c>
      <c r="J40" s="2925">
        <v>0.28999999999999998</v>
      </c>
      <c r="K40" s="2925">
        <v>-0.01</v>
      </c>
      <c r="L40" s="2926">
        <v>0.57999999999999996</v>
      </c>
      <c r="N40" s="2901">
        <f t="shared" si="166"/>
        <v>8.9999999999999998E-4</v>
      </c>
      <c r="O40" s="2887">
        <f t="shared" si="166"/>
        <v>2.8999999999999998E-3</v>
      </c>
      <c r="P40" s="2887">
        <f t="shared" si="166"/>
        <v>-1E-4</v>
      </c>
      <c r="Q40" s="2887">
        <f t="shared" si="166"/>
        <v>5.7999999999999996E-3</v>
      </c>
      <c r="R40" s="2902"/>
      <c r="S40" s="2901"/>
      <c r="T40" s="2887"/>
      <c r="U40" s="2887"/>
      <c r="V40" s="2887"/>
    </row>
    <row r="41" spans="1:34">
      <c r="A41" s="2898" t="s">
        <v>2569</v>
      </c>
      <c r="B41" s="2899">
        <f>B40/(1+N40)</f>
        <v>275.24529281292263</v>
      </c>
      <c r="C41" s="2899">
        <f>C40/(1+O40)</f>
        <v>231.74747938962707</v>
      </c>
      <c r="D41" s="2899">
        <f t="shared" si="164"/>
        <v>231.74747938962707</v>
      </c>
      <c r="E41" s="2899">
        <f t="shared" si="175"/>
        <v>375.35938184826603</v>
      </c>
      <c r="F41" s="2899">
        <f t="shared" si="175"/>
        <v>216.78033510692495</v>
      </c>
      <c r="G41" s="3556"/>
      <c r="H41" s="2913">
        <v>2</v>
      </c>
      <c r="I41" s="2913">
        <v>0.02</v>
      </c>
      <c r="J41" s="2913">
        <v>0.12</v>
      </c>
      <c r="K41" s="2913">
        <v>-0.08</v>
      </c>
      <c r="L41" s="2914">
        <v>1.24</v>
      </c>
      <c r="N41" s="2901">
        <f t="shared" si="166"/>
        <v>2.0000000000000001E-4</v>
      </c>
      <c r="O41" s="2887">
        <f t="shared" si="166"/>
        <v>1.1999999999999999E-3</v>
      </c>
      <c r="P41" s="2887">
        <f t="shared" si="166"/>
        <v>-8.0000000000000004E-4</v>
      </c>
      <c r="Q41" s="2887">
        <f t="shared" si="166"/>
        <v>1.24E-2</v>
      </c>
      <c r="R41" s="2902"/>
      <c r="S41" s="2901"/>
      <c r="T41" s="2887"/>
      <c r="U41" s="2887"/>
      <c r="V41" s="2887"/>
    </row>
    <row r="42" spans="1:34" ht="13.5" thickBot="1">
      <c r="A42" s="2898" t="s">
        <v>2570</v>
      </c>
      <c r="B42" s="2899">
        <f>B41/(1+N41)</f>
        <v>275.19025476197027</v>
      </c>
      <c r="C42" s="2950">
        <v>232</v>
      </c>
      <c r="D42" s="2950">
        <f t="shared" si="164"/>
        <v>232</v>
      </c>
      <c r="E42" s="2899">
        <f t="shared" si="175"/>
        <v>375.65990977608692</v>
      </c>
      <c r="F42" s="2899">
        <f t="shared" si="175"/>
        <v>214.12518283971252</v>
      </c>
      <c r="G42" s="3557"/>
      <c r="H42" s="2900">
        <v>1</v>
      </c>
      <c r="I42" s="2900">
        <v>0.02</v>
      </c>
      <c r="J42" s="2900">
        <v>0.13</v>
      </c>
      <c r="K42" s="2900">
        <v>-0.04</v>
      </c>
      <c r="L42" s="2906">
        <v>0.46</v>
      </c>
      <c r="N42" s="2901">
        <f t="shared" si="166"/>
        <v>2.0000000000000001E-4</v>
      </c>
      <c r="O42" s="2887">
        <f t="shared" si="166"/>
        <v>1.2999999999999999E-3</v>
      </c>
      <c r="P42" s="2887">
        <f t="shared" si="166"/>
        <v>-4.0000000000000002E-4</v>
      </c>
      <c r="Q42" s="2887">
        <f t="shared" si="166"/>
        <v>4.5999999999999999E-3</v>
      </c>
      <c r="R42" s="2902"/>
      <c r="S42" s="2903">
        <f>B42/B43-1</f>
        <v>6.9183549807361189E-4</v>
      </c>
      <c r="T42" s="2904">
        <f>C42/C43-1</f>
        <v>0</v>
      </c>
      <c r="U42" s="2904">
        <f>E42/E43-1</f>
        <v>-9.0449527636460303E-4</v>
      </c>
      <c r="V42" s="2904">
        <f>F42/F43-1</f>
        <v>5.2825485432512753E-3</v>
      </c>
      <c r="X42" s="2887"/>
      <c r="Y42" s="2887"/>
      <c r="Z42" s="2887"/>
    </row>
    <row r="43" spans="1:34" ht="13.5" thickBot="1">
      <c r="A43" s="2898" t="s">
        <v>2571</v>
      </c>
      <c r="B43" s="2920">
        <v>275</v>
      </c>
      <c r="C43" s="2920">
        <v>232</v>
      </c>
      <c r="D43" s="2920">
        <f t="shared" si="164"/>
        <v>232</v>
      </c>
      <c r="E43" s="2920">
        <v>376</v>
      </c>
      <c r="F43" s="2921">
        <v>213</v>
      </c>
      <c r="G43" s="3555">
        <v>2011</v>
      </c>
      <c r="H43" s="2922">
        <v>4</v>
      </c>
      <c r="I43" s="2922">
        <v>-0.2</v>
      </c>
      <c r="J43" s="2922">
        <v>0.04</v>
      </c>
      <c r="K43" s="2922">
        <v>-0.34</v>
      </c>
      <c r="L43" s="2923">
        <v>0.46</v>
      </c>
      <c r="N43" s="2917">
        <f t="shared" si="166"/>
        <v>-2E-3</v>
      </c>
      <c r="O43" s="2918">
        <f t="shared" si="166"/>
        <v>4.0000000000000002E-4</v>
      </c>
      <c r="P43" s="2918">
        <f t="shared" si="166"/>
        <v>-3.4000000000000002E-3</v>
      </c>
      <c r="Q43" s="2918">
        <f t="shared" si="166"/>
        <v>4.5999999999999999E-3</v>
      </c>
      <c r="R43" s="2902"/>
      <c r="S43" s="2911"/>
      <c r="T43" s="2912"/>
      <c r="U43" s="2912"/>
      <c r="V43" s="2912"/>
      <c r="X43" s="2912"/>
      <c r="Y43" s="2912"/>
      <c r="Z43" s="2912"/>
    </row>
    <row r="44" spans="1:34">
      <c r="A44" s="2898" t="s">
        <v>2572</v>
      </c>
      <c r="B44" s="2899">
        <f t="shared" ref="B44:C46" si="176">B43/(1+N43)</f>
        <v>275.55110220440883</v>
      </c>
      <c r="C44" s="2899">
        <f t="shared" si="176"/>
        <v>231.90723710515795</v>
      </c>
      <c r="D44" s="2899">
        <f t="shared" si="164"/>
        <v>231.90723710515795</v>
      </c>
      <c r="E44" s="2899">
        <f t="shared" ref="E44:F46" si="177">E43/(1+P43)</f>
        <v>377.28276138872161</v>
      </c>
      <c r="F44" s="2899">
        <f t="shared" si="177"/>
        <v>212.02468644236512</v>
      </c>
      <c r="G44" s="3556">
        <v>2011</v>
      </c>
      <c r="H44" s="2925">
        <v>3</v>
      </c>
      <c r="I44" s="2925">
        <v>0.13</v>
      </c>
      <c r="J44" s="2925">
        <v>0.75</v>
      </c>
      <c r="K44" s="2925">
        <v>-0.08</v>
      </c>
      <c r="L44" s="2926">
        <v>0.53</v>
      </c>
      <c r="N44" s="2901">
        <f t="shared" si="166"/>
        <v>1.2999999999999999E-3</v>
      </c>
      <c r="O44" s="2919">
        <f t="shared" si="166"/>
        <v>7.4999999999999997E-3</v>
      </c>
      <c r="P44" s="2919">
        <f t="shared" si="166"/>
        <v>-8.0000000000000004E-4</v>
      </c>
      <c r="Q44" s="2919">
        <f t="shared" si="166"/>
        <v>5.3E-3</v>
      </c>
      <c r="R44" s="2902"/>
      <c r="S44" s="2901"/>
      <c r="T44" s="2887"/>
      <c r="U44" s="2887"/>
      <c r="V44" s="2887"/>
    </row>
    <row r="45" spans="1:34">
      <c r="A45" s="2898" t="s">
        <v>2573</v>
      </c>
      <c r="B45" s="2899">
        <f t="shared" si="176"/>
        <v>275.19335084830601</v>
      </c>
      <c r="C45" s="2899">
        <f t="shared" si="176"/>
        <v>230.18088050139744</v>
      </c>
      <c r="D45" s="2899">
        <f t="shared" si="164"/>
        <v>230.18088050139744</v>
      </c>
      <c r="E45" s="2899">
        <f t="shared" si="177"/>
        <v>377.58482925212331</v>
      </c>
      <c r="F45" s="2899">
        <f t="shared" si="177"/>
        <v>210.90687997847917</v>
      </c>
      <c r="G45" s="3556">
        <v>2011</v>
      </c>
      <c r="H45" s="2913">
        <v>2</v>
      </c>
      <c r="I45" s="2913">
        <v>-0.4</v>
      </c>
      <c r="J45" s="2913">
        <v>0.17</v>
      </c>
      <c r="K45" s="2913">
        <v>-0.57999999999999996</v>
      </c>
      <c r="L45" s="2914">
        <v>-0.2</v>
      </c>
      <c r="N45" s="2901">
        <f t="shared" si="166"/>
        <v>-4.0000000000000001E-3</v>
      </c>
      <c r="O45" s="2919">
        <f t="shared" si="166"/>
        <v>1.7000000000000001E-3</v>
      </c>
      <c r="P45" s="2919">
        <f t="shared" si="166"/>
        <v>-5.7999999999999996E-3</v>
      </c>
      <c r="Q45" s="2919">
        <f t="shared" si="166"/>
        <v>-2E-3</v>
      </c>
      <c r="R45" s="2902"/>
      <c r="S45" s="2901"/>
      <c r="T45" s="2887"/>
      <c r="U45" s="2887"/>
      <c r="V45" s="2887"/>
    </row>
    <row r="46" spans="1:34" ht="13.5" thickBot="1">
      <c r="A46" s="2898" t="s">
        <v>2574</v>
      </c>
      <c r="B46" s="2899">
        <f t="shared" si="176"/>
        <v>276.29854502841971</v>
      </c>
      <c r="C46" s="2899">
        <f t="shared" si="176"/>
        <v>229.79023709833027</v>
      </c>
      <c r="D46" s="2899">
        <f t="shared" si="164"/>
        <v>229.79023709833027</v>
      </c>
      <c r="E46" s="2899">
        <f t="shared" si="177"/>
        <v>379.78759731655936</v>
      </c>
      <c r="F46" s="2899">
        <f t="shared" si="177"/>
        <v>211.32953905659235</v>
      </c>
      <c r="G46" s="3557">
        <v>2011</v>
      </c>
      <c r="H46" s="2900">
        <v>1</v>
      </c>
      <c r="I46" s="2900">
        <v>2.65</v>
      </c>
      <c r="J46" s="2900">
        <v>3.76</v>
      </c>
      <c r="K46" s="2900">
        <v>1.89</v>
      </c>
      <c r="L46" s="2906">
        <v>7.95</v>
      </c>
      <c r="N46" s="2903">
        <f t="shared" si="166"/>
        <v>2.6499999999999999E-2</v>
      </c>
      <c r="O46" s="2904">
        <f t="shared" si="166"/>
        <v>3.7599999999999995E-2</v>
      </c>
      <c r="P46" s="2904">
        <f t="shared" si="166"/>
        <v>1.89E-2</v>
      </c>
      <c r="Q46" s="2904">
        <f t="shared" si="166"/>
        <v>7.9500000000000001E-2</v>
      </c>
      <c r="R46" s="2902"/>
      <c r="S46" s="2903">
        <f>B46/B47-1</f>
        <v>2.713213765211786E-2</v>
      </c>
      <c r="T46" s="2904">
        <f>C46/C47-1</f>
        <v>3.9774828499231862E-2</v>
      </c>
      <c r="U46" s="2904">
        <f>E46/E47-1</f>
        <v>1.8197311840641772E-2</v>
      </c>
      <c r="V46" s="2904">
        <f>F46/F47-1</f>
        <v>7.8211933962205826E-2</v>
      </c>
      <c r="X46" s="2887"/>
      <c r="Y46" s="2887"/>
      <c r="Z46" s="2887"/>
    </row>
    <row r="47" spans="1:34" ht="13.5" thickBot="1">
      <c r="A47" s="2898" t="s">
        <v>2575</v>
      </c>
      <c r="B47" s="2920">
        <v>269</v>
      </c>
      <c r="C47" s="2920">
        <v>221</v>
      </c>
      <c r="D47" s="2920">
        <f t="shared" si="164"/>
        <v>221</v>
      </c>
      <c r="E47" s="2920">
        <v>373</v>
      </c>
      <c r="F47" s="2921">
        <v>196</v>
      </c>
      <c r="G47" s="3555">
        <v>2010</v>
      </c>
      <c r="H47" s="2922">
        <v>4</v>
      </c>
      <c r="I47" s="2922">
        <v>5.72</v>
      </c>
      <c r="J47" s="2922">
        <v>6.57</v>
      </c>
      <c r="K47" s="2922">
        <v>5.72</v>
      </c>
      <c r="L47" s="2923">
        <v>2.72</v>
      </c>
      <c r="N47" s="2901">
        <f t="shared" si="166"/>
        <v>5.7200000000000001E-2</v>
      </c>
      <c r="O47" s="2887">
        <f t="shared" si="166"/>
        <v>6.5700000000000008E-2</v>
      </c>
      <c r="P47" s="2887">
        <f t="shared" si="166"/>
        <v>5.7200000000000001E-2</v>
      </c>
      <c r="Q47" s="2887">
        <f t="shared" si="166"/>
        <v>2.7200000000000002E-2</v>
      </c>
      <c r="R47" s="2902"/>
      <c r="S47" s="2911"/>
      <c r="T47" s="2912"/>
      <c r="U47" s="2912"/>
      <c r="V47" s="2912"/>
      <c r="X47" s="2912"/>
      <c r="Y47" s="2912"/>
      <c r="Z47" s="2912"/>
    </row>
    <row r="48" spans="1:34">
      <c r="A48" s="2898" t="s">
        <v>2576</v>
      </c>
      <c r="B48" s="2899">
        <f t="shared" ref="B48:C50" si="178">B47/(1+N47)</f>
        <v>254.44570563753314</v>
      </c>
      <c r="C48" s="2899">
        <f t="shared" si="178"/>
        <v>207.37543398705074</v>
      </c>
      <c r="D48" s="2899">
        <f t="shared" si="164"/>
        <v>207.37543398705074</v>
      </c>
      <c r="E48" s="2899">
        <f t="shared" ref="E48:F50" si="179">E47/(1+P47)</f>
        <v>352.81876655315932</v>
      </c>
      <c r="F48" s="2899">
        <f t="shared" si="179"/>
        <v>190.809968847352</v>
      </c>
      <c r="G48" s="3556">
        <v>2010</v>
      </c>
      <c r="H48" s="2925">
        <v>3</v>
      </c>
      <c r="I48" s="2925">
        <v>4.7300000000000004</v>
      </c>
      <c r="J48" s="2925">
        <v>3.9</v>
      </c>
      <c r="K48" s="2925">
        <v>5.03</v>
      </c>
      <c r="L48" s="2926">
        <v>4.21</v>
      </c>
      <c r="N48" s="2901">
        <f t="shared" si="166"/>
        <v>4.7300000000000002E-2</v>
      </c>
      <c r="O48" s="2887">
        <f t="shared" si="166"/>
        <v>3.9E-2</v>
      </c>
      <c r="P48" s="2887">
        <f t="shared" si="166"/>
        <v>5.0300000000000004E-2</v>
      </c>
      <c r="Q48" s="2887">
        <f t="shared" si="166"/>
        <v>4.2099999999999999E-2</v>
      </c>
      <c r="R48" s="2902"/>
      <c r="S48" s="2901"/>
      <c r="T48" s="2887"/>
      <c r="U48" s="2887"/>
      <c r="V48" s="2887"/>
    </row>
    <row r="49" spans="1:26">
      <c r="A49" s="2898" t="s">
        <v>2577</v>
      </c>
      <c r="B49" s="2899">
        <f t="shared" si="178"/>
        <v>242.95398227588385</v>
      </c>
      <c r="C49" s="2899">
        <f t="shared" si="178"/>
        <v>199.59137053614126</v>
      </c>
      <c r="D49" s="2899">
        <f t="shared" si="164"/>
        <v>199.59137053614126</v>
      </c>
      <c r="E49" s="2899">
        <f t="shared" si="179"/>
        <v>335.92189522342125</v>
      </c>
      <c r="F49" s="2899">
        <f t="shared" si="179"/>
        <v>183.10139991109489</v>
      </c>
      <c r="G49" s="3556">
        <v>2010</v>
      </c>
      <c r="H49" s="2913">
        <v>2</v>
      </c>
      <c r="I49" s="2913">
        <v>4.6900000000000004</v>
      </c>
      <c r="J49" s="2913">
        <v>3.55</v>
      </c>
      <c r="K49" s="2913">
        <v>5.07</v>
      </c>
      <c r="L49" s="2914">
        <v>4.2300000000000004</v>
      </c>
      <c r="N49" s="2901">
        <f t="shared" si="166"/>
        <v>4.6900000000000004E-2</v>
      </c>
      <c r="O49" s="2887">
        <f t="shared" si="166"/>
        <v>3.5499999999999997E-2</v>
      </c>
      <c r="P49" s="2887">
        <f t="shared" si="166"/>
        <v>5.0700000000000002E-2</v>
      </c>
      <c r="Q49" s="2887">
        <f t="shared" si="166"/>
        <v>4.2300000000000004E-2</v>
      </c>
      <c r="R49" s="2902"/>
      <c r="S49" s="2901"/>
      <c r="T49" s="2887"/>
      <c r="U49" s="2887"/>
      <c r="V49" s="2887"/>
    </row>
    <row r="50" spans="1:26" ht="13.5" thickBot="1">
      <c r="A50" s="2898" t="s">
        <v>2578</v>
      </c>
      <c r="B50" s="2899">
        <f t="shared" si="178"/>
        <v>232.06990378821649</v>
      </c>
      <c r="C50" s="2899">
        <f t="shared" si="178"/>
        <v>192.74878854286936</v>
      </c>
      <c r="D50" s="2899">
        <f t="shared" si="164"/>
        <v>192.74878854286936</v>
      </c>
      <c r="E50" s="2899">
        <f t="shared" si="179"/>
        <v>319.71247284992984</v>
      </c>
      <c r="F50" s="2899">
        <f t="shared" si="179"/>
        <v>175.67053622862409</v>
      </c>
      <c r="G50" s="3557">
        <v>2010</v>
      </c>
      <c r="H50" s="2900">
        <v>1</v>
      </c>
      <c r="I50" s="2900">
        <v>5.4</v>
      </c>
      <c r="J50" s="2900">
        <v>3.2</v>
      </c>
      <c r="K50" s="2900">
        <v>6.16</v>
      </c>
      <c r="L50" s="2906">
        <v>4.51</v>
      </c>
      <c r="N50" s="2901">
        <f t="shared" si="166"/>
        <v>5.4000000000000006E-2</v>
      </c>
      <c r="O50" s="2887">
        <f t="shared" si="166"/>
        <v>3.2000000000000001E-2</v>
      </c>
      <c r="P50" s="2887">
        <f t="shared" si="166"/>
        <v>6.1600000000000002E-2</v>
      </c>
      <c r="Q50" s="2887">
        <f t="shared" si="166"/>
        <v>4.5100000000000001E-2</v>
      </c>
      <c r="R50" s="2902"/>
      <c r="S50" s="2903">
        <f>B50/B51-1</f>
        <v>5.4863199037347599E-2</v>
      </c>
      <c r="T50" s="2904">
        <f>C50/C51-1</f>
        <v>3.0742184721226584E-2</v>
      </c>
      <c r="U50" s="2904">
        <f>E50/E51-1</f>
        <v>6.2167683886810154E-2</v>
      </c>
      <c r="V50" s="2904">
        <f>F50/F51-1</f>
        <v>4.5657953741810031E-2</v>
      </c>
      <c r="X50" s="2887"/>
      <c r="Y50" s="2887"/>
      <c r="Z50" s="2887"/>
    </row>
    <row r="51" spans="1:26" ht="13.5" thickBot="1">
      <c r="A51" s="2898" t="s">
        <v>2579</v>
      </c>
      <c r="B51" s="2920">
        <v>220</v>
      </c>
      <c r="C51" s="2920">
        <v>187</v>
      </c>
      <c r="D51" s="2920">
        <f t="shared" si="164"/>
        <v>187</v>
      </c>
      <c r="E51" s="2920">
        <v>301</v>
      </c>
      <c r="F51" s="2921">
        <v>168</v>
      </c>
      <c r="G51" s="3555">
        <v>2009</v>
      </c>
      <c r="H51" s="2922">
        <v>4</v>
      </c>
      <c r="I51" s="2922">
        <v>2.2999999999999998</v>
      </c>
      <c r="J51" s="2922">
        <v>1.04</v>
      </c>
      <c r="K51" s="2922">
        <v>2.84</v>
      </c>
      <c r="L51" s="2923">
        <v>0.67</v>
      </c>
      <c r="N51" s="2917">
        <f t="shared" si="166"/>
        <v>2.3E-2</v>
      </c>
      <c r="O51" s="2918">
        <f t="shared" si="166"/>
        <v>1.04E-2</v>
      </c>
      <c r="P51" s="2918">
        <f t="shared" si="166"/>
        <v>2.8399999999999998E-2</v>
      </c>
      <c r="Q51" s="2918">
        <f t="shared" si="166"/>
        <v>6.7000000000000002E-3</v>
      </c>
      <c r="R51" s="2902"/>
      <c r="S51" s="2911"/>
      <c r="T51" s="2912"/>
      <c r="U51" s="2912"/>
      <c r="V51" s="2912"/>
      <c r="X51" s="2912"/>
      <c r="Y51" s="2912"/>
      <c r="Z51" s="2912"/>
    </row>
    <row r="52" spans="1:26">
      <c r="A52" s="2898" t="s">
        <v>2580</v>
      </c>
      <c r="B52" s="2899">
        <f t="shared" ref="B52:C54" si="180">B51/(1+N51)</f>
        <v>215.05376344086022</v>
      </c>
      <c r="C52" s="2899">
        <f t="shared" si="180"/>
        <v>185.0752177355503</v>
      </c>
      <c r="D52" s="2899">
        <f t="shared" si="164"/>
        <v>185.0752177355503</v>
      </c>
      <c r="E52" s="2899">
        <f t="shared" ref="E52:F54" si="181">E51/(1+P51)</f>
        <v>292.68767016725008</v>
      </c>
      <c r="F52" s="2899">
        <f t="shared" si="181"/>
        <v>166.88189132810174</v>
      </c>
      <c r="G52" s="3556">
        <v>2009</v>
      </c>
      <c r="H52" s="2925">
        <v>3</v>
      </c>
      <c r="I52" s="2925">
        <v>2.1</v>
      </c>
      <c r="J52" s="2925">
        <v>1.86</v>
      </c>
      <c r="K52" s="2925">
        <v>2.29</v>
      </c>
      <c r="L52" s="2926">
        <v>0.85</v>
      </c>
      <c r="N52" s="2901">
        <f t="shared" si="166"/>
        <v>2.1000000000000001E-2</v>
      </c>
      <c r="O52" s="2919">
        <f t="shared" si="166"/>
        <v>1.8600000000000002E-2</v>
      </c>
      <c r="P52" s="2919">
        <f t="shared" si="166"/>
        <v>2.29E-2</v>
      </c>
      <c r="Q52" s="2919">
        <f t="shared" si="166"/>
        <v>8.5000000000000006E-3</v>
      </c>
      <c r="R52" s="2902"/>
      <c r="S52" s="2901"/>
      <c r="T52" s="2887"/>
      <c r="U52" s="2887"/>
      <c r="V52" s="2887"/>
    </row>
    <row r="53" spans="1:26">
      <c r="A53" s="2898" t="s">
        <v>2581</v>
      </c>
      <c r="B53" s="2899">
        <f t="shared" si="180"/>
        <v>210.630522469011</v>
      </c>
      <c r="C53" s="2899">
        <f t="shared" si="180"/>
        <v>181.69567812247232</v>
      </c>
      <c r="D53" s="2899">
        <f t="shared" si="164"/>
        <v>181.69567812247232</v>
      </c>
      <c r="E53" s="2899">
        <f t="shared" si="181"/>
        <v>286.13517466736738</v>
      </c>
      <c r="F53" s="2899">
        <f t="shared" si="181"/>
        <v>165.47535084591149</v>
      </c>
      <c r="G53" s="3556">
        <v>2009</v>
      </c>
      <c r="H53" s="2913">
        <v>2</v>
      </c>
      <c r="I53" s="2913">
        <v>0.86</v>
      </c>
      <c r="J53" s="2913">
        <v>-1.1299999999999999</v>
      </c>
      <c r="K53" s="2913">
        <v>1.79</v>
      </c>
      <c r="L53" s="2914">
        <v>-2.0699999999999998</v>
      </c>
      <c r="N53" s="2901">
        <f t="shared" si="166"/>
        <v>8.6E-3</v>
      </c>
      <c r="O53" s="2919">
        <f t="shared" si="166"/>
        <v>-1.1299999999999999E-2</v>
      </c>
      <c r="P53" s="2919">
        <f t="shared" si="166"/>
        <v>1.7899999999999999E-2</v>
      </c>
      <c r="Q53" s="2919">
        <f t="shared" si="166"/>
        <v>-2.07E-2</v>
      </c>
      <c r="R53" s="2902"/>
      <c r="S53" s="2901"/>
      <c r="T53" s="2887"/>
      <c r="U53" s="2887"/>
      <c r="V53" s="2887"/>
    </row>
    <row r="54" spans="1:26">
      <c r="A54" s="2898" t="s">
        <v>2582</v>
      </c>
      <c r="B54" s="2899">
        <f t="shared" si="180"/>
        <v>208.83454537875372</v>
      </c>
      <c r="C54" s="2899">
        <f t="shared" si="180"/>
        <v>183.77230517090351</v>
      </c>
      <c r="D54" s="2899">
        <f t="shared" si="164"/>
        <v>183.77230517090351</v>
      </c>
      <c r="E54" s="2899">
        <f t="shared" si="181"/>
        <v>281.10342338870947</v>
      </c>
      <c r="F54" s="2899">
        <f t="shared" si="181"/>
        <v>168.97309388942256</v>
      </c>
      <c r="G54" s="3557">
        <v>2009</v>
      </c>
      <c r="H54" s="2900">
        <v>1</v>
      </c>
      <c r="I54" s="2900">
        <v>-2.64</v>
      </c>
      <c r="J54" s="2900">
        <v>-2.5299999999999998</v>
      </c>
      <c r="K54" s="2900">
        <v>-3.02</v>
      </c>
      <c r="L54" s="2906">
        <v>1.52</v>
      </c>
      <c r="N54" s="2903">
        <f t="shared" si="166"/>
        <v>-2.64E-2</v>
      </c>
      <c r="O54" s="2904">
        <f t="shared" si="166"/>
        <v>-2.53E-2</v>
      </c>
      <c r="P54" s="2904">
        <f t="shared" si="166"/>
        <v>-3.0200000000000001E-2</v>
      </c>
      <c r="Q54" s="2904">
        <f t="shared" si="166"/>
        <v>1.52E-2</v>
      </c>
      <c r="R54" s="2902"/>
      <c r="S54" s="2903">
        <f>B54/B55-1</f>
        <v>-2.4137638417038754E-2</v>
      </c>
      <c r="T54" s="2904">
        <f>C54/C55-1</f>
        <v>-2.248773845264096E-2</v>
      </c>
      <c r="U54" s="2904">
        <f>E54/E55-1</f>
        <v>-2.7323794502735366E-2</v>
      </c>
      <c r="V54" s="2904">
        <f>F54/F55-1</f>
        <v>1.7910204153148035E-2</v>
      </c>
      <c r="X54" s="2887"/>
      <c r="Y54" s="2887"/>
      <c r="Z54" s="2887"/>
    </row>
    <row r="55" spans="1:26" ht="13.5" thickBot="1">
      <c r="A55" s="2898" t="s">
        <v>2583</v>
      </c>
      <c r="B55" s="2948">
        <v>214</v>
      </c>
      <c r="C55" s="2948">
        <v>188</v>
      </c>
      <c r="D55" s="2948">
        <f t="shared" si="164"/>
        <v>188</v>
      </c>
      <c r="E55" s="2948">
        <v>289</v>
      </c>
      <c r="F55" s="2949">
        <v>166</v>
      </c>
      <c r="G55" s="3555">
        <v>2008</v>
      </c>
      <c r="H55" s="2922">
        <v>4</v>
      </c>
      <c r="I55" s="2922">
        <v>1.73</v>
      </c>
      <c r="J55" s="2922">
        <v>0.03</v>
      </c>
      <c r="K55" s="2922">
        <v>2.59</v>
      </c>
      <c r="L55" s="2923">
        <v>-1.66</v>
      </c>
      <c r="N55" s="2901">
        <f t="shared" si="166"/>
        <v>1.7299999999999999E-2</v>
      </c>
      <c r="O55" s="2887">
        <f t="shared" si="166"/>
        <v>2.9999999999999997E-4</v>
      </c>
      <c r="P55" s="2887">
        <f t="shared" si="166"/>
        <v>2.5899999999999999E-2</v>
      </c>
      <c r="Q55" s="2887">
        <f t="shared" si="166"/>
        <v>-1.66E-2</v>
      </c>
      <c r="R55" s="2902"/>
      <c r="S55" s="2911"/>
      <c r="T55" s="2912"/>
      <c r="U55" s="2912"/>
      <c r="V55" s="2912"/>
      <c r="X55" s="2912"/>
      <c r="Y55" s="2912"/>
      <c r="Z55" s="2912"/>
    </row>
    <row r="56" spans="1:26">
      <c r="A56" s="2898" t="s">
        <v>2584</v>
      </c>
      <c r="B56" s="2899">
        <f t="shared" ref="B56:C58" si="182">B55/(1+N55)</f>
        <v>210.36075887152265</v>
      </c>
      <c r="C56" s="2899">
        <f t="shared" si="182"/>
        <v>187.94361691492554</v>
      </c>
      <c r="D56" s="2899">
        <f t="shared" si="164"/>
        <v>187.94361691492554</v>
      </c>
      <c r="E56" s="2899">
        <f t="shared" ref="E56:F58" si="183">E55/(1+P55)</f>
        <v>281.70386977288234</v>
      </c>
      <c r="F56" s="2899">
        <f t="shared" si="183"/>
        <v>168.80211511083994</v>
      </c>
      <c r="G56" s="3556">
        <v>2008</v>
      </c>
      <c r="H56" s="2925">
        <v>3</v>
      </c>
      <c r="I56" s="2925">
        <v>1.96</v>
      </c>
      <c r="J56" s="2925">
        <v>2.36</v>
      </c>
      <c r="K56" s="2925">
        <v>1.82</v>
      </c>
      <c r="L56" s="2926">
        <v>2.2200000000000002</v>
      </c>
      <c r="N56" s="2901">
        <f t="shared" si="166"/>
        <v>1.9599999999999999E-2</v>
      </c>
      <c r="O56" s="2887">
        <f t="shared" si="166"/>
        <v>2.3599999999999999E-2</v>
      </c>
      <c r="P56" s="2887">
        <f t="shared" si="166"/>
        <v>1.8200000000000001E-2</v>
      </c>
      <c r="Q56" s="2887">
        <f t="shared" si="166"/>
        <v>2.2200000000000001E-2</v>
      </c>
      <c r="R56" s="2902"/>
      <c r="S56" s="2901"/>
      <c r="T56" s="2887"/>
      <c r="U56" s="2887"/>
      <c r="V56" s="2887"/>
    </row>
    <row r="57" spans="1:26">
      <c r="A57" s="2898" t="s">
        <v>2585</v>
      </c>
      <c r="B57" s="2899">
        <f t="shared" si="182"/>
        <v>206.31694671589116</v>
      </c>
      <c r="C57" s="2899">
        <f t="shared" si="182"/>
        <v>183.61041121036101</v>
      </c>
      <c r="D57" s="2899">
        <f t="shared" si="164"/>
        <v>183.61041121036101</v>
      </c>
      <c r="E57" s="2899">
        <f t="shared" si="183"/>
        <v>276.66850301795557</v>
      </c>
      <c r="F57" s="2899">
        <f t="shared" si="183"/>
        <v>165.1360938278614</v>
      </c>
      <c r="G57" s="3556">
        <v>2008</v>
      </c>
      <c r="H57" s="2913">
        <v>2</v>
      </c>
      <c r="I57" s="2913">
        <v>4.93</v>
      </c>
      <c r="J57" s="2913">
        <v>7.38</v>
      </c>
      <c r="K57" s="2913">
        <v>3.98</v>
      </c>
      <c r="L57" s="2914">
        <v>6.86</v>
      </c>
      <c r="N57" s="2901">
        <f t="shared" si="166"/>
        <v>4.9299999999999997E-2</v>
      </c>
      <c r="O57" s="2887">
        <f t="shared" si="166"/>
        <v>7.3800000000000004E-2</v>
      </c>
      <c r="P57" s="2887">
        <f t="shared" si="166"/>
        <v>3.9800000000000002E-2</v>
      </c>
      <c r="Q57" s="2887">
        <f t="shared" si="166"/>
        <v>6.8600000000000008E-2</v>
      </c>
      <c r="R57" s="2902"/>
      <c r="S57" s="2901"/>
      <c r="T57" s="2887"/>
      <c r="U57" s="2887"/>
      <c r="V57" s="2887"/>
    </row>
    <row r="58" spans="1:26" s="2954" customFormat="1" ht="13.5" thickBot="1">
      <c r="A58" s="2898" t="s">
        <v>2586</v>
      </c>
      <c r="B58" s="2951">
        <f t="shared" si="182"/>
        <v>196.62341248059772</v>
      </c>
      <c r="C58" s="2951">
        <f t="shared" si="182"/>
        <v>170.99125648199012</v>
      </c>
      <c r="D58" s="2951">
        <f t="shared" si="164"/>
        <v>170.99125648199012</v>
      </c>
      <c r="E58" s="2951">
        <f t="shared" si="183"/>
        <v>266.07857570490052</v>
      </c>
      <c r="F58" s="2951">
        <f t="shared" si="183"/>
        <v>154.53499328828505</v>
      </c>
      <c r="G58" s="3557">
        <v>2008</v>
      </c>
      <c r="H58" s="2952">
        <v>1</v>
      </c>
      <c r="I58" s="2952">
        <v>4.1399999999999997</v>
      </c>
      <c r="J58" s="2952">
        <v>3.45</v>
      </c>
      <c r="K58" s="2952">
        <v>4.95</v>
      </c>
      <c r="L58" s="2953">
        <v>4.82</v>
      </c>
      <c r="N58" s="2955">
        <f t="shared" si="166"/>
        <v>4.1399999999999999E-2</v>
      </c>
      <c r="O58" s="2956">
        <f t="shared" si="166"/>
        <v>3.4500000000000003E-2</v>
      </c>
      <c r="P58" s="2956">
        <f t="shared" si="166"/>
        <v>4.9500000000000002E-2</v>
      </c>
      <c r="Q58" s="2956">
        <f t="shared" si="166"/>
        <v>4.82E-2</v>
      </c>
      <c r="R58" s="2957"/>
      <c r="S58" s="2955">
        <f>B58/B59-1</f>
        <v>4.5869215322328349E-2</v>
      </c>
      <c r="T58" s="2956">
        <f>C58/C59-1</f>
        <v>3.6310645345394743E-2</v>
      </c>
      <c r="U58" s="2956">
        <f>E58/E59-1</f>
        <v>4.7553447657088688E-2</v>
      </c>
      <c r="V58" s="2956">
        <f>F58/F59-1</f>
        <v>4.4155360055980086E-2</v>
      </c>
      <c r="X58" s="2956"/>
      <c r="Y58" s="2956"/>
      <c r="Z58" s="2956"/>
    </row>
    <row r="59" spans="1:26" ht="13.5" thickBot="1">
      <c r="A59" s="2898" t="s">
        <v>2587</v>
      </c>
      <c r="B59" s="2920">
        <v>188</v>
      </c>
      <c r="C59" s="2920">
        <v>165</v>
      </c>
      <c r="D59" s="2920">
        <f t="shared" si="164"/>
        <v>165</v>
      </c>
      <c r="E59" s="2920">
        <v>254</v>
      </c>
      <c r="F59" s="2921">
        <v>148</v>
      </c>
      <c r="G59" s="3555">
        <v>2007</v>
      </c>
      <c r="H59" s="2958">
        <v>4</v>
      </c>
      <c r="I59" s="2958">
        <v>5.51</v>
      </c>
      <c r="J59" s="2958">
        <v>4.8899999999999997</v>
      </c>
      <c r="K59" s="2958">
        <v>6.43</v>
      </c>
      <c r="L59" s="2959">
        <v>5.36</v>
      </c>
      <c r="N59" s="2960">
        <f t="shared" ref="N59:O62" si="184">B59/B60-1</f>
        <v>4.1339718365245526E-2</v>
      </c>
      <c r="O59" s="2961">
        <f t="shared" si="184"/>
        <v>4.0324492593776018E-2</v>
      </c>
      <c r="P59" s="2961">
        <f t="shared" ref="P59:Q62" si="185">E59/E60-1</f>
        <v>6.1625555347990968E-2</v>
      </c>
      <c r="Q59" s="2961">
        <f t="shared" si="185"/>
        <v>4.6757569250590603E-2</v>
      </c>
      <c r="R59" s="2902"/>
      <c r="S59" s="2911"/>
      <c r="T59" s="2912"/>
      <c r="U59" s="2912"/>
      <c r="V59" s="2912"/>
      <c r="X59" s="2912"/>
      <c r="Y59" s="2912"/>
      <c r="Z59" s="2912"/>
    </row>
    <row r="60" spans="1:26">
      <c r="A60" s="2898" t="s">
        <v>2588</v>
      </c>
      <c r="B60" s="2899">
        <f t="shared" ref="B60:C62" si="186">B61+(B$59-B$63)*I60/SUM(I$59:I$62)</f>
        <v>180.5366651097618</v>
      </c>
      <c r="C60" s="2899">
        <f t="shared" si="186"/>
        <v>158.60435967302453</v>
      </c>
      <c r="D60" s="2899">
        <f t="shared" si="164"/>
        <v>158.60435967302453</v>
      </c>
      <c r="E60" s="2899">
        <f t="shared" ref="E60:F62" si="187">E61+(E$59-E$63)*K60/SUM(K$59:K$62)</f>
        <v>239.25573260785075</v>
      </c>
      <c r="F60" s="2899">
        <f t="shared" si="187"/>
        <v>141.38899430740037</v>
      </c>
      <c r="G60" s="3556">
        <v>2007</v>
      </c>
      <c r="H60" s="2925">
        <v>3</v>
      </c>
      <c r="I60" s="2925">
        <v>8.65</v>
      </c>
      <c r="J60" s="2925">
        <v>8.06</v>
      </c>
      <c r="K60" s="2925">
        <v>9.94</v>
      </c>
      <c r="L60" s="2926">
        <v>5.8</v>
      </c>
      <c r="N60" s="2960">
        <f t="shared" si="184"/>
        <v>6.940217571740015E-2</v>
      </c>
      <c r="O60" s="2961">
        <f t="shared" si="184"/>
        <v>7.1197482471153428E-2</v>
      </c>
      <c r="P60" s="2961">
        <f t="shared" si="185"/>
        <v>0.10529679922579582</v>
      </c>
      <c r="Q60" s="2961">
        <f t="shared" si="185"/>
        <v>5.3292245059512133E-2</v>
      </c>
      <c r="R60" s="2902"/>
      <c r="S60" s="2901"/>
      <c r="T60" s="2887"/>
      <c r="U60" s="2887"/>
      <c r="V60" s="2887"/>
      <c r="X60" s="2962"/>
      <c r="Y60" s="2962"/>
      <c r="Z60" s="2962"/>
    </row>
    <row r="61" spans="1:26">
      <c r="A61" s="2898" t="s">
        <v>2589</v>
      </c>
      <c r="B61" s="2899">
        <f t="shared" si="186"/>
        <v>168.82017748715555</v>
      </c>
      <c r="C61" s="2899">
        <f t="shared" si="186"/>
        <v>148.06267029972753</v>
      </c>
      <c r="D61" s="2899">
        <f t="shared" si="164"/>
        <v>148.06267029972753</v>
      </c>
      <c r="E61" s="2899">
        <f t="shared" si="187"/>
        <v>216.46288379323747</v>
      </c>
      <c r="F61" s="2899">
        <f t="shared" si="187"/>
        <v>134.23529411764704</v>
      </c>
      <c r="G61" s="3556">
        <v>2007</v>
      </c>
      <c r="H61" s="2913">
        <v>2</v>
      </c>
      <c r="I61" s="2913">
        <v>3.67</v>
      </c>
      <c r="J61" s="2913">
        <v>2.3199999999999998</v>
      </c>
      <c r="K61" s="2913">
        <v>5.0199999999999996</v>
      </c>
      <c r="L61" s="2914">
        <v>6.71</v>
      </c>
      <c r="N61" s="2960">
        <f t="shared" si="184"/>
        <v>3.0339138143848032E-2</v>
      </c>
      <c r="O61" s="2961">
        <f t="shared" si="184"/>
        <v>2.0922341588790472E-2</v>
      </c>
      <c r="P61" s="2961">
        <f t="shared" si="185"/>
        <v>5.6164796592717003E-2</v>
      </c>
      <c r="Q61" s="2961">
        <f t="shared" si="185"/>
        <v>6.5704536723887319E-2</v>
      </c>
      <c r="R61" s="2902"/>
      <c r="S61" s="2901"/>
      <c r="T61" s="2887"/>
      <c r="U61" s="2887"/>
      <c r="V61" s="2887"/>
      <c r="X61" s="2962"/>
      <c r="Y61" s="2962"/>
      <c r="Z61" s="2962"/>
    </row>
    <row r="62" spans="1:26">
      <c r="A62" s="2898" t="s">
        <v>2590</v>
      </c>
      <c r="B62" s="2899">
        <f t="shared" si="186"/>
        <v>163.84913591779542</v>
      </c>
      <c r="C62" s="2899">
        <f t="shared" si="186"/>
        <v>145.0283378746594</v>
      </c>
      <c r="D62" s="2899">
        <f t="shared" si="164"/>
        <v>145.0283378746594</v>
      </c>
      <c r="E62" s="2899">
        <f t="shared" si="187"/>
        <v>204.95180722891567</v>
      </c>
      <c r="F62" s="2899">
        <f t="shared" si="187"/>
        <v>125.95920303605313</v>
      </c>
      <c r="G62" s="3557">
        <v>2007</v>
      </c>
      <c r="H62" s="2900">
        <v>1</v>
      </c>
      <c r="I62" s="2900">
        <v>3.58</v>
      </c>
      <c r="J62" s="2900">
        <v>3.08</v>
      </c>
      <c r="K62" s="2900">
        <v>4.34</v>
      </c>
      <c r="L62" s="2906">
        <v>3.21</v>
      </c>
      <c r="N62" s="2963">
        <f t="shared" si="184"/>
        <v>3.0497710174814063E-2</v>
      </c>
      <c r="O62" s="2964">
        <f t="shared" si="184"/>
        <v>2.8569772160704998E-2</v>
      </c>
      <c r="P62" s="2964">
        <f t="shared" si="185"/>
        <v>5.1034908866234296E-2</v>
      </c>
      <c r="Q62" s="2964">
        <f t="shared" si="185"/>
        <v>3.245248390207478E-2</v>
      </c>
      <c r="R62" s="2902"/>
      <c r="S62" s="2903">
        <f>B62/B63-1</f>
        <v>3.0497710174814063E-2</v>
      </c>
      <c r="T62" s="2904">
        <f>C62/C63-1</f>
        <v>2.8569772160704998E-2</v>
      </c>
      <c r="U62" s="2904">
        <f>E62/E63-1</f>
        <v>5.1034908866234296E-2</v>
      </c>
      <c r="V62" s="2904">
        <f>F62/F63-1</f>
        <v>3.245248390207478E-2</v>
      </c>
      <c r="X62" s="2962"/>
      <c r="Y62" s="2962"/>
      <c r="Z62" s="2962"/>
    </row>
    <row r="63" spans="1:26" ht="13.5" thickBot="1">
      <c r="A63" s="2898" t="s">
        <v>2591</v>
      </c>
      <c r="B63" s="2927">
        <v>159</v>
      </c>
      <c r="C63" s="2927">
        <v>141</v>
      </c>
      <c r="D63" s="2927">
        <f t="shared" si="164"/>
        <v>141</v>
      </c>
      <c r="E63" s="2927">
        <v>195</v>
      </c>
      <c r="F63" s="2928">
        <v>122</v>
      </c>
      <c r="G63" s="3555">
        <v>2006</v>
      </c>
      <c r="H63" s="2922">
        <v>4</v>
      </c>
      <c r="I63" s="2922">
        <v>3.79</v>
      </c>
      <c r="J63" s="2922">
        <v>2.21</v>
      </c>
      <c r="K63" s="2922">
        <v>5.65</v>
      </c>
      <c r="L63" s="2923">
        <v>5.41</v>
      </c>
      <c r="N63" s="2960">
        <f t="shared" ref="N63:O66" si="188">I63/SUM(I$63:I$66)*(B$63/B$67-1)</f>
        <v>7.245466462748526E-2</v>
      </c>
      <c r="O63" s="2961">
        <f t="shared" si="188"/>
        <v>2.3237230038062766E-2</v>
      </c>
      <c r="P63" s="2961">
        <f t="shared" ref="P63:Q66" si="189">K63/SUM(K$63:K$66)*(E$63/E$67-1)</f>
        <v>0.16146893866323722</v>
      </c>
      <c r="Q63" s="2961">
        <f t="shared" si="189"/>
        <v>5.0755230321793784E-2</v>
      </c>
      <c r="R63" s="2902"/>
      <c r="S63" s="2911"/>
      <c r="T63" s="2912"/>
      <c r="U63" s="2912"/>
      <c r="V63" s="2912"/>
      <c r="X63" s="2962"/>
      <c r="Y63" s="2962"/>
      <c r="Z63" s="2962"/>
    </row>
    <row r="64" spans="1:26">
      <c r="A64" s="2898" t="s">
        <v>2592</v>
      </c>
      <c r="B64" s="2899">
        <f t="shared" ref="B64:C66" si="190">B65+(B$63-B$67)*I64/SUM(I$63:I$66)</f>
        <v>149.00125628140702</v>
      </c>
      <c r="C64" s="2899">
        <f t="shared" si="190"/>
        <v>137.95592286501378</v>
      </c>
      <c r="D64" s="2899">
        <f t="shared" si="164"/>
        <v>137.95592286501378</v>
      </c>
      <c r="E64" s="2899">
        <f t="shared" ref="E64:F66" si="191">E65+(E$63-E$67)*K64/SUM(K$63:K$66)</f>
        <v>169.97231450719823</v>
      </c>
      <c r="F64" s="2899">
        <f t="shared" si="191"/>
        <v>116.21390374331551</v>
      </c>
      <c r="G64" s="3556">
        <v>2006</v>
      </c>
      <c r="H64" s="2925">
        <v>3</v>
      </c>
      <c r="I64" s="2925">
        <v>0.92</v>
      </c>
      <c r="J64" s="2925">
        <v>1.08</v>
      </c>
      <c r="K64" s="2925">
        <v>0.73</v>
      </c>
      <c r="L64" s="2926">
        <v>1.08</v>
      </c>
      <c r="N64" s="2960">
        <f t="shared" si="188"/>
        <v>1.7587939698492462E-2</v>
      </c>
      <c r="O64" s="2961">
        <f t="shared" si="188"/>
        <v>1.1355750425840628E-2</v>
      </c>
      <c r="P64" s="2961">
        <f t="shared" si="189"/>
        <v>2.0862358446754544E-2</v>
      </c>
      <c r="Q64" s="2961">
        <f t="shared" si="189"/>
        <v>1.0132282578103011E-2</v>
      </c>
      <c r="R64" s="2902"/>
      <c r="S64" s="2901"/>
      <c r="T64" s="2887"/>
      <c r="U64" s="2887"/>
      <c r="V64" s="2887"/>
      <c r="X64" s="2962"/>
      <c r="Y64" s="2962"/>
      <c r="Z64" s="2962"/>
    </row>
    <row r="65" spans="1:26">
      <c r="A65" s="2898" t="s">
        <v>2593</v>
      </c>
      <c r="B65" s="2899">
        <f t="shared" si="190"/>
        <v>146.57412060301507</v>
      </c>
      <c r="C65" s="2899">
        <f t="shared" si="190"/>
        <v>136.46831955922866</v>
      </c>
      <c r="D65" s="2899">
        <f t="shared" si="164"/>
        <v>136.46831955922866</v>
      </c>
      <c r="E65" s="2899">
        <f t="shared" si="191"/>
        <v>166.73864894795128</v>
      </c>
      <c r="F65" s="2899">
        <f t="shared" si="191"/>
        <v>115.05882352941177</v>
      </c>
      <c r="G65" s="3556">
        <v>2006</v>
      </c>
      <c r="H65" s="2913">
        <v>2</v>
      </c>
      <c r="I65" s="2913">
        <v>0.96</v>
      </c>
      <c r="J65" s="2913">
        <v>0.25</v>
      </c>
      <c r="K65" s="2913">
        <v>1.9</v>
      </c>
      <c r="L65" s="2914">
        <v>0.95</v>
      </c>
      <c r="N65" s="2960">
        <f t="shared" si="188"/>
        <v>1.8352632728861701E-2</v>
      </c>
      <c r="O65" s="2961">
        <f t="shared" si="188"/>
        <v>2.6286459319075526E-3</v>
      </c>
      <c r="P65" s="2961">
        <f t="shared" si="189"/>
        <v>5.4299289107991269E-2</v>
      </c>
      <c r="Q65" s="2961">
        <f t="shared" si="189"/>
        <v>8.9126559714794995E-3</v>
      </c>
      <c r="R65" s="2902"/>
      <c r="S65" s="2901"/>
      <c r="T65" s="2887"/>
      <c r="U65" s="2887"/>
      <c r="V65" s="2887"/>
      <c r="X65" s="2962"/>
      <c r="Y65" s="2962"/>
      <c r="Z65" s="2962"/>
    </row>
    <row r="66" spans="1:26">
      <c r="A66" s="2898" t="s">
        <v>2594</v>
      </c>
      <c r="B66" s="2899">
        <f t="shared" si="190"/>
        <v>144.04145728643215</v>
      </c>
      <c r="C66" s="2899">
        <f t="shared" si="190"/>
        <v>136.12396694214877</v>
      </c>
      <c r="D66" s="2899">
        <f t="shared" si="164"/>
        <v>136.12396694214877</v>
      </c>
      <c r="E66" s="2899">
        <f t="shared" si="191"/>
        <v>158.32225913621264</v>
      </c>
      <c r="F66" s="2899">
        <f t="shared" si="191"/>
        <v>114.04278074866311</v>
      </c>
      <c r="G66" s="3557">
        <v>2006</v>
      </c>
      <c r="H66" s="2900">
        <v>1</v>
      </c>
      <c r="I66" s="2900">
        <v>2.29</v>
      </c>
      <c r="J66" s="2900">
        <v>3.72</v>
      </c>
      <c r="K66" s="2900">
        <v>0.75</v>
      </c>
      <c r="L66" s="2906">
        <v>0.04</v>
      </c>
      <c r="N66" s="2963">
        <f t="shared" si="188"/>
        <v>4.3778675988638847E-2</v>
      </c>
      <c r="O66" s="2964">
        <f t="shared" si="188"/>
        <v>3.9114251466784385E-2</v>
      </c>
      <c r="P66" s="2964">
        <f t="shared" si="189"/>
        <v>2.1433929911049188E-2</v>
      </c>
      <c r="Q66" s="2964">
        <f t="shared" si="189"/>
        <v>3.7526972511492629E-4</v>
      </c>
      <c r="R66" s="2902"/>
      <c r="S66" s="2903">
        <f>B66/B67-1</f>
        <v>4.3778675988638716E-2</v>
      </c>
      <c r="T66" s="2904">
        <f>C66/C67-1</f>
        <v>3.91142514667846E-2</v>
      </c>
      <c r="U66" s="2904">
        <f>E66/E67-1</f>
        <v>2.143392991104931E-2</v>
      </c>
      <c r="V66" s="2904">
        <f>F66/F67-1</f>
        <v>3.7526972511492396E-4</v>
      </c>
      <c r="X66" s="2962"/>
      <c r="Y66" s="2962"/>
      <c r="Z66" s="2962"/>
    </row>
    <row r="67" spans="1:26" ht="13.5" thickBot="1">
      <c r="A67" s="2898" t="s">
        <v>2595</v>
      </c>
      <c r="B67" s="2927">
        <v>138</v>
      </c>
      <c r="C67" s="2927">
        <v>131</v>
      </c>
      <c r="D67" s="2927">
        <f t="shared" si="164"/>
        <v>131</v>
      </c>
      <c r="E67" s="2927">
        <v>155</v>
      </c>
      <c r="F67" s="2928">
        <v>114</v>
      </c>
      <c r="G67" s="3555">
        <v>2005</v>
      </c>
      <c r="H67" s="2922">
        <v>4</v>
      </c>
      <c r="I67" s="2922">
        <v>3.29</v>
      </c>
      <c r="J67" s="2922">
        <v>1.44</v>
      </c>
      <c r="K67" s="2922">
        <v>0.66</v>
      </c>
      <c r="L67" s="2923">
        <v>7.78</v>
      </c>
      <c r="N67" s="2960">
        <f t="shared" ref="N67:O70" si="192">I67/SUM(I$67:I$70)*(B$67/B$71-1)</f>
        <v>9.9404603216919935E-2</v>
      </c>
      <c r="O67" s="2961">
        <f t="shared" si="192"/>
        <v>4.7636550760861554E-2</v>
      </c>
      <c r="P67" s="2961">
        <f t="shared" ref="P67:Q70" si="193">K67/SUM(K$67:K$70)*(E$67/E$71-1)</f>
        <v>8.3756345177664976E-2</v>
      </c>
      <c r="Q67" s="2961">
        <f t="shared" si="193"/>
        <v>5.2148766661559584E-2</v>
      </c>
      <c r="R67" s="2902"/>
      <c r="S67" s="2911"/>
      <c r="T67" s="2912"/>
      <c r="U67" s="2912"/>
      <c r="V67" s="2912"/>
      <c r="X67" s="2962"/>
      <c r="Y67" s="2962"/>
      <c r="Z67" s="2962"/>
    </row>
    <row r="68" spans="1:26">
      <c r="A68" s="2898" t="s">
        <v>2596</v>
      </c>
      <c r="B68" s="2899">
        <f t="shared" ref="B68:C70" si="194">B69+(B$67-B$71)*I68/SUM(I$67:I$70)</f>
        <v>125.9720430107527</v>
      </c>
      <c r="C68" s="2899">
        <f t="shared" si="194"/>
        <v>125.1883408071749</v>
      </c>
      <c r="D68" s="2899">
        <f t="shared" si="164"/>
        <v>125.1883408071749</v>
      </c>
      <c r="E68" s="2899">
        <f t="shared" ref="E68:F70" si="195">E69+(E$67-E$71)*K68/SUM(K$67:K$70)</f>
        <v>144.61421319796952</v>
      </c>
      <c r="F68" s="2899">
        <f t="shared" si="195"/>
        <v>108.42008196721311</v>
      </c>
      <c r="G68" s="3556">
        <v>2005</v>
      </c>
      <c r="H68" s="2925">
        <v>3</v>
      </c>
      <c r="I68" s="2925">
        <v>0.46</v>
      </c>
      <c r="J68" s="2925">
        <v>0.32</v>
      </c>
      <c r="K68" s="2925">
        <v>0.42</v>
      </c>
      <c r="L68" s="2926">
        <v>0.64</v>
      </c>
      <c r="N68" s="2960">
        <f t="shared" si="192"/>
        <v>1.3898515951301874E-2</v>
      </c>
      <c r="O68" s="2961">
        <f t="shared" si="192"/>
        <v>1.0585900169080346E-2</v>
      </c>
      <c r="P68" s="2961">
        <f t="shared" si="193"/>
        <v>5.3299492385786795E-2</v>
      </c>
      <c r="Q68" s="2961">
        <f t="shared" si="193"/>
        <v>4.2898728359123568E-3</v>
      </c>
      <c r="R68" s="2902"/>
      <c r="S68" s="2901"/>
      <c r="T68" s="2887"/>
      <c r="U68" s="2887"/>
      <c r="V68" s="2887"/>
      <c r="X68" s="2962"/>
      <c r="Y68" s="2962"/>
      <c r="Z68" s="2962"/>
    </row>
    <row r="69" spans="1:26">
      <c r="A69" s="2898" t="s">
        <v>2597</v>
      </c>
      <c r="B69" s="2899">
        <f t="shared" si="194"/>
        <v>124.29032258064517</v>
      </c>
      <c r="C69" s="2899">
        <f t="shared" si="194"/>
        <v>123.8968609865471</v>
      </c>
      <c r="D69" s="2899">
        <f t="shared" si="164"/>
        <v>123.8968609865471</v>
      </c>
      <c r="E69" s="2899">
        <f t="shared" si="195"/>
        <v>138.00507614213197</v>
      </c>
      <c r="F69" s="2899">
        <f t="shared" si="195"/>
        <v>107.96106557377048</v>
      </c>
      <c r="G69" s="3556">
        <v>2005</v>
      </c>
      <c r="H69" s="2913">
        <v>2</v>
      </c>
      <c r="I69" s="2913">
        <v>0.47</v>
      </c>
      <c r="J69" s="2913">
        <v>0.1</v>
      </c>
      <c r="K69" s="2913">
        <v>0.52</v>
      </c>
      <c r="L69" s="2914">
        <v>0.79</v>
      </c>
      <c r="N69" s="2960">
        <f t="shared" si="192"/>
        <v>1.420065760241713E-2</v>
      </c>
      <c r="O69" s="2961">
        <f t="shared" si="192"/>
        <v>3.3080938028376083E-3</v>
      </c>
      <c r="P69" s="2961">
        <f t="shared" si="193"/>
        <v>6.598984771573603E-2</v>
      </c>
      <c r="Q69" s="2961">
        <f t="shared" si="193"/>
        <v>5.2953117818293153E-3</v>
      </c>
      <c r="R69" s="2902"/>
      <c r="S69" s="2901"/>
      <c r="T69" s="2887"/>
      <c r="U69" s="2887"/>
      <c r="V69" s="2887"/>
      <c r="X69" s="2962"/>
      <c r="Y69" s="2962"/>
      <c r="Z69" s="2962"/>
    </row>
    <row r="70" spans="1:26">
      <c r="A70" s="2898" t="s">
        <v>2598</v>
      </c>
      <c r="B70" s="2899">
        <f t="shared" si="194"/>
        <v>122.57204301075269</v>
      </c>
      <c r="C70" s="2899">
        <f t="shared" si="194"/>
        <v>123.4932735426009</v>
      </c>
      <c r="D70" s="2899">
        <f t="shared" si="164"/>
        <v>123.4932735426009</v>
      </c>
      <c r="E70" s="2899">
        <f t="shared" si="195"/>
        <v>129.82233502538071</v>
      </c>
      <c r="F70" s="2899">
        <f t="shared" si="195"/>
        <v>107.39446721311475</v>
      </c>
      <c r="G70" s="3557">
        <v>2005</v>
      </c>
      <c r="H70" s="2900">
        <v>1</v>
      </c>
      <c r="I70" s="2900">
        <v>0.43</v>
      </c>
      <c r="J70" s="2900">
        <v>0.37</v>
      </c>
      <c r="K70" s="2900">
        <v>0.37</v>
      </c>
      <c r="L70" s="2906">
        <v>0.55000000000000004</v>
      </c>
      <c r="N70" s="2963">
        <f t="shared" si="192"/>
        <v>1.2992090997956099E-2</v>
      </c>
      <c r="O70" s="2964">
        <f t="shared" si="192"/>
        <v>1.2239947070499151E-2</v>
      </c>
      <c r="P70" s="2964">
        <f t="shared" si="193"/>
        <v>4.6954314720812178E-2</v>
      </c>
      <c r="Q70" s="2964">
        <f t="shared" si="193"/>
        <v>3.6866094683621815E-3</v>
      </c>
      <c r="R70" s="2902"/>
      <c r="S70" s="2903">
        <f>B70/B71-1</f>
        <v>1.2992090997956174E-2</v>
      </c>
      <c r="T70" s="2904">
        <f>C70/C71-1</f>
        <v>1.2239947070499246E-2</v>
      </c>
      <c r="U70" s="2904">
        <f>E70/E71-1</f>
        <v>4.695431472081224E-2</v>
      </c>
      <c r="V70" s="2904">
        <f>F70/F71-1</f>
        <v>3.6866094683620787E-3</v>
      </c>
      <c r="X70" s="2962"/>
      <c r="Y70" s="2962"/>
      <c r="Z70" s="2962"/>
    </row>
    <row r="71" spans="1:26" ht="13.5" thickBot="1">
      <c r="A71" s="2898" t="s">
        <v>2599</v>
      </c>
      <c r="B71" s="2948">
        <v>121</v>
      </c>
      <c r="C71" s="2948">
        <v>122</v>
      </c>
      <c r="D71" s="2948">
        <f t="shared" si="164"/>
        <v>122</v>
      </c>
      <c r="E71" s="2948">
        <v>124</v>
      </c>
      <c r="F71" s="2949">
        <v>107</v>
      </c>
      <c r="G71" s="3555">
        <v>2004</v>
      </c>
      <c r="H71" s="2922">
        <v>4</v>
      </c>
      <c r="I71" s="2922">
        <v>0.33</v>
      </c>
      <c r="J71" s="2922">
        <v>0.5</v>
      </c>
      <c r="K71" s="2922">
        <v>0.5</v>
      </c>
      <c r="L71" s="2923">
        <v>0</v>
      </c>
      <c r="N71" s="2960">
        <f t="shared" ref="N71:O74" si="196">I71/SUM(I$71:I$74)*(B$71/B$75-1)</f>
        <v>1.3391770148526898E-2</v>
      </c>
      <c r="O71" s="2961">
        <f t="shared" si="196"/>
        <v>1.063264221158958E-2</v>
      </c>
      <c r="P71" s="2961">
        <f t="shared" ref="P71:Q74" si="197">K71/SUM(K$71:K$74)*(E$71/E$75-1)</f>
        <v>2.2244466688911134E-2</v>
      </c>
      <c r="Q71" s="2961">
        <f t="shared" si="197"/>
        <v>0</v>
      </c>
      <c r="R71" s="2902"/>
      <c r="S71" s="2911"/>
      <c r="T71" s="2912"/>
      <c r="U71" s="2912"/>
      <c r="V71" s="2912"/>
      <c r="X71" s="2962"/>
      <c r="Y71" s="2962"/>
      <c r="Z71" s="2962"/>
    </row>
    <row r="72" spans="1:26">
      <c r="A72" s="2898" t="s">
        <v>2600</v>
      </c>
      <c r="B72" s="2899">
        <f t="shared" ref="B72:C74" si="198">B73+(B$71-B$75)*I72/SUM(I$71:I$74)</f>
        <v>119.51351351351352</v>
      </c>
      <c r="C72" s="2899">
        <f t="shared" si="198"/>
        <v>120.7878787878788</v>
      </c>
      <c r="D72" s="2899">
        <f t="shared" si="164"/>
        <v>120.7878787878788</v>
      </c>
      <c r="E72" s="2899">
        <f t="shared" ref="E72:F74" si="199">E73+(E$71-E$75)*K72/SUM(K$71:K$74)</f>
        <v>121.5975975975976</v>
      </c>
      <c r="F72" s="2899">
        <f t="shared" si="199"/>
        <v>107</v>
      </c>
      <c r="G72" s="3556">
        <v>2004</v>
      </c>
      <c r="H72" s="2925">
        <v>3</v>
      </c>
      <c r="I72" s="2925">
        <v>0.56000000000000005</v>
      </c>
      <c r="J72" s="2925">
        <v>0.8</v>
      </c>
      <c r="K72" s="2925">
        <v>0.83</v>
      </c>
      <c r="L72" s="2926">
        <v>0.06</v>
      </c>
      <c r="N72" s="2960">
        <f t="shared" si="196"/>
        <v>2.2725428130833527E-2</v>
      </c>
      <c r="O72" s="2961">
        <f t="shared" si="196"/>
        <v>1.7012227538543329E-2</v>
      </c>
      <c r="P72" s="2961">
        <f t="shared" si="197"/>
        <v>3.6925814703592477E-2</v>
      </c>
      <c r="Q72" s="2961">
        <f t="shared" si="197"/>
        <v>2.8846153846153744E-2</v>
      </c>
      <c r="R72" s="2902"/>
      <c r="S72" s="2901"/>
      <c r="T72" s="2887"/>
      <c r="U72" s="2887"/>
      <c r="V72" s="2887"/>
      <c r="X72" s="2962"/>
      <c r="Y72" s="2962"/>
      <c r="Z72" s="2962"/>
    </row>
    <row r="73" spans="1:26">
      <c r="A73" s="2898" t="s">
        <v>2601</v>
      </c>
      <c r="B73" s="2899">
        <f t="shared" si="198"/>
        <v>116.99099099099099</v>
      </c>
      <c r="C73" s="2899">
        <f t="shared" si="198"/>
        <v>118.84848484848486</v>
      </c>
      <c r="D73" s="2899">
        <f t="shared" si="164"/>
        <v>118.84848484848486</v>
      </c>
      <c r="E73" s="2899">
        <f t="shared" si="199"/>
        <v>117.60960960960961</v>
      </c>
      <c r="F73" s="2899">
        <f t="shared" si="199"/>
        <v>104</v>
      </c>
      <c r="G73" s="3556">
        <v>2004</v>
      </c>
      <c r="H73" s="2913">
        <v>2</v>
      </c>
      <c r="I73" s="2913">
        <v>1</v>
      </c>
      <c r="J73" s="2913">
        <v>1.5</v>
      </c>
      <c r="K73" s="2913">
        <v>1.5</v>
      </c>
      <c r="L73" s="2914">
        <v>0</v>
      </c>
      <c r="N73" s="2960">
        <f t="shared" si="196"/>
        <v>4.0581121662202721E-2</v>
      </c>
      <c r="O73" s="2961">
        <f t="shared" si="196"/>
        <v>3.1897926634768738E-2</v>
      </c>
      <c r="P73" s="2961">
        <f t="shared" si="197"/>
        <v>6.6733400066733395E-2</v>
      </c>
      <c r="Q73" s="2961">
        <f t="shared" si="197"/>
        <v>0</v>
      </c>
      <c r="R73" s="2902"/>
      <c r="S73" s="2901"/>
      <c r="T73" s="2887"/>
      <c r="U73" s="2887"/>
      <c r="V73" s="2887"/>
      <c r="X73" s="2962"/>
      <c r="Y73" s="2962"/>
      <c r="Z73" s="2962"/>
    </row>
    <row r="74" spans="1:26" s="2954" customFormat="1" ht="13.5" thickBot="1">
      <c r="A74" s="2898" t="s">
        <v>2602</v>
      </c>
      <c r="B74" s="2951">
        <f t="shared" si="198"/>
        <v>112.48648648648648</v>
      </c>
      <c r="C74" s="2951">
        <f t="shared" si="198"/>
        <v>115.21212121212122</v>
      </c>
      <c r="D74" s="2951">
        <f t="shared" si="164"/>
        <v>115.21212121212122</v>
      </c>
      <c r="E74" s="2951">
        <f t="shared" si="199"/>
        <v>110.4024024024024</v>
      </c>
      <c r="F74" s="2951">
        <f t="shared" si="199"/>
        <v>104</v>
      </c>
      <c r="G74" s="3557">
        <v>2004</v>
      </c>
      <c r="H74" s="2952">
        <v>1</v>
      </c>
      <c r="I74" s="2952">
        <v>0.33</v>
      </c>
      <c r="J74" s="2952">
        <v>0.5</v>
      </c>
      <c r="K74" s="2952">
        <v>0.5</v>
      </c>
      <c r="L74" s="2953">
        <v>0</v>
      </c>
      <c r="N74" s="2965">
        <f t="shared" si="196"/>
        <v>1.3391770148526898E-2</v>
      </c>
      <c r="O74" s="2966">
        <f t="shared" si="196"/>
        <v>1.063264221158958E-2</v>
      </c>
      <c r="P74" s="2966">
        <f t="shared" si="197"/>
        <v>2.2244466688911134E-2</v>
      </c>
      <c r="Q74" s="2966">
        <f t="shared" si="197"/>
        <v>0</v>
      </c>
      <c r="R74" s="2957"/>
      <c r="S74" s="2955">
        <f>B74/B75-1</f>
        <v>1.3391770148526883E-2</v>
      </c>
      <c r="T74" s="2956">
        <f>C74/C75-1</f>
        <v>1.063264221158966E-2</v>
      </c>
      <c r="U74" s="2956">
        <f>E74/E75-1</f>
        <v>2.2244466688911224E-2</v>
      </c>
      <c r="V74" s="2956">
        <f>F74/F75-1</f>
        <v>0</v>
      </c>
      <c r="X74" s="2967"/>
      <c r="Y74" s="2967"/>
      <c r="Z74" s="2967"/>
    </row>
    <row r="75" spans="1:26" ht="13.5" thickBot="1">
      <c r="A75" s="2898" t="s">
        <v>2603</v>
      </c>
      <c r="B75" s="2968">
        <v>111</v>
      </c>
      <c r="C75" s="2968">
        <v>114</v>
      </c>
      <c r="D75" s="2968">
        <f t="shared" si="164"/>
        <v>114</v>
      </c>
      <c r="E75" s="2968">
        <v>108</v>
      </c>
      <c r="F75" s="2969">
        <v>104</v>
      </c>
      <c r="G75" s="3555">
        <v>2003</v>
      </c>
      <c r="H75" s="2958">
        <v>4</v>
      </c>
      <c r="I75" s="2970"/>
      <c r="J75" s="2970"/>
      <c r="K75" s="2970"/>
      <c r="L75" s="2970"/>
      <c r="N75" s="2971"/>
      <c r="O75" s="2970"/>
      <c r="P75" s="2970"/>
      <c r="Q75" s="2970"/>
      <c r="S75" s="2971"/>
      <c r="T75" s="2970"/>
      <c r="U75" s="2970"/>
      <c r="V75" s="2970"/>
      <c r="X75" s="2962"/>
      <c r="Y75" s="2962"/>
      <c r="Z75" s="2962"/>
    </row>
    <row r="76" spans="1:26">
      <c r="A76" s="2898" t="s">
        <v>2604</v>
      </c>
      <c r="B76" s="2972">
        <f t="shared" ref="B76:C78" si="200">B77+(B$75-B$79)/4</f>
        <v>109.75</v>
      </c>
      <c r="C76" s="2972">
        <f t="shared" si="200"/>
        <v>112.25</v>
      </c>
      <c r="D76" s="2972">
        <f t="shared" si="164"/>
        <v>112.25</v>
      </c>
      <c r="E76" s="2972">
        <f t="shared" ref="E76:F78" si="201">E77+(E$75-E$79)/4</f>
        <v>107.25</v>
      </c>
      <c r="F76" s="2972">
        <f t="shared" si="201"/>
        <v>103.5</v>
      </c>
      <c r="G76" s="3556">
        <v>2003</v>
      </c>
      <c r="H76" s="2925">
        <v>3</v>
      </c>
      <c r="I76" s="2970"/>
      <c r="J76" s="2970"/>
      <c r="K76" s="2970"/>
      <c r="L76" s="2970"/>
      <c r="X76" s="2962"/>
      <c r="Y76" s="2962"/>
      <c r="Z76" s="2962"/>
    </row>
    <row r="77" spans="1:26">
      <c r="A77" s="2898" t="s">
        <v>2605</v>
      </c>
      <c r="B77" s="2972">
        <f t="shared" si="200"/>
        <v>108.5</v>
      </c>
      <c r="C77" s="2972">
        <f t="shared" si="200"/>
        <v>110.5</v>
      </c>
      <c r="D77" s="2972">
        <f t="shared" si="164"/>
        <v>110.5</v>
      </c>
      <c r="E77" s="2972">
        <f t="shared" si="201"/>
        <v>106.5</v>
      </c>
      <c r="F77" s="2972">
        <f t="shared" si="201"/>
        <v>103</v>
      </c>
      <c r="G77" s="3556">
        <v>2003</v>
      </c>
      <c r="H77" s="2913">
        <v>2</v>
      </c>
      <c r="I77" s="2970"/>
      <c r="J77" s="2970"/>
      <c r="K77" s="2970"/>
      <c r="L77" s="2970"/>
      <c r="X77" s="2962"/>
      <c r="Y77" s="2962"/>
      <c r="Z77" s="2962"/>
    </row>
    <row r="78" spans="1:26" ht="13.5" thickBot="1">
      <c r="A78" s="2898" t="s">
        <v>2606</v>
      </c>
      <c r="B78" s="2972">
        <f t="shared" si="200"/>
        <v>107.25</v>
      </c>
      <c r="C78" s="2972">
        <f t="shared" si="200"/>
        <v>108.75</v>
      </c>
      <c r="D78" s="2972">
        <f t="shared" si="164"/>
        <v>108.75</v>
      </c>
      <c r="E78" s="2972">
        <f t="shared" si="201"/>
        <v>105.75</v>
      </c>
      <c r="F78" s="2972">
        <f t="shared" si="201"/>
        <v>102.5</v>
      </c>
      <c r="G78" s="3557">
        <v>2003</v>
      </c>
      <c r="H78" s="2973">
        <v>1</v>
      </c>
      <c r="I78" s="2970"/>
      <c r="J78" s="2970"/>
      <c r="K78" s="2970"/>
      <c r="L78" s="2970"/>
      <c r="S78" s="2901"/>
      <c r="T78" s="2887"/>
      <c r="U78" s="2887"/>
      <c r="X78" s="2962"/>
      <c r="Y78" s="2962"/>
      <c r="Z78" s="2962"/>
    </row>
    <row r="79" spans="1:26" ht="13.5" thickBot="1">
      <c r="A79" s="2898" t="s">
        <v>2607</v>
      </c>
      <c r="B79" s="2974">
        <v>106</v>
      </c>
      <c r="C79" s="2974">
        <v>107</v>
      </c>
      <c r="D79" s="2974">
        <f t="shared" si="164"/>
        <v>107</v>
      </c>
      <c r="E79" s="2974">
        <v>105</v>
      </c>
      <c r="F79" s="2975">
        <v>102</v>
      </c>
      <c r="G79" s="3555">
        <v>2002</v>
      </c>
      <c r="H79" s="2922">
        <v>4</v>
      </c>
      <c r="I79" s="2970"/>
      <c r="J79" s="2970"/>
      <c r="K79" s="2970"/>
      <c r="L79" s="2970"/>
      <c r="N79" s="2971"/>
      <c r="O79" s="2970"/>
      <c r="P79" s="2970"/>
      <c r="Q79" s="2970"/>
      <c r="S79" s="2971"/>
      <c r="T79" s="2970"/>
      <c r="U79" s="2970"/>
      <c r="V79" s="2970"/>
      <c r="X79" s="2962"/>
      <c r="Y79" s="2962"/>
      <c r="Z79" s="2962"/>
    </row>
    <row r="80" spans="1:26">
      <c r="A80" s="2898" t="s">
        <v>2608</v>
      </c>
      <c r="B80" s="2972">
        <f t="shared" ref="B80:C82" si="202">B81+(B$79-B$83)/4</f>
        <v>105</v>
      </c>
      <c r="C80" s="2972">
        <f t="shared" si="202"/>
        <v>106</v>
      </c>
      <c r="D80" s="2972">
        <f t="shared" si="164"/>
        <v>106</v>
      </c>
      <c r="E80" s="2972">
        <f t="shared" ref="E80:F82" si="203">E81+(E$79-E$83)/4</f>
        <v>104.5</v>
      </c>
      <c r="F80" s="2972">
        <f t="shared" si="203"/>
        <v>101.5</v>
      </c>
      <c r="G80" s="3556">
        <v>2002</v>
      </c>
      <c r="H80" s="2925">
        <v>3</v>
      </c>
      <c r="I80" s="2970"/>
      <c r="J80" s="2970"/>
      <c r="K80" s="2970"/>
      <c r="L80" s="2970"/>
      <c r="X80" s="2962"/>
      <c r="Y80" s="2962"/>
      <c r="Z80" s="2962"/>
    </row>
    <row r="81" spans="1:26">
      <c r="A81" s="2898" t="s">
        <v>2609</v>
      </c>
      <c r="B81" s="2972">
        <f t="shared" si="202"/>
        <v>104</v>
      </c>
      <c r="C81" s="2972">
        <f t="shared" si="202"/>
        <v>105</v>
      </c>
      <c r="D81" s="2972">
        <f t="shared" si="164"/>
        <v>105</v>
      </c>
      <c r="E81" s="2972">
        <f t="shared" si="203"/>
        <v>104</v>
      </c>
      <c r="F81" s="2972">
        <f t="shared" si="203"/>
        <v>101</v>
      </c>
      <c r="G81" s="3556">
        <v>2002</v>
      </c>
      <c r="H81" s="2913">
        <v>2</v>
      </c>
      <c r="I81" s="2970"/>
      <c r="J81" s="2970"/>
      <c r="K81" s="2970"/>
      <c r="L81" s="2970"/>
      <c r="X81" s="2962"/>
      <c r="Y81" s="2962"/>
      <c r="Z81" s="2962"/>
    </row>
    <row r="82" spans="1:26" s="2935" customFormat="1" ht="13.5" thickBot="1">
      <c r="A82" s="2931" t="s">
        <v>2610</v>
      </c>
      <c r="B82" s="2938">
        <f t="shared" si="202"/>
        <v>103</v>
      </c>
      <c r="C82" s="2938">
        <f t="shared" si="202"/>
        <v>104</v>
      </c>
      <c r="D82" s="2938">
        <f t="shared" si="164"/>
        <v>104</v>
      </c>
      <c r="E82" s="2938">
        <f t="shared" si="203"/>
        <v>103.5</v>
      </c>
      <c r="F82" s="2938">
        <f t="shared" si="203"/>
        <v>100.5</v>
      </c>
      <c r="G82" s="3557">
        <v>2002</v>
      </c>
      <c r="H82" s="2976">
        <v>1</v>
      </c>
      <c r="I82" s="2977"/>
      <c r="J82" s="2977"/>
      <c r="K82" s="2977"/>
      <c r="L82" s="2977"/>
      <c r="N82" s="2978"/>
      <c r="S82" s="2978"/>
      <c r="X82" s="2979"/>
      <c r="Y82" s="2979"/>
      <c r="Z82" s="2979"/>
    </row>
    <row r="83" spans="1:26" ht="13.5" thickBot="1">
      <c r="B83" s="2980">
        <v>102</v>
      </c>
      <c r="C83" s="2981">
        <v>103</v>
      </c>
      <c r="D83" s="2981">
        <f t="shared" si="164"/>
        <v>103</v>
      </c>
      <c r="E83" s="2981">
        <v>103</v>
      </c>
      <c r="F83" s="2982">
        <v>100</v>
      </c>
      <c r="I83" s="2970"/>
      <c r="J83" s="2970"/>
      <c r="K83" s="2970"/>
      <c r="L83" s="2970"/>
      <c r="N83" s="2971"/>
      <c r="O83" s="2970"/>
      <c r="P83" s="2970"/>
      <c r="Q83" s="2970"/>
      <c r="S83" s="2971"/>
      <c r="T83" s="2970"/>
      <c r="U83" s="2970"/>
      <c r="V83" s="2970"/>
      <c r="X83" s="2912"/>
      <c r="Y83" s="2912"/>
      <c r="Z83" s="2912"/>
    </row>
    <row r="85" spans="1:26" s="2984" customFormat="1">
      <c r="A85" s="2983" t="s">
        <v>2611</v>
      </c>
      <c r="G85" s="2985"/>
      <c r="N85" s="2985"/>
      <c r="S85" s="2985"/>
    </row>
    <row r="86" spans="1:26" s="2984" customFormat="1">
      <c r="A86" s="2984" t="s">
        <v>2612</v>
      </c>
      <c r="G86" s="2985"/>
      <c r="N86" s="2985"/>
      <c r="S86" s="2985"/>
    </row>
    <row r="87" spans="1:26" s="2984" customFormat="1">
      <c r="A87" s="2984" t="s">
        <v>2613</v>
      </c>
      <c r="G87" s="2985"/>
      <c r="I87" s="2986"/>
      <c r="J87" s="2986"/>
      <c r="K87" s="2986"/>
      <c r="L87" s="2986"/>
      <c r="N87" s="2987"/>
      <c r="O87" s="2986"/>
      <c r="P87" s="2986"/>
      <c r="Q87" s="2986"/>
      <c r="S87" s="2987"/>
      <c r="T87" s="2986"/>
      <c r="U87" s="2986"/>
      <c r="V87" s="2986"/>
    </row>
    <row r="88" spans="1:26" s="2984" customFormat="1">
      <c r="A88" s="2984" t="s">
        <v>2614</v>
      </c>
      <c r="G88" s="2985"/>
      <c r="N88" s="2985"/>
      <c r="S88" s="2985"/>
    </row>
    <row r="95" spans="1:26" ht="13.5" thickBot="1"/>
    <row r="96" spans="1:26">
      <c r="G96" s="2886"/>
      <c r="S96" s="2988" t="s">
        <v>2615</v>
      </c>
      <c r="T96" s="2989" t="s">
        <v>2616</v>
      </c>
      <c r="U96" s="2989" t="s">
        <v>2617</v>
      </c>
      <c r="V96" s="2989" t="s">
        <v>2618</v>
      </c>
    </row>
    <row r="97" spans="7:22">
      <c r="G97" s="2886"/>
      <c r="N97" s="2911"/>
      <c r="O97" s="2912"/>
      <c r="P97" s="2912"/>
      <c r="Q97" s="2912"/>
      <c r="S97" s="2990">
        <v>2006</v>
      </c>
      <c r="T97" s="2991">
        <v>15.1</v>
      </c>
      <c r="U97" s="2991">
        <v>7.43</v>
      </c>
      <c r="V97" s="2991">
        <v>26.26</v>
      </c>
    </row>
    <row r="98" spans="7:22">
      <c r="G98" s="2886"/>
      <c r="N98" s="2911"/>
      <c r="O98" s="2912"/>
      <c r="P98" s="2912"/>
      <c r="Q98" s="2912"/>
      <c r="S98" s="2992">
        <v>2005</v>
      </c>
      <c r="T98" s="2993">
        <v>13.9</v>
      </c>
      <c r="U98" s="2993">
        <v>7.49</v>
      </c>
      <c r="V98" s="2993">
        <v>24.92</v>
      </c>
    </row>
    <row r="99" spans="7:22">
      <c r="G99" s="2886"/>
      <c r="N99" s="2911"/>
      <c r="O99" s="2912"/>
      <c r="P99" s="2912"/>
      <c r="Q99" s="2912"/>
      <c r="S99" s="2990">
        <v>2004</v>
      </c>
      <c r="T99" s="2991">
        <v>9.48</v>
      </c>
      <c r="U99" s="2991">
        <v>7.2</v>
      </c>
      <c r="V99" s="2991">
        <v>14.68</v>
      </c>
    </row>
    <row r="100" spans="7:22">
      <c r="G100" s="2886"/>
      <c r="N100" s="2911"/>
      <c r="O100" s="2912"/>
      <c r="P100" s="2912"/>
      <c r="Q100" s="2912"/>
      <c r="S100" s="2992">
        <v>2003</v>
      </c>
      <c r="T100" s="2993">
        <v>4.5</v>
      </c>
      <c r="U100" s="2993">
        <v>6.12</v>
      </c>
      <c r="V100" s="2993">
        <v>2.34</v>
      </c>
    </row>
    <row r="101" spans="7:22" ht="13.5" thickBot="1">
      <c r="G101" s="2886"/>
      <c r="N101" s="2911"/>
      <c r="O101" s="2912"/>
      <c r="P101" s="2912"/>
      <c r="Q101" s="2912"/>
      <c r="S101" s="2994">
        <v>2002</v>
      </c>
      <c r="T101" s="2995">
        <v>3.59</v>
      </c>
      <c r="U101" s="2995">
        <v>4.54</v>
      </c>
      <c r="V101" s="2995">
        <v>2.5499999999999998</v>
      </c>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row r="117" spans="7:19">
      <c r="G117" s="2886"/>
      <c r="N117" s="2911"/>
      <c r="O117" s="2912"/>
      <c r="P117" s="2912"/>
      <c r="Q117" s="2912"/>
      <c r="S117" s="2886"/>
    </row>
  </sheetData>
  <sheetProtection sheet="1" objects="1" scenarios="1" formatCells="0" formatColumns="0" formatRows="0"/>
  <mergeCells count="23">
    <mergeCell ref="G19:G22"/>
    <mergeCell ref="G15:G18"/>
    <mergeCell ref="G43:G46"/>
    <mergeCell ref="G47:G50"/>
    <mergeCell ref="G51:G54"/>
    <mergeCell ref="G23:G26"/>
    <mergeCell ref="G27:G30"/>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W6" sqref="W6"/>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2905</v>
      </c>
      <c r="B1" s="3246"/>
      <c r="C1" s="3246"/>
      <c r="D1" s="3246"/>
      <c r="E1" s="3246"/>
      <c r="F1" s="3246"/>
      <c r="G1" s="3247"/>
      <c r="H1" s="3247"/>
      <c r="I1" s="3247"/>
      <c r="J1" s="3247"/>
      <c r="K1" s="3247"/>
      <c r="L1" s="3247"/>
      <c r="M1" s="3247"/>
      <c r="N1" s="3247"/>
    </row>
    <row r="2" spans="1:14" ht="14.25">
      <c r="A2" s="3252" t="s">
        <v>2900</v>
      </c>
      <c r="B2" s="3257">
        <f ca="1">SUMIF(B7:B14,"&lt;&gt;#ref!",B7:B14)</f>
        <v>0</v>
      </c>
      <c r="C2" s="3252" t="s">
        <v>2901</v>
      </c>
      <c r="D2" s="3249"/>
      <c r="E2" s="3249"/>
      <c r="F2" s="3249"/>
      <c r="G2" s="3247"/>
      <c r="H2" s="3247"/>
      <c r="I2" s="3247"/>
      <c r="J2" s="3247"/>
      <c r="K2" s="3247"/>
      <c r="L2" s="3247"/>
      <c r="M2" s="3247"/>
      <c r="N2" s="3247"/>
    </row>
    <row r="3" spans="1:14" ht="14.25">
      <c r="A3" s="3252" t="s">
        <v>2930</v>
      </c>
      <c r="B3" s="3257" t="e">
        <f ca="1">ROUND(B2*10000/E3,0)</f>
        <v>#DIV/0!</v>
      </c>
      <c r="C3" s="3252" t="s">
        <v>2067</v>
      </c>
      <c r="D3" s="3252" t="s">
        <v>2902</v>
      </c>
      <c r="E3" s="3250">
        <f ca="1">SUMIF(E7:E14,"&lt;&gt;#ref!",E7:E14)</f>
        <v>0</v>
      </c>
      <c r="F3" s="3249"/>
      <c r="G3" s="3247"/>
      <c r="H3" s="3247"/>
      <c r="I3" s="3247"/>
      <c r="J3" s="3247"/>
      <c r="K3" s="3247"/>
      <c r="L3" s="3247"/>
      <c r="M3" s="3247"/>
      <c r="N3" s="3247"/>
    </row>
    <row r="4" spans="1:14" ht="14.25">
      <c r="A4" s="3252" t="s">
        <v>2908</v>
      </c>
      <c r="B4" s="3257" t="e">
        <f ca="1">ROUND(B2*10000/E4,0)</f>
        <v>#DIV/0!</v>
      </c>
      <c r="C4" s="3252" t="s">
        <v>2067</v>
      </c>
      <c r="D4" s="3252" t="s">
        <v>2909</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2906</v>
      </c>
      <c r="B6" s="3252" t="s">
        <v>2903</v>
      </c>
      <c r="C6" s="2790"/>
      <c r="D6" s="3249"/>
      <c r="E6" s="3252" t="s">
        <v>2904</v>
      </c>
      <c r="F6" s="3252" t="s">
        <v>2907</v>
      </c>
      <c r="G6" s="3247"/>
      <c r="H6" s="3247"/>
      <c r="I6" s="3247"/>
      <c r="J6" s="3247"/>
      <c r="K6" s="3247"/>
      <c r="L6" s="3247"/>
      <c r="M6" s="3247"/>
      <c r="N6" s="3247"/>
    </row>
    <row r="7" spans="1:14" ht="14.25">
      <c r="A7" s="3255"/>
      <c r="B7" s="3257" t="e">
        <f ca="1">SUMIF(INDIRECT("'"&amp;A7&amp;"'"&amp;"!A:A"),"总价",INDIRECT("'"&amp;A7&amp;"'"&amp;"!B:B"))</f>
        <v>#REF!</v>
      </c>
      <c r="C7" s="3252" t="s">
        <v>2901</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2901</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2901</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2901</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2901</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2901</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2901</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2901</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1"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8.375" style="1943" customWidth="1"/>
    <col min="16" max="16" width="30.25" style="1943" customWidth="1"/>
    <col min="17" max="17" width="13.75" style="1943" customWidth="1"/>
    <col min="18" max="18" width="22.25" style="1943" customWidth="1"/>
    <col min="19" max="19" width="1.5" style="1943" customWidth="1"/>
    <col min="20" max="25" width="9" style="1943"/>
    <col min="26" max="16384" width="9" style="1944"/>
  </cols>
  <sheetData>
    <row r="1" spans="1:25" s="1938" customFormat="1" ht="21">
      <c r="A1" s="762" t="s">
        <v>622</v>
      </c>
      <c r="B1" s="730"/>
      <c r="C1" s="763"/>
      <c r="D1" s="1934"/>
      <c r="E1" s="2243" t="s">
        <v>2359</v>
      </c>
      <c r="F1" s="2244">
        <f ca="1">J54</f>
        <v>-1.5</v>
      </c>
      <c r="G1" s="764">
        <f>MATCH(C1,'数据-取费表'!A6:A16,0)+5</f>
        <v>7</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1677</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2439</v>
      </c>
      <c r="C7" s="53">
        <f ca="1">C8+C12+C14</f>
        <v>0</v>
      </c>
      <c r="D7" s="2350" t="s">
        <v>2442</v>
      </c>
      <c r="E7" s="2344"/>
      <c r="F7" s="2345"/>
      <c r="G7" s="1527"/>
      <c r="H7" s="771">
        <v>1</v>
      </c>
      <c r="I7" s="772" t="s">
        <v>2439</v>
      </c>
      <c r="J7" s="53">
        <f ca="1">J8+J12+J14</f>
        <v>0</v>
      </c>
      <c r="K7" s="2350" t="s">
        <v>2442</v>
      </c>
      <c r="L7" s="2344"/>
      <c r="M7" s="2345"/>
    </row>
    <row r="8" spans="1:25" ht="18" customHeight="1">
      <c r="A8" s="1746" t="s">
        <v>1815</v>
      </c>
      <c r="B8" s="3564" t="s">
        <v>2444</v>
      </c>
      <c r="C8" s="1741">
        <f ca="1">ROUND(F8*F10*F9*(1-F11)/10000,0)</f>
        <v>0</v>
      </c>
      <c r="D8" s="1738" t="s">
        <v>2515</v>
      </c>
      <c r="E8" s="61" t="s">
        <v>631</v>
      </c>
      <c r="F8" s="775">
        <f ca="1">INDIRECT("'数据-取费表'!u"&amp;$G$1)</f>
        <v>0</v>
      </c>
      <c r="G8" s="1527"/>
      <c r="H8" s="2358" t="s">
        <v>1815</v>
      </c>
      <c r="I8" s="3564" t="s">
        <v>2444</v>
      </c>
      <c r="J8" s="773">
        <f ca="1">ROUND(M8*M10*M9*(1-M11)/10000,0)</f>
        <v>0</v>
      </c>
      <c r="K8" s="339" t="s">
        <v>2515</v>
      </c>
      <c r="L8" s="774" t="s">
        <v>1729</v>
      </c>
      <c r="M8" s="775">
        <f ca="1">INDIRECT("'数据-取费表'!z"&amp;$G$1)</f>
        <v>0</v>
      </c>
    </row>
    <row r="9" spans="1:25" ht="18" customHeight="1">
      <c r="A9" s="2354"/>
      <c r="B9" s="3565"/>
      <c r="C9" s="1742"/>
      <c r="D9" s="1739"/>
      <c r="E9" s="61" t="s">
        <v>632</v>
      </c>
      <c r="F9" s="775">
        <f ca="1">IF(INDIRECT("'数据-取费表'!ah"&amp;$G$1)="",INDIRECT("'数据-取费表'!k"&amp;$G$1),INDIRECT("'数据-取费表'!ah"&amp;$G$1))</f>
        <v>0</v>
      </c>
      <c r="G9" s="1527"/>
      <c r="H9" s="2343"/>
      <c r="I9" s="3565"/>
      <c r="J9" s="778"/>
      <c r="K9" s="779"/>
      <c r="L9" s="774" t="s">
        <v>1730</v>
      </c>
      <c r="M9" s="775">
        <f ca="1">F9</f>
        <v>0</v>
      </c>
    </row>
    <row r="10" spans="1:25" ht="18" customHeight="1">
      <c r="A10" s="2347"/>
      <c r="B10" s="3566"/>
      <c r="C10" s="1742"/>
      <c r="D10" s="1739"/>
      <c r="E10" s="61" t="s">
        <v>633</v>
      </c>
      <c r="F10" s="775">
        <f ca="1">INDIRECT("'数据-取费表'!ai"&amp;$G$1)</f>
        <v>0</v>
      </c>
      <c r="G10" s="1527"/>
      <c r="H10" s="2343"/>
      <c r="I10" s="3566"/>
      <c r="J10" s="778"/>
      <c r="K10" s="779"/>
      <c r="L10" s="774" t="s">
        <v>1731</v>
      </c>
      <c r="M10" s="775">
        <f ca="1">INDIRECT("'数据-取费表'!ai"&amp;$G$1)</f>
        <v>0</v>
      </c>
    </row>
    <row r="11" spans="1:25" ht="18" customHeight="1">
      <c r="A11" s="776"/>
      <c r="B11" s="3567"/>
      <c r="C11" s="1742"/>
      <c r="D11" s="1739"/>
      <c r="E11" s="61" t="s">
        <v>634</v>
      </c>
      <c r="F11" s="784">
        <f ca="1">INDIRECT("'数据-取费表'!w"&amp;$G$1)</f>
        <v>0</v>
      </c>
      <c r="G11" s="1527"/>
      <c r="H11" s="2359"/>
      <c r="I11" s="3566"/>
      <c r="J11" s="778"/>
      <c r="K11" s="779"/>
      <c r="L11" s="785" t="s">
        <v>1732</v>
      </c>
      <c r="M11" s="786">
        <f ca="1">INDIRECT("'数据-取费表'!ab"&amp;$G$1)</f>
        <v>0</v>
      </c>
    </row>
    <row r="12" spans="1:25" ht="18" customHeight="1">
      <c r="A12" s="1746" t="s">
        <v>1816</v>
      </c>
      <c r="B12" s="2348" t="s">
        <v>2440</v>
      </c>
      <c r="C12" s="789">
        <f ca="1">ROUND(IF(F12="押一",C8/12*F13,IF(F12="押二",C8/12*2*F13,IF(F12="押三",C8/12*3*F13,C13*F13))),0)</f>
        <v>0</v>
      </c>
      <c r="D12" s="2355" t="s">
        <v>2927</v>
      </c>
      <c r="E12" s="2352" t="s">
        <v>2445</v>
      </c>
      <c r="F12" s="2466"/>
      <c r="G12" s="1527"/>
      <c r="H12" s="2415" t="s">
        <v>1816</v>
      </c>
      <c r="I12" s="2420" t="s">
        <v>2440</v>
      </c>
      <c r="J12" s="773">
        <f ca="1">ROUND(IF(M12="押一",J8/12*M13,IF(M12="押二",J8/12*2*M13,IF(M12="押三",J8/12*3*M13,J13*M13))),0)</f>
        <v>0</v>
      </c>
      <c r="K12" s="2355" t="s">
        <v>2927</v>
      </c>
      <c r="L12" s="2352" t="s">
        <v>2445</v>
      </c>
      <c r="M12" s="2466"/>
    </row>
    <row r="13" spans="1:25" ht="18" customHeight="1">
      <c r="A13" s="780"/>
      <c r="B13" s="2349" t="s">
        <v>2554</v>
      </c>
      <c r="C13" s="2353"/>
      <c r="D13" s="779"/>
      <c r="E13" s="2352" t="s">
        <v>2438</v>
      </c>
      <c r="F13" s="786">
        <f ca="1">'数据-取费表'!B39</f>
        <v>1.4999999999999999E-2</v>
      </c>
      <c r="G13" s="1527"/>
      <c r="H13" s="2416"/>
      <c r="I13" s="2349" t="s">
        <v>2554</v>
      </c>
      <c r="J13" s="2353"/>
      <c r="K13" s="2417"/>
      <c r="L13" s="2352" t="s">
        <v>2438</v>
      </c>
      <c r="M13" s="2346">
        <f ca="1">'数据-取费表'!B39</f>
        <v>1.4999999999999999E-2</v>
      </c>
    </row>
    <row r="14" spans="1:25" ht="18" customHeight="1" thickBot="1">
      <c r="A14" s="2391" t="s">
        <v>2448</v>
      </c>
      <c r="B14" s="2392" t="s">
        <v>2441</v>
      </c>
      <c r="C14" s="2393"/>
      <c r="D14" s="2394"/>
      <c r="E14" s="2395"/>
      <c r="F14" s="2396"/>
      <c r="G14" s="1527"/>
      <c r="H14" s="2405" t="s">
        <v>2448</v>
      </c>
      <c r="I14" s="2418" t="s">
        <v>2441</v>
      </c>
      <c r="J14" s="2419"/>
      <c r="K14" s="2394"/>
      <c r="L14" s="2395"/>
      <c r="M14" s="2408"/>
    </row>
    <row r="15" spans="1:25" ht="18" customHeight="1" thickTop="1">
      <c r="A15" s="1745" t="s">
        <v>1865</v>
      </c>
      <c r="B15" s="1743" t="s">
        <v>635</v>
      </c>
      <c r="C15" s="782">
        <f ca="1">ROUND(C31*F15,0)</f>
        <v>0</v>
      </c>
      <c r="D15" s="1750" t="s">
        <v>636</v>
      </c>
      <c r="E15" s="785" t="s">
        <v>637</v>
      </c>
      <c r="F15" s="790">
        <f ca="1">INDIRECT("'数据-取费表'!y"&amp;$G$1)</f>
        <v>0</v>
      </c>
      <c r="G15" s="1527"/>
      <c r="H15" s="1745" t="s">
        <v>1817</v>
      </c>
      <c r="I15" s="1743" t="s">
        <v>638</v>
      </c>
      <c r="J15" s="1735">
        <f ca="1">ROUND(J16*J17,0)</f>
        <v>0</v>
      </c>
      <c r="K15" s="1737" t="s">
        <v>636</v>
      </c>
      <c r="L15" s="791"/>
      <c r="M15" s="792"/>
    </row>
    <row r="16" spans="1:25" ht="18" customHeight="1">
      <c r="A16" s="793" t="s">
        <v>1866</v>
      </c>
      <c r="B16" s="774" t="s">
        <v>639</v>
      </c>
      <c r="C16" s="794">
        <f ca="1">INDIRECT("'数据-取费表'!m"&amp;$G$1)+INDIRECT("'数据-取费表'!t"&amp;$G$1)</f>
        <v>0</v>
      </c>
      <c r="D16" s="1894" t="s">
        <v>640</v>
      </c>
      <c r="E16" s="1895"/>
      <c r="F16" s="795"/>
      <c r="G16" s="1527"/>
      <c r="H16" s="793" t="s">
        <v>2058</v>
      </c>
      <c r="I16" s="2112" t="s">
        <v>2804</v>
      </c>
      <c r="J16" s="53">
        <f ca="1">C31</f>
        <v>0</v>
      </c>
      <c r="K16" s="26"/>
      <c r="L16" s="791"/>
      <c r="M16" s="792"/>
    </row>
    <row r="17" spans="1:25" s="1948" customFormat="1" ht="18" customHeight="1">
      <c r="A17" s="793" t="s">
        <v>1840</v>
      </c>
      <c r="B17" s="774" t="s">
        <v>641</v>
      </c>
      <c r="C17" s="53">
        <f ca="1">ROUND(C16*F17,0)</f>
        <v>0</v>
      </c>
      <c r="D17" s="796" t="s">
        <v>642</v>
      </c>
      <c r="E17" s="796" t="s">
        <v>643</v>
      </c>
      <c r="F17" s="797">
        <f>'数据-取费表'!B33</f>
        <v>0.05</v>
      </c>
      <c r="G17" s="1528"/>
      <c r="H17" s="793" t="s">
        <v>2059</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7"/>
      <c r="H18" s="787" t="s">
        <v>1818</v>
      </c>
      <c r="I18" s="788" t="s">
        <v>645</v>
      </c>
      <c r="J18" s="789">
        <f ca="1">ROUND(J19+J24+J25+J26,0)</f>
        <v>0</v>
      </c>
      <c r="K18" s="26" t="s">
        <v>646</v>
      </c>
      <c r="L18" s="1897"/>
      <c r="M18" s="56"/>
    </row>
    <row r="19" spans="1:25" s="1948" customFormat="1" ht="18" customHeight="1">
      <c r="A19" s="793" t="s">
        <v>1842</v>
      </c>
      <c r="B19" s="774" t="s">
        <v>647</v>
      </c>
      <c r="C19" s="53">
        <f ca="1">ROUND(F19*(INDIRECT("'数据-取费表'!k"&amp;$G$1)+INDIRECT("'数据-取费表'!S"&amp;$G$1))/10000,0)</f>
        <v>0</v>
      </c>
      <c r="D19" s="774" t="s">
        <v>648</v>
      </c>
      <c r="E19" s="774" t="s">
        <v>649</v>
      </c>
      <c r="F19" s="56">
        <f>'数据-取费表'!B35</f>
        <v>200</v>
      </c>
      <c r="G19" s="1528"/>
      <c r="H19" s="793" t="s">
        <v>2058</v>
      </c>
      <c r="I19" s="774" t="s">
        <v>650</v>
      </c>
      <c r="J19" s="3019">
        <f ca="1">ROUND(IF(AND(项目基本情况!B11="自然人",项目基本情况!B10="北京市"),J8*M19/(1+'数据-取费表'!C42),J20+J21+J22),0)</f>
        <v>0</v>
      </c>
      <c r="K19" s="1894" t="s">
        <v>651</v>
      </c>
      <c r="L19" s="1892" t="s">
        <v>652</v>
      </c>
      <c r="M19" s="3018"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1843</v>
      </c>
      <c r="B20" s="774" t="s">
        <v>653</v>
      </c>
      <c r="C20" s="53">
        <f ca="1">ROUND(C16*F20,0)</f>
        <v>0</v>
      </c>
      <c r="D20" s="774" t="s">
        <v>642</v>
      </c>
      <c r="E20" s="774" t="s">
        <v>643</v>
      </c>
      <c r="F20" s="799">
        <f>'数据-取费表'!B36</f>
        <v>1.4999999999999999E-2</v>
      </c>
      <c r="G20" s="1528"/>
      <c r="H20" s="793" t="s">
        <v>1822</v>
      </c>
      <c r="I20" s="774" t="s">
        <v>654</v>
      </c>
      <c r="J20" s="53">
        <f ca="1">ROUND(J8*M20/(1+'数据-取费表'!C42),1)</f>
        <v>0</v>
      </c>
      <c r="K20" s="1892" t="s">
        <v>655</v>
      </c>
      <c r="L20" s="774" t="s">
        <v>643</v>
      </c>
      <c r="M20" s="799">
        <f>'数据-取费表'!B41</f>
        <v>5.5000000000000007E-2</v>
      </c>
      <c r="N20" s="1947"/>
      <c r="O20" s="1947"/>
      <c r="P20" s="1947"/>
      <c r="Q20" s="1947"/>
      <c r="R20" s="1947"/>
      <c r="S20" s="1947"/>
      <c r="T20" s="1947"/>
      <c r="U20" s="1947"/>
      <c r="V20" s="1947"/>
      <c r="W20" s="1947"/>
      <c r="X20" s="1947"/>
      <c r="Y20" s="1947"/>
    </row>
    <row r="21" spans="1:25" ht="18" customHeight="1">
      <c r="A21" s="793" t="s">
        <v>1867</v>
      </c>
      <c r="B21" s="774" t="s">
        <v>656</v>
      </c>
      <c r="C21" s="53">
        <f ca="1">SUM(C16:C20)</f>
        <v>0</v>
      </c>
      <c r="D21" s="259" t="s">
        <v>657</v>
      </c>
      <c r="E21" s="1897"/>
      <c r="F21" s="56"/>
      <c r="G21" s="1527"/>
      <c r="H21" s="1746"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1868</v>
      </c>
      <c r="B22" s="774" t="s">
        <v>660</v>
      </c>
      <c r="C22" s="53">
        <f ca="1">ROUND(C21*F22,0)</f>
        <v>0</v>
      </c>
      <c r="D22" s="801" t="s">
        <v>661</v>
      </c>
      <c r="E22" s="774" t="s">
        <v>643</v>
      </c>
      <c r="F22" s="799">
        <f>'数据-取费表'!B37</f>
        <v>2.5000000000000001E-2</v>
      </c>
      <c r="G22" s="1528"/>
      <c r="H22" s="1748" t="s">
        <v>1841</v>
      </c>
      <c r="I22" s="1738" t="s">
        <v>662</v>
      </c>
      <c r="J22" s="54">
        <f ca="1">ROUND(M22*M23/10000,0)</f>
        <v>0</v>
      </c>
      <c r="K22" s="803" t="s">
        <v>663</v>
      </c>
      <c r="L22" s="774" t="s">
        <v>664</v>
      </c>
      <c r="M22" s="632">
        <f>'数据-取费表'!B52</f>
        <v>1.5</v>
      </c>
      <c r="N22" s="1947"/>
      <c r="O22" s="1947"/>
      <c r="P22" s="1947"/>
      <c r="Q22" s="1947"/>
      <c r="R22" s="1947"/>
      <c r="S22" s="1947"/>
      <c r="T22" s="1947"/>
      <c r="U22" s="1947"/>
      <c r="V22" s="1947"/>
      <c r="W22" s="1947"/>
      <c r="X22" s="1947"/>
      <c r="Y22" s="1947"/>
    </row>
    <row r="23" spans="1:25" s="1948" customFormat="1" ht="18" customHeight="1">
      <c r="A23" s="793" t="s">
        <v>1869</v>
      </c>
      <c r="B23" s="774" t="s">
        <v>665</v>
      </c>
      <c r="C23" s="53" t="s">
        <v>1</v>
      </c>
      <c r="D23" s="801" t="s">
        <v>666</v>
      </c>
      <c r="E23" s="774" t="s">
        <v>667</v>
      </c>
      <c r="F23" s="799">
        <f>'数据-取费表'!B38</f>
        <v>0.03</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1870</v>
      </c>
      <c r="B24" s="774" t="s">
        <v>669</v>
      </c>
      <c r="C24" s="53"/>
      <c r="D24" s="2425" t="str">
        <f>IF(F25&lt;=1,"单利计息。","复利计息。")&amp;"建造成本、管理费用、销售费用产生的利息。"</f>
        <v>复利计息。建造成本、管理费用、销售费用产生的利息。</v>
      </c>
      <c r="E24" s="1897"/>
      <c r="F24" s="56"/>
      <c r="G24" s="1527"/>
      <c r="H24" s="1747" t="s">
        <v>2059</v>
      </c>
      <c r="I24" s="774" t="s">
        <v>670</v>
      </c>
      <c r="J24" s="53">
        <f ca="1">ROUND(J16*M24,0)</f>
        <v>0</v>
      </c>
      <c r="K24" s="1892" t="s">
        <v>671</v>
      </c>
      <c r="L24" s="774" t="s">
        <v>643</v>
      </c>
      <c r="M24" s="806">
        <f ca="1">INDIRECT("'数据-取费表'!Ak"&amp;$G$1)</f>
        <v>0</v>
      </c>
    </row>
    <row r="25" spans="1:25" s="1948" customFormat="1" ht="18" customHeight="1">
      <c r="A25" s="793" t="s">
        <v>1866</v>
      </c>
      <c r="B25" s="774" t="s">
        <v>2421</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1.5</v>
      </c>
      <c r="G25" s="1528"/>
      <c r="H25" s="793" t="s">
        <v>1869</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1840</v>
      </c>
      <c r="B26" s="774" t="s">
        <v>675</v>
      </c>
      <c r="C26" s="53">
        <f ca="1">ROUND(IF('数据-取费表'!B22&lt;=1,F23*F26*F25/2,F23*(POWER((1+F26),F25/2)-1)),4)</f>
        <v>8.9999999999999998E-4</v>
      </c>
      <c r="D26" s="2424" t="str">
        <f>IF(F25&lt;=1,"销售费用×利率×(建设周期÷2)","销售费用×((1+利率)^(建设周期÷2)-1)")</f>
        <v>销售费用×((1+利率)^(建设周期÷2)-1)</v>
      </c>
      <c r="E26" s="774" t="s">
        <v>676</v>
      </c>
      <c r="F26" s="808">
        <f ca="1">'数据-取费表'!B40</f>
        <v>3.85E-2</v>
      </c>
      <c r="G26" s="1528"/>
      <c r="H26" s="793" t="s">
        <v>1870</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1872</v>
      </c>
      <c r="B27" s="774" t="s">
        <v>678</v>
      </c>
      <c r="C27" s="53"/>
      <c r="D27" s="259" t="s">
        <v>679</v>
      </c>
      <c r="E27" s="1897"/>
      <c r="F27" s="56"/>
      <c r="G27" s="1527"/>
      <c r="H27" s="787" t="s">
        <v>1819</v>
      </c>
      <c r="I27" s="2724" t="s">
        <v>2801</v>
      </c>
      <c r="J27" s="789">
        <f ca="1">J7-J18</f>
        <v>0</v>
      </c>
      <c r="K27" s="1894" t="s">
        <v>694</v>
      </c>
      <c r="L27" s="1896"/>
      <c r="M27" s="809"/>
    </row>
    <row r="28" spans="1:25" ht="18" customHeight="1">
      <c r="A28" s="793" t="s">
        <v>1866</v>
      </c>
      <c r="B28" s="774" t="s">
        <v>2422</v>
      </c>
      <c r="C28" s="53">
        <f ca="1">ROUND((C21+C22)*F28,0)</f>
        <v>0</v>
      </c>
      <c r="D28" s="801" t="s">
        <v>695</v>
      </c>
      <c r="E28" s="785" t="s">
        <v>696</v>
      </c>
      <c r="F28" s="784">
        <f ca="1">INDIRECT("'数据-取费表'!q"&amp;$G$1)</f>
        <v>0</v>
      </c>
      <c r="G28" s="1527"/>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1873</v>
      </c>
      <c r="B30" s="774" t="s">
        <v>681</v>
      </c>
      <c r="C30" s="53">
        <f>ROUND(F30/(1+'数据-取费表'!C42),4)</f>
        <v>5.2400000000000002E-2</v>
      </c>
      <c r="D30" s="801" t="s">
        <v>703</v>
      </c>
      <c r="E30" s="774" t="s">
        <v>643</v>
      </c>
      <c r="F30" s="799">
        <f>'数据-取费表'!B41</f>
        <v>5.5000000000000007E-2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1874</v>
      </c>
      <c r="B31" s="2395" t="s">
        <v>2802</v>
      </c>
      <c r="C31" s="2398">
        <f ca="1">ROUND((C21+C22+C25+C28)/(1-F23-C26-C29-C30),0)</f>
        <v>0</v>
      </c>
      <c r="D31" s="2399"/>
      <c r="E31" s="2400"/>
      <c r="F31" s="2401"/>
      <c r="G31" s="1528"/>
      <c r="H31" s="812" t="s">
        <v>1863</v>
      </c>
      <c r="I31" s="2725" t="s">
        <v>2803</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1867</v>
      </c>
      <c r="B33" s="774" t="s">
        <v>650</v>
      </c>
      <c r="C33" s="3019">
        <f ca="1">ROUND(IF(AND(项目基本情况!B11="自然人",项目基本情况!B10="北京市"),C8*F33/(1+'数据-取费表'!C42),C34+C35+C36),0)</f>
        <v>0</v>
      </c>
      <c r="D33" s="1894" t="s">
        <v>651</v>
      </c>
      <c r="E33" s="1892" t="s">
        <v>684</v>
      </c>
      <c r="F33" s="3018" t="str">
        <f>IF(项目基本情况!B11="企业","——",IF('数据-取费表'!B10="住宅",IF(F8*F9*F10/12/(1+'数据-取费表'!F30)&gt;100000,4%,2.5%),IF(F8*F9*F10/12/(1+'数据-取费表'!F30)&gt;100000,12%,7%)))</f>
        <v>——</v>
      </c>
      <c r="G33" s="1946"/>
      <c r="H33" s="3258" t="s">
        <v>2984</v>
      </c>
      <c r="I33" s="1950"/>
      <c r="J33" s="1951"/>
      <c r="K33" s="1952"/>
      <c r="L33" s="1953"/>
      <c r="M33" s="1954"/>
    </row>
    <row r="34" spans="1:18" ht="18" customHeight="1">
      <c r="A34" s="793" t="s">
        <v>1866</v>
      </c>
      <c r="B34" s="774" t="s">
        <v>654</v>
      </c>
      <c r="C34" s="53">
        <f ca="1">ROUND(C8*F34/(1+'数据-取费表'!C42),1)</f>
        <v>0</v>
      </c>
      <c r="D34" s="1892" t="s">
        <v>655</v>
      </c>
      <c r="E34" s="774" t="s">
        <v>643</v>
      </c>
      <c r="F34" s="799">
        <f>'数据-取费表'!B41</f>
        <v>5.5000000000000007E-2</v>
      </c>
      <c r="G34" s="1946"/>
      <c r="H34" s="1955"/>
      <c r="I34" s="1956"/>
      <c r="J34" s="1957"/>
      <c r="K34" s="1958"/>
      <c r="L34" s="1959"/>
      <c r="M34" s="1960"/>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6"/>
      <c r="H35" s="1961"/>
      <c r="I35" s="1961"/>
      <c r="J35" s="1961"/>
      <c r="K35" s="1962"/>
      <c r="L35" s="1961"/>
      <c r="M35" s="1961"/>
    </row>
    <row r="36" spans="1:18" ht="18" customHeight="1">
      <c r="A36" s="802" t="s">
        <v>1871</v>
      </c>
      <c r="B36" s="339" t="s">
        <v>662</v>
      </c>
      <c r="C36" s="54">
        <f ca="1">ROUND(F36*F37/10000,1)</f>
        <v>0</v>
      </c>
      <c r="D36" s="803" t="s">
        <v>663</v>
      </c>
      <c r="E36" s="774" t="s">
        <v>664</v>
      </c>
      <c r="F36" s="632">
        <f>'数据-取费表'!B52</f>
        <v>1.5</v>
      </c>
      <c r="G36" s="1946"/>
      <c r="H36" s="1949"/>
      <c r="I36" s="3563"/>
      <c r="J36" s="1963"/>
      <c r="K36" s="1964"/>
      <c r="L36" s="1963"/>
      <c r="M36" s="1963"/>
    </row>
    <row r="37" spans="1:18" ht="18" customHeight="1">
      <c r="A37" s="804"/>
      <c r="B37" s="783"/>
      <c r="C37" s="69"/>
      <c r="D37" s="805"/>
      <c r="E37" s="774" t="s">
        <v>668</v>
      </c>
      <c r="F37" s="775">
        <f ca="1">INDIRECT("'数据-取费表'!r"&amp;$G$1)</f>
        <v>0</v>
      </c>
      <c r="G37" s="1946"/>
      <c r="H37" s="1949"/>
      <c r="I37" s="3563"/>
      <c r="J37" s="1961"/>
      <c r="K37" s="1962"/>
      <c r="L37" s="1961"/>
      <c r="M37" s="1961"/>
    </row>
    <row r="38" spans="1:18" ht="18" customHeight="1">
      <c r="A38" s="793" t="s">
        <v>1868</v>
      </c>
      <c r="B38" s="774" t="s">
        <v>670</v>
      </c>
      <c r="C38" s="53">
        <f ca="1">ROUND(C31*F38,1)</f>
        <v>0</v>
      </c>
      <c r="D38" s="1892" t="s">
        <v>685</v>
      </c>
      <c r="E38" s="774" t="s">
        <v>643</v>
      </c>
      <c r="F38" s="806">
        <f ca="1">INDIRECT("'数据-取费表'!Ak"&amp;$G$1)</f>
        <v>0</v>
      </c>
      <c r="G38" s="1946"/>
      <c r="H38" s="1961"/>
      <c r="I38" s="3022"/>
      <c r="J38" s="1901"/>
      <c r="K38" s="1965"/>
      <c r="L38" s="1961"/>
      <c r="M38" s="1961"/>
    </row>
    <row r="39" spans="1:18" ht="18" customHeight="1">
      <c r="A39" s="793" t="s">
        <v>1869</v>
      </c>
      <c r="B39" s="774" t="s">
        <v>673</v>
      </c>
      <c r="C39" s="53">
        <f ca="1">ROUND(C15*F39,1)</f>
        <v>0</v>
      </c>
      <c r="D39" s="1892" t="s">
        <v>674</v>
      </c>
      <c r="E39" s="774" t="s">
        <v>643</v>
      </c>
      <c r="F39" s="807">
        <f ca="1">INDIRECT("'数据-取费表'!Al"&amp;$G$1)</f>
        <v>0</v>
      </c>
      <c r="G39" s="1946"/>
      <c r="H39" s="1961"/>
      <c r="I39" s="3022"/>
      <c r="J39" s="1901"/>
      <c r="K39" s="1965"/>
      <c r="L39" s="1961"/>
      <c r="M39" s="1961"/>
    </row>
    <row r="40" spans="1:18" ht="18" customHeight="1" thickBot="1">
      <c r="A40" s="2414" t="s">
        <v>1870</v>
      </c>
      <c r="B40" s="2400" t="s">
        <v>660</v>
      </c>
      <c r="C40" s="2398">
        <f ca="1">ROUND(C7*F40,1)</f>
        <v>0</v>
      </c>
      <c r="D40" s="2399" t="s">
        <v>677</v>
      </c>
      <c r="E40" s="2400" t="s">
        <v>643</v>
      </c>
      <c r="F40" s="2396">
        <f ca="1">INDIRECT("'数据-取费表'!Am"&amp;$G$1)</f>
        <v>0</v>
      </c>
      <c r="G40" s="1946"/>
      <c r="H40" s="1961"/>
      <c r="I40" s="3022"/>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1867</v>
      </c>
      <c r="B42" s="824" t="s">
        <v>687</v>
      </c>
      <c r="C42" s="818">
        <f ca="1">C7-C32</f>
        <v>0</v>
      </c>
      <c r="D42" s="1894" t="s">
        <v>688</v>
      </c>
      <c r="E42" s="1896"/>
      <c r="F42" s="809"/>
      <c r="G42" s="1946"/>
      <c r="H42" s="1946"/>
      <c r="I42" s="1946"/>
      <c r="J42" s="1946"/>
      <c r="K42" s="1966"/>
      <c r="L42" s="1946"/>
      <c r="M42" s="1946"/>
    </row>
    <row r="43" spans="1:18" ht="18" customHeight="1">
      <c r="A43" s="793" t="s">
        <v>1868</v>
      </c>
      <c r="B43" s="824" t="s">
        <v>705</v>
      </c>
      <c r="C43" s="825">
        <f ca="1">ROUND(C15*F43,0)</f>
        <v>0</v>
      </c>
      <c r="D43" s="1309" t="s">
        <v>706</v>
      </c>
      <c r="E43" s="2795" t="s">
        <v>2916</v>
      </c>
      <c r="F43" s="2796">
        <f ca="1">INDIRECT("'数据-取费表'!j"&amp;$G$1)</f>
        <v>0</v>
      </c>
      <c r="G43" s="1946"/>
      <c r="H43" s="1946"/>
      <c r="I43" s="1946"/>
      <c r="J43" s="1946"/>
      <c r="K43" s="1966"/>
      <c r="L43" s="1946"/>
      <c r="M43" s="1946"/>
    </row>
    <row r="44" spans="1:18" ht="18" customHeight="1">
      <c r="A44" s="793" t="s">
        <v>1869</v>
      </c>
      <c r="B44" s="824" t="s">
        <v>707</v>
      </c>
      <c r="C44" s="1310">
        <f ca="1">C42-C43</f>
        <v>0</v>
      </c>
      <c r="D44" s="457" t="s">
        <v>708</v>
      </c>
      <c r="E44" s="458"/>
      <c r="F44" s="459"/>
      <c r="G44" s="1946"/>
      <c r="H44" s="1946"/>
      <c r="I44" s="1946"/>
      <c r="J44" s="1946"/>
      <c r="K44" s="1966"/>
      <c r="L44" s="1946"/>
      <c r="M44" s="1946"/>
    </row>
    <row r="45" spans="1:18" ht="18" customHeight="1">
      <c r="A45" s="793" t="s">
        <v>1870</v>
      </c>
      <c r="B45" s="1309" t="s">
        <v>709</v>
      </c>
      <c r="C45" s="2751">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7" t="s">
        <v>2919</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2328</v>
      </c>
      <c r="J47" s="2235"/>
      <c r="K47" s="2236"/>
      <c r="L47" s="2811" t="str">
        <f ca="1">IF(M48="住宅",0,IF(L49&gt;J52,L61,J61))</f>
        <v>0</v>
      </c>
      <c r="O47" s="2250" t="s">
        <v>2395</v>
      </c>
      <c r="P47" s="1527"/>
      <c r="Q47" s="1535"/>
      <c r="R47" s="1527"/>
    </row>
    <row r="48" spans="1:18" s="1943" customFormat="1" ht="18" customHeight="1" thickBot="1">
      <c r="A48" s="1967"/>
      <c r="C48" s="1970"/>
      <c r="D48" s="1971"/>
      <c r="E48" s="1971"/>
      <c r="F48" s="1972"/>
      <c r="G48" s="1973"/>
      <c r="I48" s="2802" t="s">
        <v>2329</v>
      </c>
      <c r="J48" s="2237"/>
      <c r="K48" s="2808" t="s">
        <v>2334</v>
      </c>
      <c r="L48" s="2812">
        <f ca="1">INDIRECT("'数据-取费表'!d"&amp;$G$1)</f>
        <v>0</v>
      </c>
      <c r="M48" s="2794" t="str">
        <f>IF(ISNUMBER(FIND("住宅",C1)),"住宅","非住宅")</f>
        <v>非住宅</v>
      </c>
      <c r="O48" s="2251" t="s">
        <v>2360</v>
      </c>
      <c r="P48" s="2252" t="s">
        <v>2361</v>
      </c>
      <c r="Q48" s="2253" t="s">
        <v>2362</v>
      </c>
      <c r="R48" s="2252" t="s">
        <v>2363</v>
      </c>
    </row>
    <row r="49" spans="1:18" s="1943" customFormat="1" ht="18" customHeight="1" thickBot="1">
      <c r="A49" s="1967"/>
      <c r="D49" s="1974"/>
      <c r="E49" s="1975"/>
      <c r="F49" s="1972"/>
      <c r="G49" s="1973"/>
      <c r="H49" s="1976"/>
      <c r="I49" s="2799" t="s">
        <v>2330</v>
      </c>
      <c r="J49" s="2238"/>
      <c r="K49" s="2809" t="s">
        <v>2336</v>
      </c>
      <c r="L49" s="1823">
        <f ca="1">INDIRECT("'数据-取费表'!f"&amp;$G$1)</f>
        <v>0</v>
      </c>
      <c r="O49" s="2254" t="s">
        <v>2364</v>
      </c>
      <c r="P49" s="2255" t="s">
        <v>2390</v>
      </c>
      <c r="Q49" s="2256">
        <f ca="1">C41+J31</f>
        <v>0</v>
      </c>
      <c r="R49" s="2255" t="s">
        <v>2365</v>
      </c>
    </row>
    <row r="50" spans="1:18" s="1943" customFormat="1" ht="18" customHeight="1" thickBot="1">
      <c r="A50" s="1967"/>
      <c r="D50" s="1977"/>
      <c r="E50" s="1977"/>
      <c r="F50" s="1971"/>
      <c r="G50" s="1978"/>
      <c r="H50" s="1976"/>
      <c r="I50" s="2799" t="s">
        <v>2331</v>
      </c>
      <c r="J50" s="2239"/>
      <c r="K50" s="2810" t="s">
        <v>2337</v>
      </c>
      <c r="L50" s="2240"/>
      <c r="O50" s="2254" t="s">
        <v>2366</v>
      </c>
      <c r="P50" s="2255" t="s">
        <v>2391</v>
      </c>
      <c r="Q50" s="2256" t="str">
        <f ca="1">J61</f>
        <v>0</v>
      </c>
      <c r="R50" s="2255" t="s">
        <v>2367</v>
      </c>
    </row>
    <row r="51" spans="1:18" s="1943" customFormat="1" ht="18" customHeight="1" thickBot="1">
      <c r="A51" s="1979"/>
      <c r="D51" s="1977"/>
      <c r="E51" s="1977"/>
      <c r="F51" s="1968"/>
      <c r="H51" s="1976"/>
      <c r="I51" s="2799" t="s">
        <v>2332</v>
      </c>
      <c r="J51" s="2806">
        <f>SUMPRODUCT((I64:I66=J48)*(J63:L63=J49)*(J64:L66))</f>
        <v>0</v>
      </c>
      <c r="K51" s="2810" t="s">
        <v>2338</v>
      </c>
      <c r="L51" s="2240"/>
      <c r="O51" s="2257" t="s">
        <v>2368</v>
      </c>
      <c r="P51" s="2255" t="s">
        <v>2392</v>
      </c>
      <c r="Q51" s="2256">
        <f ca="1">C31</f>
        <v>0</v>
      </c>
      <c r="R51" s="2255" t="s">
        <v>2365</v>
      </c>
    </row>
    <row r="52" spans="1:18" s="1943" customFormat="1" ht="18" customHeight="1" thickBot="1">
      <c r="A52" s="1979"/>
      <c r="F52" s="1968"/>
      <c r="I52" s="2803" t="s">
        <v>2333</v>
      </c>
      <c r="J52" s="2807">
        <f>IF(J50="",J51,J50+J51-YEAR('数据-取费表'!B3))</f>
        <v>0</v>
      </c>
      <c r="K52" s="2799" t="s">
        <v>2339</v>
      </c>
      <c r="L52" s="2813">
        <f ca="1">C45</f>
        <v>0</v>
      </c>
      <c r="O52" s="2257" t="s">
        <v>2369</v>
      </c>
      <c r="P52" s="2255" t="s">
        <v>2370</v>
      </c>
      <c r="Q52" s="2258" t="e">
        <f ca="1">J59</f>
        <v>#VALUE!</v>
      </c>
      <c r="R52" s="2259"/>
    </row>
    <row r="53" spans="1:18" s="1943" customFormat="1" ht="18" customHeight="1" thickBot="1">
      <c r="A53" s="1979"/>
      <c r="F53" s="1968"/>
      <c r="I53" s="2804" t="s">
        <v>2406</v>
      </c>
      <c r="J53" s="2241"/>
      <c r="K53" s="2804" t="s">
        <v>2405</v>
      </c>
      <c r="L53" s="2241"/>
      <c r="O53" s="2257" t="s">
        <v>2371</v>
      </c>
      <c r="P53" s="2255" t="s">
        <v>2372</v>
      </c>
      <c r="Q53" s="2258">
        <f>J53</f>
        <v>0</v>
      </c>
      <c r="R53" s="2259"/>
    </row>
    <row r="54" spans="1:18" s="1943" customFormat="1" ht="29.25" thickBot="1">
      <c r="A54" s="1979"/>
      <c r="I54" s="2805" t="s">
        <v>2931</v>
      </c>
      <c r="J54" s="2858">
        <f ca="1">IF(M48="住宅",MAX(J52,L49-'数据-取费表'!B20),MIN(J52,L49-'数据-取费表'!B20))</f>
        <v>-1.5</v>
      </c>
      <c r="K54" s="3568"/>
      <c r="L54" s="3569"/>
      <c r="O54" s="2257" t="s">
        <v>2373</v>
      </c>
      <c r="P54" s="2255" t="s">
        <v>2374</v>
      </c>
      <c r="Q54" s="2256">
        <f ca="1">J54</f>
        <v>-1.5</v>
      </c>
      <c r="R54" s="2255" t="s">
        <v>2375</v>
      </c>
    </row>
    <row r="55" spans="1:18" s="1943" customFormat="1" ht="18" customHeight="1" thickBot="1">
      <c r="A55" s="1979"/>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4" t="s">
        <v>2376</v>
      </c>
      <c r="P55" s="2255" t="s">
        <v>2393</v>
      </c>
      <c r="Q55" s="2256">
        <f ca="1">Q49+Q50</f>
        <v>0</v>
      </c>
      <c r="R55" s="2259" t="s">
        <v>2377</v>
      </c>
    </row>
    <row r="56" spans="1:18" s="1943" customFormat="1" ht="16.5" thickBot="1">
      <c r="A56" s="1979"/>
      <c r="B56" s="1980"/>
      <c r="C56" s="1980"/>
      <c r="I56" s="2816" t="s">
        <v>2340</v>
      </c>
      <c r="J56" s="2788" t="e">
        <f ca="1">ROUND(IF(J48="钢混",J58/J51,1-(1-2%)*(J51-J58)/J51),3)</f>
        <v>#VALUE!</v>
      </c>
      <c r="K56" s="2817" t="s">
        <v>2341</v>
      </c>
      <c r="L56" s="2242"/>
      <c r="O56" s="2260" t="s">
        <v>2396</v>
      </c>
      <c r="P56" s="1527"/>
      <c r="Q56" s="1535"/>
      <c r="R56" s="1527"/>
    </row>
    <row r="57" spans="1:18" s="1943" customFormat="1" ht="43.5" thickBot="1">
      <c r="A57" s="1979"/>
      <c r="B57" s="1980"/>
      <c r="C57" s="1980"/>
      <c r="I57" s="2818" t="s">
        <v>2342</v>
      </c>
      <c r="J57" s="2828" t="s">
        <v>1669</v>
      </c>
      <c r="K57" s="2799" t="s">
        <v>2347</v>
      </c>
      <c r="L57" s="1823">
        <f ca="1">IF(L49&lt;J52,"——",L49-J52)</f>
        <v>0</v>
      </c>
      <c r="O57" s="2251" t="s">
        <v>2360</v>
      </c>
      <c r="P57" s="2252" t="s">
        <v>2361</v>
      </c>
      <c r="Q57" s="2253" t="s">
        <v>2362</v>
      </c>
      <c r="R57" s="2252" t="s">
        <v>2363</v>
      </c>
    </row>
    <row r="58" spans="1:18" s="1943" customFormat="1" ht="29.25" thickBot="1">
      <c r="A58" s="1979"/>
      <c r="B58" s="1980"/>
      <c r="C58" s="1980"/>
      <c r="I58" s="2819" t="s">
        <v>2343</v>
      </c>
      <c r="J58" s="2820" t="str">
        <f ca="1">IF(OR(M48="住宅",J52&lt;L49,J57="是"),"——",J52-L49)</f>
        <v>——</v>
      </c>
      <c r="K58" s="2799" t="s">
        <v>2348</v>
      </c>
      <c r="L58" s="1823">
        <f ca="1">IF(L49&lt;J52,"——",IF(L56="比较法",L50,IF(L56="基准地价",L51,L52)))</f>
        <v>0</v>
      </c>
      <c r="O58" s="2254" t="s">
        <v>2364</v>
      </c>
      <c r="P58" s="2255" t="s">
        <v>2390</v>
      </c>
      <c r="Q58" s="2256">
        <f ca="1">C41+J31</f>
        <v>0</v>
      </c>
      <c r="R58" s="2255" t="s">
        <v>2365</v>
      </c>
    </row>
    <row r="59" spans="1:18" s="1943" customFormat="1" ht="29.25" thickBot="1">
      <c r="A59" s="1979"/>
      <c r="B59" s="1980"/>
      <c r="C59" s="1980"/>
      <c r="I59" s="2819" t="s">
        <v>2344</v>
      </c>
      <c r="J59" s="2789" t="e">
        <f ca="1">IF(J56&lt;0.4,0.4,J56)</f>
        <v>#VALUE!</v>
      </c>
      <c r="K59" s="2799" t="s">
        <v>2349</v>
      </c>
      <c r="L59" s="1823">
        <f ca="1">IF(ISERROR(POWER(1+L53,L48-L49)*(POWER(1+L53,L49)-1)/(POWER(1+L53,L48)-1)),0,POWER(1+L53,L48-L49)*(POWER(1+L53,L49)-1)/(POWER(1+L53,L48)-1))</f>
        <v>0</v>
      </c>
      <c r="O59" s="2254" t="s">
        <v>2366</v>
      </c>
      <c r="P59" s="2255" t="s">
        <v>2397</v>
      </c>
      <c r="Q59" s="2256" t="e">
        <f ca="1">L61</f>
        <v>#DIV/0!</v>
      </c>
      <c r="R59" s="2259" t="s">
        <v>2399</v>
      </c>
    </row>
    <row r="60" spans="1:18" s="1943" customFormat="1" ht="29.25" thickBot="1">
      <c r="A60" s="1979"/>
      <c r="B60" s="1980"/>
      <c r="C60" s="1980"/>
      <c r="I60" s="2819" t="s">
        <v>2345</v>
      </c>
      <c r="J60" s="2820" t="str">
        <f ca="1">IF(OR(M48="住宅",J52&lt;L49,J57="是"),"——",ROUND(C30*J59,0))</f>
        <v>——</v>
      </c>
      <c r="K60" s="2799" t="s">
        <v>2350</v>
      </c>
      <c r="L60" s="1823">
        <f ca="1">IF(ISERROR(POWER(1+L53,L48-J52)*(POWER(1+L53,J52)-1)/(POWER(1+L53,L48)-1)),0,POWER(1+L53,L48-J52)*(POWER(1+L53,J52)-1)/(POWER(1+L53,L48)-1))</f>
        <v>0</v>
      </c>
      <c r="O60" s="2257" t="s">
        <v>2368</v>
      </c>
      <c r="P60" s="2255" t="s">
        <v>2398</v>
      </c>
      <c r="Q60" s="2256">
        <f>IF(L56="比较法",L50,IF(L56="基准地价",L51,0))</f>
        <v>0</v>
      </c>
      <c r="R60" s="2255" t="s">
        <v>2365</v>
      </c>
    </row>
    <row r="61" spans="1:18" s="1943" customFormat="1" ht="15.75" thickBot="1">
      <c r="A61" s="1979"/>
      <c r="B61" s="1980"/>
      <c r="C61" s="1980"/>
      <c r="I61" s="2821" t="s">
        <v>2346</v>
      </c>
      <c r="J61" s="2822" t="str">
        <f ca="1">IF(OR(M48="住宅",J52&lt;L49,J57="是"),"0",ROUND(J60/(1+J53)^J54,0))</f>
        <v>0</v>
      </c>
      <c r="K61" s="2823" t="s">
        <v>2351</v>
      </c>
      <c r="L61" s="2822" t="e">
        <f ca="1">IF(OR(M48="住宅",L49&lt;J52),0,ROUND(L58*(L59/L60-1),0))</f>
        <v>#DIV/0!</v>
      </c>
      <c r="O61" s="2257" t="s">
        <v>2369</v>
      </c>
      <c r="P61" s="2255" t="s">
        <v>2378</v>
      </c>
      <c r="Q61" s="2258">
        <f>L53</f>
        <v>0</v>
      </c>
      <c r="R61" s="2259"/>
    </row>
    <row r="62" spans="1:18" s="1943" customFormat="1" ht="20.25" thickBot="1">
      <c r="A62" s="1979"/>
      <c r="B62" s="1980"/>
      <c r="C62" s="1980"/>
      <c r="K62" s="1969"/>
      <c r="O62" s="2257" t="s">
        <v>2371</v>
      </c>
      <c r="P62" s="2255" t="s">
        <v>2379</v>
      </c>
      <c r="Q62" s="2256">
        <f ca="1">L59</f>
        <v>0</v>
      </c>
      <c r="R62" s="2259" t="s">
        <v>2380</v>
      </c>
    </row>
    <row r="63" spans="1:18" s="1943" customFormat="1" ht="20.25" thickBot="1">
      <c r="A63" s="1979"/>
      <c r="B63" s="1980"/>
      <c r="C63" s="1980"/>
      <c r="I63" s="2824" t="s">
        <v>2352</v>
      </c>
      <c r="J63" s="2825" t="s">
        <v>2353</v>
      </c>
      <c r="K63" s="2825" t="s">
        <v>2354</v>
      </c>
      <c r="L63" s="2825" t="s">
        <v>2335</v>
      </c>
      <c r="M63" s="2826" t="s">
        <v>2899</v>
      </c>
      <c r="O63" s="2257" t="s">
        <v>2373</v>
      </c>
      <c r="P63" s="2255" t="s">
        <v>2381</v>
      </c>
      <c r="Q63" s="2256">
        <f ca="1">L60</f>
        <v>0</v>
      </c>
      <c r="R63" s="2259" t="s">
        <v>2382</v>
      </c>
    </row>
    <row r="64" spans="1:18" s="1943" customFormat="1" ht="15.75" thickBot="1">
      <c r="A64" s="1979"/>
      <c r="B64" s="1980"/>
      <c r="C64" s="1980"/>
      <c r="I64" s="2824" t="s">
        <v>2355</v>
      </c>
      <c r="J64" s="2825">
        <v>70</v>
      </c>
      <c r="K64" s="2825">
        <v>50</v>
      </c>
      <c r="L64" s="2825">
        <v>80</v>
      </c>
      <c r="M64" s="2827">
        <v>0.02</v>
      </c>
      <c r="O64" s="2254" t="s">
        <v>2376</v>
      </c>
      <c r="P64" s="2255" t="s">
        <v>2393</v>
      </c>
      <c r="Q64" s="2256" t="e">
        <f ca="1">Q58+Q59</f>
        <v>#DIV/0!</v>
      </c>
      <c r="R64" s="2259" t="s">
        <v>2377</v>
      </c>
    </row>
    <row r="65" spans="1:18" s="1943" customFormat="1" ht="16.5" thickBot="1">
      <c r="A65" s="1979"/>
      <c r="B65" s="1980"/>
      <c r="C65" s="1980"/>
      <c r="I65" s="2824" t="s">
        <v>2356</v>
      </c>
      <c r="J65" s="2825">
        <v>50</v>
      </c>
      <c r="K65" s="2825">
        <v>35</v>
      </c>
      <c r="L65" s="2825">
        <v>60</v>
      </c>
      <c r="M65" s="835">
        <v>0</v>
      </c>
      <c r="O65" s="2260" t="s">
        <v>2400</v>
      </c>
      <c r="P65" s="1527"/>
      <c r="Q65" s="1535"/>
      <c r="R65" s="1527"/>
    </row>
    <row r="66" spans="1:18" s="1943" customFormat="1" ht="15.75" thickBot="1">
      <c r="A66" s="1979"/>
      <c r="B66" s="1980"/>
      <c r="C66" s="1980"/>
      <c r="I66" s="2824" t="s">
        <v>2357</v>
      </c>
      <c r="J66" s="2825">
        <v>40</v>
      </c>
      <c r="K66" s="2825">
        <v>30</v>
      </c>
      <c r="L66" s="2825">
        <v>50</v>
      </c>
      <c r="M66" s="2827">
        <v>0.02</v>
      </c>
      <c r="O66" s="2251" t="s">
        <v>2360</v>
      </c>
      <c r="P66" s="2252" t="s">
        <v>2361</v>
      </c>
      <c r="Q66" s="2253" t="s">
        <v>2362</v>
      </c>
      <c r="R66" s="2252" t="s">
        <v>2363</v>
      </c>
    </row>
    <row r="67" spans="1:18" s="1943" customFormat="1" ht="15.75" thickBot="1">
      <c r="A67" s="1979"/>
      <c r="B67" s="1980"/>
      <c r="C67" s="1980"/>
      <c r="K67" s="1969"/>
      <c r="O67" s="2254" t="s">
        <v>2364</v>
      </c>
      <c r="P67" s="2255" t="s">
        <v>2390</v>
      </c>
      <c r="Q67" s="2256">
        <f ca="1">C41+J31</f>
        <v>0</v>
      </c>
      <c r="R67" s="2255" t="s">
        <v>2365</v>
      </c>
    </row>
    <row r="68" spans="1:18" s="1943" customFormat="1" ht="20.25" thickBot="1">
      <c r="A68" s="1979"/>
      <c r="B68" s="1980"/>
      <c r="C68" s="1980"/>
      <c r="K68" s="1969"/>
      <c r="O68" s="2254" t="s">
        <v>2366</v>
      </c>
      <c r="P68" s="2255" t="s">
        <v>2397</v>
      </c>
      <c r="Q68" s="2256" t="e">
        <f ca="1">L61</f>
        <v>#DIV/0!</v>
      </c>
      <c r="R68" s="2259" t="s">
        <v>2399</v>
      </c>
    </row>
    <row r="69" spans="1:18" s="1943" customFormat="1" ht="21.75" thickBot="1">
      <c r="A69" s="1979"/>
      <c r="B69" s="1980"/>
      <c r="C69" s="1980"/>
      <c r="K69" s="1969"/>
      <c r="O69" s="2257" t="s">
        <v>2368</v>
      </c>
      <c r="P69" s="2255" t="s">
        <v>2398</v>
      </c>
      <c r="Q69" s="2261">
        <f ca="1">L52</f>
        <v>0</v>
      </c>
      <c r="R69" s="2262" t="s">
        <v>2401</v>
      </c>
    </row>
    <row r="70" spans="1:18" s="1943" customFormat="1" ht="20.25" thickBot="1">
      <c r="A70" s="1979"/>
      <c r="B70" s="1980"/>
      <c r="C70" s="1980"/>
      <c r="K70" s="1969"/>
      <c r="O70" s="2257" t="s">
        <v>2369</v>
      </c>
      <c r="P70" s="2263" t="s">
        <v>2383</v>
      </c>
      <c r="Q70" s="2256">
        <f ca="1">ROUND(Q71-Q72*Q73,0)</f>
        <v>0</v>
      </c>
      <c r="R70" s="2259"/>
    </row>
    <row r="71" spans="1:18" s="1943" customFormat="1" ht="15.75" thickBot="1">
      <c r="A71" s="1979"/>
      <c r="B71" s="1980"/>
      <c r="C71" s="1980"/>
      <c r="K71" s="1969"/>
      <c r="O71" s="2257" t="s">
        <v>2384</v>
      </c>
      <c r="P71" s="2263" t="s">
        <v>2385</v>
      </c>
      <c r="Q71" s="2256">
        <f ca="1">C42</f>
        <v>0</v>
      </c>
      <c r="R71" s="2255" t="s">
        <v>2365</v>
      </c>
    </row>
    <row r="72" spans="1:18" s="1943" customFormat="1" ht="15.75" thickBot="1">
      <c r="A72" s="1979"/>
      <c r="B72" s="1980"/>
      <c r="C72" s="1980"/>
      <c r="K72" s="1969"/>
      <c r="O72" s="2257" t="s">
        <v>2386</v>
      </c>
      <c r="P72" s="2263" t="s">
        <v>2387</v>
      </c>
      <c r="Q72" s="2256">
        <f ca="1">C15</f>
        <v>0</v>
      </c>
      <c r="R72" s="2255" t="s">
        <v>2365</v>
      </c>
    </row>
    <row r="73" spans="1:18" s="1943" customFormat="1" ht="15.75" thickBot="1">
      <c r="A73" s="1979"/>
      <c r="B73" s="1980"/>
      <c r="C73" s="1980"/>
      <c r="K73" s="1969"/>
      <c r="O73" s="2257" t="s">
        <v>2388</v>
      </c>
      <c r="P73" s="2263" t="s">
        <v>2389</v>
      </c>
      <c r="Q73" s="2258">
        <f ca="1">F43</f>
        <v>0</v>
      </c>
      <c r="R73" s="2259"/>
    </row>
    <row r="74" spans="1:18" s="1943" customFormat="1" ht="15.75" thickBot="1">
      <c r="A74" s="1979"/>
      <c r="B74" s="1980"/>
      <c r="C74" s="1980"/>
      <c r="K74" s="1969"/>
      <c r="O74" s="2257" t="s">
        <v>2371</v>
      </c>
      <c r="P74" s="2255" t="s">
        <v>2378</v>
      </c>
      <c r="Q74" s="2258">
        <f>L53</f>
        <v>0</v>
      </c>
      <c r="R74" s="2259"/>
    </row>
    <row r="75" spans="1:18" s="1943" customFormat="1" ht="20.25" thickBot="1">
      <c r="A75" s="1979"/>
      <c r="B75" s="1980"/>
      <c r="C75" s="1980"/>
      <c r="K75" s="1969"/>
      <c r="O75" s="2257" t="s">
        <v>2373</v>
      </c>
      <c r="P75" s="2255" t="s">
        <v>2379</v>
      </c>
      <c r="Q75" s="2256">
        <f ca="1">L59</f>
        <v>0</v>
      </c>
      <c r="R75" s="2259" t="s">
        <v>2380</v>
      </c>
    </row>
    <row r="76" spans="1:18" s="1943" customFormat="1" ht="20.25" thickBot="1">
      <c r="A76" s="1979"/>
      <c r="B76" s="1980"/>
      <c r="C76" s="1980"/>
      <c r="K76" s="1969"/>
      <c r="O76" s="2257" t="s">
        <v>2402</v>
      </c>
      <c r="P76" s="2255" t="s">
        <v>2381</v>
      </c>
      <c r="Q76" s="2256">
        <f ca="1">L60</f>
        <v>0</v>
      </c>
      <c r="R76" s="2259" t="s">
        <v>2382</v>
      </c>
    </row>
    <row r="77" spans="1:18" s="1943" customFormat="1" ht="15.75" thickBot="1">
      <c r="A77" s="1979"/>
      <c r="B77" s="1980"/>
      <c r="C77" s="1980"/>
      <c r="K77" s="1969"/>
      <c r="O77" s="2254" t="s">
        <v>2376</v>
      </c>
      <c r="P77" s="2255" t="s">
        <v>2393</v>
      </c>
      <c r="Q77" s="2256" t="e">
        <f ca="1">Q67+Q68</f>
        <v>#DIV/0!</v>
      </c>
      <c r="R77" s="2259" t="s">
        <v>2377</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13141.8平方米。根据《建设工程规划许可证》[]、《出让合同》[]，估价对象规划建筑面积为26283.6平方米。</v>
      </c>
    </row>
    <row r="7" spans="1:4" ht="56.25">
      <c r="A7" s="1711" t="s">
        <v>2727</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2021年5月13日（评估专业人员勘察现场之日）</v>
      </c>
    </row>
    <row r="12" spans="1:4" ht="18.75">
      <c r="A12" s="1713" t="s">
        <v>2014</v>
      </c>
    </row>
    <row r="13" spans="1:4" ht="18.75">
      <c r="A13" s="1707" t="s">
        <v>2898</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37.5">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根据《国有土地使用证》[]，估价对象（分摊）出让国有建设用地使用权面积为13141.8平方米。根据《建设工程规划许可证》[]、《出让合同》[]，估价对象规划建筑面积为26283.6平方米。</v>
      </c>
    </row>
    <row r="21" spans="1:1" ht="18.75">
      <c r="A21" s="1707" t="s">
        <v>2063</v>
      </c>
    </row>
    <row r="22" spans="1:1" ht="56.25">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本次估价对象为出让国有建设用地使用权，《国有土地使用证》[]证载土地终止日期为商业2039年10月29日、办公2049年10月29日。截至估价期日，出让国有建设用地使用权剩余土地使用年限为。</v>
      </c>
    </row>
    <row r="23" spans="1:1" ht="18.75">
      <c r="A23" s="1707" t="str">
        <f>IF(项目基本情况!B16="出让","本次评估设定估价对象剩余土地使用年限为"&amp;项目基本情况!D20&amp;"。","")</f>
        <v>本次评估设定估价对象剩余土地使用年限为。</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5月13日，在规划利用条件下、设定土地开发程度为红线外“七通”、宗地内场地，设定用途为，剩余土地使用年限为的出让国有建设用地使用权价格。</v>
      </c>
    </row>
    <row r="26" spans="1:1" ht="18.75">
      <c r="A26" s="1707" t="str">
        <f>IF(项目基本情况!B9="市场价格","——",IF(项目基本情况!E8="抵押价格",定义!C54,IF(项目基本情况!E8="已注销",定义!C55,定义!C56)))</f>
        <v>——</v>
      </c>
    </row>
    <row r="27" spans="1:1" ht="18.75">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07" t="str">
        <f>IF(项目基本情况!B9="市场价格","——",IF(项目基本情况!E9="——","",定义!C57))</f>
        <v>——</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K66" sqref="K66"/>
    </sheetView>
  </sheetViews>
  <sheetFormatPr defaultColWidth="9" defaultRowHeight="15"/>
  <cols>
    <col min="1" max="1" width="9" style="1944" customWidth="1"/>
    <col min="2" max="2" width="20.625" style="1982" customWidth="1"/>
    <col min="3" max="3" width="11.875" style="1982" customWidth="1"/>
    <col min="4" max="4" width="40.5" style="1944" customWidth="1"/>
    <col min="5" max="5" width="15.75" style="1944" customWidth="1"/>
    <col min="6" max="6" width="10.625" style="1944" customWidth="1"/>
    <col min="7" max="7" width="4.875" style="1944" customWidth="1"/>
    <col min="8" max="8" width="8.5" style="1944" customWidth="1"/>
    <col min="9" max="9" width="21.25" style="1944" customWidth="1"/>
    <col min="10" max="10" width="12.25" style="1944" customWidth="1"/>
    <col min="11" max="11" width="40.125" style="1983" customWidth="1"/>
    <col min="12" max="12" width="18.375" style="1944" customWidth="1"/>
    <col min="13" max="13" width="13" style="1944" customWidth="1"/>
    <col min="14" max="14" width="9.5" style="1943" bestFit="1" customWidth="1"/>
    <col min="15" max="15" width="5.875" style="1943" customWidth="1"/>
    <col min="16" max="16" width="27.625" style="1943" customWidth="1"/>
    <col min="17" max="17" width="13.75" style="1980" customWidth="1"/>
    <col min="18" max="18" width="23.5" style="1943" customWidth="1"/>
    <col min="19" max="19" width="1.5" style="1943" customWidth="1"/>
    <col min="20" max="33" width="9" style="1943"/>
    <col min="34" max="16384" width="9" style="1944"/>
  </cols>
  <sheetData>
    <row r="1" spans="1:33" s="1938" customFormat="1" ht="21">
      <c r="A1" s="821" t="s">
        <v>1716</v>
      </c>
      <c r="B1" s="730"/>
      <c r="C1" s="763"/>
      <c r="D1" s="2798" t="s">
        <v>943</v>
      </c>
      <c r="E1" s="2243" t="s">
        <v>2359</v>
      </c>
      <c r="F1" s="2244">
        <f ca="1">J53</f>
        <v>0</v>
      </c>
      <c r="G1" s="3259">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1717</v>
      </c>
      <c r="B2" s="765" t="e">
        <f ca="1">C40+J29+L46</f>
        <v>#DIV/0!</v>
      </c>
      <c r="C2" s="3264"/>
      <c r="D2" s="3265"/>
      <c r="E2" s="3266"/>
      <c r="F2" s="3266"/>
      <c r="G2" s="3260"/>
      <c r="H2" s="1941"/>
      <c r="I2" s="1941"/>
      <c r="J2" s="1941"/>
      <c r="K2" s="1942"/>
      <c r="L2" s="1941"/>
      <c r="M2" s="1941"/>
    </row>
    <row r="3" spans="1:33" ht="18" customHeight="1" thickBot="1">
      <c r="A3" s="822" t="s">
        <v>1718</v>
      </c>
      <c r="B3" s="823">
        <f ca="1">IF(ISERROR(B2*10000/F43),0,ROUND(B2*10000/F43,0))</f>
        <v>0</v>
      </c>
      <c r="C3" s="3264"/>
      <c r="D3" s="3265"/>
      <c r="E3" s="3266"/>
      <c r="F3" s="3266"/>
      <c r="G3" s="3260"/>
      <c r="H3" s="766" t="s">
        <v>689</v>
      </c>
      <c r="I3" s="1316"/>
      <c r="J3" s="1316"/>
      <c r="K3" s="1526"/>
      <c r="L3" s="1316"/>
      <c r="M3" s="1316"/>
    </row>
    <row r="4" spans="1:33" ht="18" customHeight="1">
      <c r="A4" s="767" t="s">
        <v>1719</v>
      </c>
      <c r="B4" s="768" t="s">
        <v>1720</v>
      </c>
      <c r="C4" s="768" t="s">
        <v>1721</v>
      </c>
      <c r="D4" s="768" t="s">
        <v>627</v>
      </c>
      <c r="E4" s="769" t="s">
        <v>1722</v>
      </c>
      <c r="F4" s="770"/>
      <c r="G4" s="1946"/>
      <c r="H4" s="767" t="s">
        <v>1723</v>
      </c>
      <c r="I4" s="768" t="s">
        <v>1724</v>
      </c>
      <c r="J4" s="768" t="s">
        <v>1725</v>
      </c>
      <c r="K4" s="768" t="s">
        <v>1726</v>
      </c>
      <c r="L4" s="769" t="s">
        <v>1727</v>
      </c>
      <c r="M4" s="770"/>
    </row>
    <row r="5" spans="1:33" ht="18" customHeight="1">
      <c r="A5" s="771">
        <v>1</v>
      </c>
      <c r="B5" s="772" t="s">
        <v>2439</v>
      </c>
      <c r="C5" s="55">
        <f ca="1">C6+C10+C12</f>
        <v>0</v>
      </c>
      <c r="D5" s="2350" t="s">
        <v>2442</v>
      </c>
      <c r="E5" s="2344"/>
      <c r="F5" s="2345"/>
      <c r="G5" s="1946"/>
      <c r="H5" s="771">
        <v>1</v>
      </c>
      <c r="I5" s="772" t="s">
        <v>2439</v>
      </c>
      <c r="J5" s="55">
        <f ca="1">J6+J10+J12</f>
        <v>0</v>
      </c>
      <c r="K5" s="2350" t="s">
        <v>2442</v>
      </c>
      <c r="L5" s="2344"/>
      <c r="M5" s="2345"/>
    </row>
    <row r="6" spans="1:33" ht="18" customHeight="1">
      <c r="A6" s="1746" t="s">
        <v>1815</v>
      </c>
      <c r="B6" s="3564" t="s">
        <v>2444</v>
      </c>
      <c r="C6" s="773">
        <f ca="1">ROUND(F6*F8*F7*(1-F9)/10000,0)</f>
        <v>0</v>
      </c>
      <c r="D6" s="2351" t="s">
        <v>2443</v>
      </c>
      <c r="E6" s="774" t="s">
        <v>1729</v>
      </c>
      <c r="F6" s="775">
        <f ca="1">INDIRECT("'数据-取费表'!u"&amp;$G$1)</f>
        <v>0</v>
      </c>
      <c r="G6" s="1946"/>
      <c r="H6" s="2358" t="s">
        <v>2449</v>
      </c>
      <c r="I6" s="3564" t="s">
        <v>2444</v>
      </c>
      <c r="J6" s="773">
        <f ca="1">ROUND(M6*M8*M7*(1-M9)/10000,0)</f>
        <v>0</v>
      </c>
      <c r="K6" s="339" t="s">
        <v>1728</v>
      </c>
      <c r="L6" s="774" t="s">
        <v>1729</v>
      </c>
      <c r="M6" s="775">
        <f ca="1">INDIRECT("'数据-取费表'!z"&amp;$G$1)</f>
        <v>0</v>
      </c>
    </row>
    <row r="7" spans="1:33" ht="18" customHeight="1">
      <c r="A7" s="2354"/>
      <c r="B7" s="3565"/>
      <c r="C7" s="778"/>
      <c r="D7" s="779"/>
      <c r="E7" s="774" t="s">
        <v>1730</v>
      </c>
      <c r="F7" s="775">
        <f ca="1">IF(INDIRECT("'数据-取费表'!ah"&amp;$G$1)="",INDIRECT("'数据-取费表'!k"&amp;$G$1),INDIRECT("'数据-取费表'!ah"&amp;$G$1))</f>
        <v>0</v>
      </c>
      <c r="G7" s="1946"/>
      <c r="H7" s="2343"/>
      <c r="I7" s="3565"/>
      <c r="J7" s="778"/>
      <c r="K7" s="779"/>
      <c r="L7" s="774" t="s">
        <v>1730</v>
      </c>
      <c r="M7" s="775">
        <f ca="1">F7</f>
        <v>0</v>
      </c>
    </row>
    <row r="8" spans="1:33" ht="18" customHeight="1">
      <c r="A8" s="2347"/>
      <c r="B8" s="3566"/>
      <c r="C8" s="778"/>
      <c r="D8" s="779"/>
      <c r="E8" s="774" t="s">
        <v>1731</v>
      </c>
      <c r="F8" s="775">
        <f ca="1">INDIRECT("'数据-取费表'!ai"&amp;$G$1)</f>
        <v>0</v>
      </c>
      <c r="G8" s="1946"/>
      <c r="H8" s="2343"/>
      <c r="I8" s="3566"/>
      <c r="J8" s="778"/>
      <c r="K8" s="779"/>
      <c r="L8" s="774" t="s">
        <v>1731</v>
      </c>
      <c r="M8" s="775">
        <f ca="1">INDIRECT("'数据-取费表'!ai"&amp;$G$1)</f>
        <v>0</v>
      </c>
    </row>
    <row r="9" spans="1:33" ht="18" customHeight="1">
      <c r="A9" s="776"/>
      <c r="B9" s="3567"/>
      <c r="C9" s="778"/>
      <c r="D9" s="779"/>
      <c r="E9" s="774" t="s">
        <v>1732</v>
      </c>
      <c r="F9" s="784">
        <f ca="1">INDIRECT("'数据-取费表'!w"&amp;$G$1)</f>
        <v>0</v>
      </c>
      <c r="G9" s="1946"/>
      <c r="H9" s="2359"/>
      <c r="I9" s="3566"/>
      <c r="J9" s="778"/>
      <c r="K9" s="779"/>
      <c r="L9" s="785" t="s">
        <v>1732</v>
      </c>
      <c r="M9" s="786">
        <f ca="1">INDIRECT("'数据-取费表'!ab"&amp;$G$1)</f>
        <v>0</v>
      </c>
    </row>
    <row r="10" spans="1:33" ht="18" customHeight="1">
      <c r="A10" s="1746" t="s">
        <v>2447</v>
      </c>
      <c r="B10" s="2348" t="s">
        <v>2440</v>
      </c>
      <c r="C10" s="789">
        <f ca="1">ROUND(IF(F10="押一",C6/12*F11,IF(F10="押二",C6/12*2*F11,IF(F10="押三",C6/12*3*F11,C11*F11))),0)</f>
        <v>0</v>
      </c>
      <c r="D10" s="2355" t="s">
        <v>2927</v>
      </c>
      <c r="E10" s="2352" t="s">
        <v>2445</v>
      </c>
      <c r="F10" s="2466"/>
      <c r="G10" s="1946"/>
      <c r="H10" s="2415" t="s">
        <v>2450</v>
      </c>
      <c r="I10" s="2420" t="s">
        <v>2440</v>
      </c>
      <c r="J10" s="773">
        <f ca="1">ROUND(IF(M10="押一",J6/12*M11,IF(M10="押二",J6/12*2*M11,IF(M10="押三",J6/12*3*M11,J11*M11))),0)</f>
        <v>0</v>
      </c>
      <c r="K10" s="2355" t="s">
        <v>2927</v>
      </c>
      <c r="L10" s="2352" t="s">
        <v>2445</v>
      </c>
      <c r="M10" s="2466"/>
    </row>
    <row r="11" spans="1:33" ht="18" customHeight="1">
      <c r="A11" s="780"/>
      <c r="B11" s="2349" t="s">
        <v>2554</v>
      </c>
      <c r="C11" s="2353"/>
      <c r="D11" s="779"/>
      <c r="E11" s="2352" t="s">
        <v>2446</v>
      </c>
      <c r="F11" s="786">
        <f ca="1">'数据-取费表'!B39</f>
        <v>1.4999999999999999E-2</v>
      </c>
      <c r="G11" s="1946"/>
      <c r="H11" s="2416"/>
      <c r="I11" s="2349" t="s">
        <v>2554</v>
      </c>
      <c r="J11" s="2353"/>
      <c r="K11" s="2417"/>
      <c r="L11" s="2352" t="s">
        <v>2446</v>
      </c>
      <c r="M11" s="2346">
        <f ca="1">'数据-取费表'!B39</f>
        <v>1.4999999999999999E-2</v>
      </c>
    </row>
    <row r="12" spans="1:33" ht="18" customHeight="1" thickBot="1">
      <c r="A12" s="2391" t="s">
        <v>2448</v>
      </c>
      <c r="B12" s="2392" t="s">
        <v>2441</v>
      </c>
      <c r="C12" s="2393"/>
      <c r="D12" s="2394"/>
      <c r="E12" s="2395"/>
      <c r="F12" s="2396"/>
      <c r="G12" s="1946"/>
      <c r="H12" s="2405" t="s">
        <v>2451</v>
      </c>
      <c r="I12" s="2418" t="s">
        <v>2441</v>
      </c>
      <c r="J12" s="2419"/>
      <c r="K12" s="2394"/>
      <c r="L12" s="2395"/>
      <c r="M12" s="2408"/>
    </row>
    <row r="13" spans="1:33" ht="18" customHeight="1" thickTop="1">
      <c r="A13" s="1745">
        <v>2</v>
      </c>
      <c r="B13" s="1743" t="s">
        <v>1733</v>
      </c>
      <c r="C13" s="782">
        <f ca="1">ROUND(C29*F13,0)</f>
        <v>0</v>
      </c>
      <c r="D13" s="1750" t="s">
        <v>2285</v>
      </c>
      <c r="E13" s="1750" t="s">
        <v>1735</v>
      </c>
      <c r="F13" s="2390">
        <f ca="1">INDIRECT("'数据-取费表'!y"&amp;$G$1)</f>
        <v>0</v>
      </c>
      <c r="G13" s="1946"/>
      <c r="H13" s="1745">
        <v>2</v>
      </c>
      <c r="I13" s="1743" t="s">
        <v>1733</v>
      </c>
      <c r="J13" s="1735">
        <f ca="1">ROUND(J14*J15,0)</f>
        <v>0</v>
      </c>
      <c r="K13" s="1737" t="s">
        <v>1734</v>
      </c>
      <c r="L13" s="2406"/>
      <c r="M13" s="2407"/>
    </row>
    <row r="14" spans="1:33" ht="18" customHeight="1">
      <c r="A14" s="1577" t="s">
        <v>1875</v>
      </c>
      <c r="B14" s="774" t="s">
        <v>639</v>
      </c>
      <c r="C14" s="794">
        <f ca="1">INDIRECT("'数据-取费表'!m"&amp;$G$1)+INDIRECT("'数据-取费表'!t"&amp;$G$1)</f>
        <v>0</v>
      </c>
      <c r="D14" s="1894" t="s">
        <v>1736</v>
      </c>
      <c r="E14" s="1895"/>
      <c r="F14" s="795"/>
      <c r="G14" s="1946"/>
      <c r="H14" s="1578" t="s">
        <v>1821</v>
      </c>
      <c r="I14" s="2112" t="s">
        <v>2805</v>
      </c>
      <c r="J14" s="53">
        <f ca="1">C29</f>
        <v>0</v>
      </c>
      <c r="K14" s="26"/>
      <c r="L14" s="791"/>
      <c r="M14" s="792"/>
    </row>
    <row r="15" spans="1:33" s="1948" customFormat="1" ht="18" customHeight="1" thickBot="1">
      <c r="A15" s="1577" t="s">
        <v>1876</v>
      </c>
      <c r="B15" s="774" t="s">
        <v>641</v>
      </c>
      <c r="C15" s="53">
        <f ca="1">ROUND(C14*F15,0)</f>
        <v>0</v>
      </c>
      <c r="D15" s="796" t="s">
        <v>1737</v>
      </c>
      <c r="E15" s="796" t="s">
        <v>1738</v>
      </c>
      <c r="F15" s="797">
        <f>'数据-取费表'!B33</f>
        <v>0.05</v>
      </c>
      <c r="G15" s="3261"/>
      <c r="H15" s="2405" t="s">
        <v>1880</v>
      </c>
      <c r="I15" s="2400" t="s">
        <v>1735</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1877</v>
      </c>
      <c r="B16" s="774" t="s">
        <v>644</v>
      </c>
      <c r="C16" s="53">
        <f ca="1">ROUND(INDIRECT("'数据-取费表'!m"&amp;$G$1)*F16,0)</f>
        <v>0</v>
      </c>
      <c r="D16" s="774" t="s">
        <v>1737</v>
      </c>
      <c r="E16" s="774" t="s">
        <v>1738</v>
      </c>
      <c r="F16" s="799">
        <f ca="1">IF(INDIRECT("'数据-取费表'!c"&amp;$G$1)="住宅",'数据-取费表'!B34,0)</f>
        <v>0</v>
      </c>
      <c r="G16" s="1946"/>
      <c r="H16" s="1745" t="s">
        <v>1739</v>
      </c>
      <c r="I16" s="1743" t="s">
        <v>1740</v>
      </c>
      <c r="J16" s="782">
        <f ca="1">ROUND(J17+J22+J23+J24,0)</f>
        <v>0</v>
      </c>
      <c r="K16" s="1737" t="s">
        <v>1741</v>
      </c>
      <c r="L16" s="2340"/>
      <c r="M16" s="2345"/>
    </row>
    <row r="17" spans="1:33" s="1948" customFormat="1" ht="18" customHeight="1">
      <c r="A17" s="1577" t="s">
        <v>1878</v>
      </c>
      <c r="B17" s="774" t="s">
        <v>647</v>
      </c>
      <c r="C17" s="53">
        <f ca="1">ROUND(F17*(F43+INDIRECT("'数据-取费表'!S"&amp;$G$1))/10000,0)</f>
        <v>0</v>
      </c>
      <c r="D17" s="774" t="s">
        <v>1742</v>
      </c>
      <c r="E17" s="774" t="s">
        <v>1743</v>
      </c>
      <c r="F17" s="56">
        <f>'数据-取费表'!B35</f>
        <v>200</v>
      </c>
      <c r="G17" s="3261"/>
      <c r="H17" s="1578" t="s">
        <v>1821</v>
      </c>
      <c r="I17" s="774" t="s">
        <v>650</v>
      </c>
      <c r="J17" s="3019">
        <f ca="1">ROUND(IF(AND(项目基本情况!B11="自然人",项目基本情况!B10="北京市"),J6*M17/(1+'数据-取费表'!C42),J18+J19+J20),0)</f>
        <v>0</v>
      </c>
      <c r="K17" s="2339" t="s">
        <v>1744</v>
      </c>
      <c r="L17" s="2338" t="s">
        <v>1745</v>
      </c>
      <c r="M17" s="3018"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1879</v>
      </c>
      <c r="B18" s="774" t="s">
        <v>653</v>
      </c>
      <c r="C18" s="53">
        <f ca="1">ROUND(C14*F18,0)</f>
        <v>0</v>
      </c>
      <c r="D18" s="774" t="s">
        <v>1737</v>
      </c>
      <c r="E18" s="774" t="s">
        <v>1738</v>
      </c>
      <c r="F18" s="799">
        <f>'数据-取费表'!B36</f>
        <v>1.4999999999999999E-2</v>
      </c>
      <c r="G18" s="3261"/>
      <c r="H18" s="1577" t="s">
        <v>1875</v>
      </c>
      <c r="I18" s="774" t="s">
        <v>1746</v>
      </c>
      <c r="J18" s="53">
        <f ca="1">ROUND(J6*M18/(1+'数据-取费表'!C42),1)</f>
        <v>0</v>
      </c>
      <c r="K18" s="2338" t="s">
        <v>1747</v>
      </c>
      <c r="L18" s="774" t="s">
        <v>1738</v>
      </c>
      <c r="M18" s="799">
        <f>'数据-取费表'!B41</f>
        <v>5.5000000000000007E-2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1821</v>
      </c>
      <c r="B19" s="774" t="s">
        <v>656</v>
      </c>
      <c r="C19" s="53">
        <f ca="1">SUM(C14:C18)</f>
        <v>0</v>
      </c>
      <c r="D19" s="259" t="s">
        <v>1748</v>
      </c>
      <c r="E19" s="1897"/>
      <c r="F19" s="56"/>
      <c r="G19" s="1946"/>
      <c r="H19" s="1577"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8" customFormat="1" ht="18" customHeight="1">
      <c r="A20" s="1578" t="s">
        <v>1880</v>
      </c>
      <c r="B20" s="774" t="s">
        <v>660</v>
      </c>
      <c r="C20" s="53">
        <f ca="1">ROUND(C19*F20,0)</f>
        <v>0</v>
      </c>
      <c r="D20" s="801" t="s">
        <v>1750</v>
      </c>
      <c r="E20" s="774" t="s">
        <v>1738</v>
      </c>
      <c r="F20" s="799">
        <f>'数据-取费表'!B37</f>
        <v>2.5000000000000001E-2</v>
      </c>
      <c r="G20" s="3261"/>
      <c r="H20" s="1580" t="s">
        <v>1871</v>
      </c>
      <c r="I20" s="339" t="s">
        <v>1751</v>
      </c>
      <c r="J20" s="54">
        <f ca="1">ROUND(M20*M21/10000,0)</f>
        <v>0</v>
      </c>
      <c r="K20" s="803" t="s">
        <v>1752</v>
      </c>
      <c r="L20" s="774" t="s">
        <v>1753</v>
      </c>
      <c r="M20" s="632">
        <f>'数据-取费表'!B52</f>
        <v>1.5</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1881</v>
      </c>
      <c r="B21" s="774" t="s">
        <v>1754</v>
      </c>
      <c r="C21" s="53" t="s">
        <v>1755</v>
      </c>
      <c r="D21" s="801" t="s">
        <v>2286</v>
      </c>
      <c r="E21" s="774" t="s">
        <v>1756</v>
      </c>
      <c r="F21" s="799">
        <f>'数据-取费表'!B38</f>
        <v>0.03</v>
      </c>
      <c r="G21" s="3261"/>
      <c r="H21" s="2360"/>
      <c r="I21" s="783"/>
      <c r="J21" s="69"/>
      <c r="K21" s="805"/>
      <c r="L21" s="774" t="s">
        <v>1757</v>
      </c>
      <c r="M21" s="775">
        <f ca="1">INDIRECT("'数据-取费表'!r"&amp;$G$1)</f>
        <v>0</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1882</v>
      </c>
      <c r="B22" s="774" t="s">
        <v>1758</v>
      </c>
      <c r="C22" s="53"/>
      <c r="D22" s="2425" t="str">
        <f>IF(F23&lt;=1,"单利计息。","复利计息。")&amp;"建造成本、管理费用、销售费用产生的利息。"</f>
        <v>复利计息。建造成本、管理费用、销售费用产生的利息。</v>
      </c>
      <c r="E22" s="1897"/>
      <c r="F22" s="56"/>
      <c r="G22" s="1946"/>
      <c r="H22" s="1578" t="s">
        <v>1880</v>
      </c>
      <c r="I22" s="774" t="s">
        <v>1759</v>
      </c>
      <c r="J22" s="53">
        <f ca="1">ROUND(J14*M22,0)</f>
        <v>0</v>
      </c>
      <c r="K22" s="2338" t="s">
        <v>1760</v>
      </c>
      <c r="L22" s="774" t="s">
        <v>1738</v>
      </c>
      <c r="M22" s="806">
        <f ca="1">INDIRECT("'数据-取费表'!Ak"&amp;$G$1)</f>
        <v>0</v>
      </c>
    </row>
    <row r="23" spans="1:33" s="1948" customFormat="1" ht="18" customHeight="1">
      <c r="A23" s="1577" t="s">
        <v>1822</v>
      </c>
      <c r="B23" s="774" t="s">
        <v>2516</v>
      </c>
      <c r="C23" s="53">
        <f ca="1">ROUND(IF('数据-取费表'!B22&lt;=1,(C19+C20)*F24*F23/2,(C19+C20)*(POWER((1+F24),F23/2)-1)),0)</f>
        <v>0</v>
      </c>
      <c r="D23" s="2424" t="str">
        <f>IF(F23&lt;=1,"(建造成本+管理费用)×利率×(建设周期÷2)","(建造成本+管理费用)×((1+利率)^(建设周期÷2)-1)")</f>
        <v>(建造成本+管理费用)×((1+利率)^(建设周期÷2)-1)</v>
      </c>
      <c r="E23" s="774" t="s">
        <v>1761</v>
      </c>
      <c r="F23" s="632">
        <f>'数据-取费表'!B20</f>
        <v>1.5</v>
      </c>
      <c r="G23" s="3261"/>
      <c r="H23" s="1578" t="s">
        <v>1881</v>
      </c>
      <c r="I23" s="774" t="s">
        <v>673</v>
      </c>
      <c r="J23" s="53">
        <f ca="1">ROUND(J13*M23,0)</f>
        <v>0</v>
      </c>
      <c r="K23" s="2338" t="s">
        <v>1762</v>
      </c>
      <c r="L23" s="774" t="s">
        <v>1738</v>
      </c>
      <c r="M23" s="807">
        <f ca="1">INDIRECT("'数据-取费表'!Al"&amp;$G$1)</f>
        <v>0</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1823</v>
      </c>
      <c r="B24" s="774" t="s">
        <v>1763</v>
      </c>
      <c r="C24" s="53">
        <f ca="1">ROUND(IF('数据-取费表'!B22&lt;=1,F21*F24*F23/2,F21*(POWER((1+F24),F23/2)-1)),4)</f>
        <v>8.9999999999999998E-4</v>
      </c>
      <c r="D24" s="2424" t="str">
        <f>IF(F23&lt;=1,"销售费用×利率×(建设周期÷2)","销售费用×((1+利率)^(建设周期÷2)-1)")</f>
        <v>销售费用×((1+利率)^(建设周期÷2)-1)</v>
      </c>
      <c r="E24" s="774" t="s">
        <v>1764</v>
      </c>
      <c r="F24" s="808">
        <f ca="1">'数据-取费表'!B40</f>
        <v>3.85E-2</v>
      </c>
      <c r="G24" s="3261"/>
      <c r="H24" s="2405" t="s">
        <v>1882</v>
      </c>
      <c r="I24" s="2400" t="s">
        <v>660</v>
      </c>
      <c r="J24" s="2398">
        <f ca="1">ROUND(J5*M24,0)</f>
        <v>0</v>
      </c>
      <c r="K24" s="2399" t="s">
        <v>1765</v>
      </c>
      <c r="L24" s="2400" t="s">
        <v>1738</v>
      </c>
      <c r="M24" s="2396">
        <f ca="1">INDIRECT("'数据-取费表'!Am"&amp;$G$1)</f>
        <v>0</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1831</v>
      </c>
      <c r="B25" s="774" t="s">
        <v>678</v>
      </c>
      <c r="C25" s="53"/>
      <c r="D25" s="259" t="s">
        <v>1766</v>
      </c>
      <c r="E25" s="1897"/>
      <c r="F25" s="56"/>
      <c r="G25" s="1946"/>
      <c r="H25" s="1745" t="s">
        <v>1767</v>
      </c>
      <c r="I25" s="2723" t="s">
        <v>2801</v>
      </c>
      <c r="J25" s="782">
        <f ca="1">J5-J16</f>
        <v>0</v>
      </c>
      <c r="K25" s="2402" t="s">
        <v>1768</v>
      </c>
      <c r="L25" s="2403"/>
      <c r="M25" s="2404"/>
    </row>
    <row r="26" spans="1:33" ht="18" customHeight="1">
      <c r="A26" s="1577" t="s">
        <v>1822</v>
      </c>
      <c r="B26" s="774" t="s">
        <v>2422</v>
      </c>
      <c r="C26" s="53">
        <f ca="1">ROUND((C19+C20)*F26,0)</f>
        <v>0</v>
      </c>
      <c r="D26" s="801" t="s">
        <v>1769</v>
      </c>
      <c r="E26" s="785" t="s">
        <v>1770</v>
      </c>
      <c r="F26" s="784">
        <f ca="1">INDIRECT("'数据-取费表'!q"&amp;$G$1)</f>
        <v>0</v>
      </c>
      <c r="G26" s="1946"/>
      <c r="H26" s="2356" t="s">
        <v>1771</v>
      </c>
      <c r="I26" s="2113" t="s">
        <v>2806</v>
      </c>
      <c r="J26" s="773">
        <f ca="1">IF(J5&lt;&gt;0,ROUND(J25*(1-((1+M28)/(1+M26))^M27)/(M26-M28),0),0)</f>
        <v>0</v>
      </c>
      <c r="K26" s="803" t="s">
        <v>1772</v>
      </c>
      <c r="L26" s="774" t="s">
        <v>2404</v>
      </c>
      <c r="M26" s="784">
        <f ca="1">INDIRECT("'数据-取费表'!I"&amp;$G$1)</f>
        <v>0</v>
      </c>
    </row>
    <row r="27" spans="1:33" ht="18" customHeight="1">
      <c r="A27" s="1577" t="s">
        <v>1823</v>
      </c>
      <c r="B27" s="774" t="s">
        <v>680</v>
      </c>
      <c r="C27" s="53">
        <f ca="1">ROUND(F21*F26,4)</f>
        <v>0</v>
      </c>
      <c r="D27" s="801" t="s">
        <v>1773</v>
      </c>
      <c r="E27" s="796"/>
      <c r="F27" s="797"/>
      <c r="G27" s="1946"/>
      <c r="H27" s="2357"/>
      <c r="I27" s="777"/>
      <c r="J27" s="778"/>
      <c r="K27" s="810" t="s">
        <v>1774</v>
      </c>
      <c r="L27" s="774" t="s">
        <v>1775</v>
      </c>
      <c r="M27" s="811">
        <f ca="1">INDIRECT("'数据-取费表'!ag"&amp;$G$1)</f>
        <v>0</v>
      </c>
    </row>
    <row r="28" spans="1:33" s="1948" customFormat="1" ht="18" customHeight="1">
      <c r="A28" s="1579" t="s">
        <v>1832</v>
      </c>
      <c r="B28" s="774" t="s">
        <v>681</v>
      </c>
      <c r="C28" s="53">
        <f>ROUND(F28/(1+'数据-取费表'!C42),4)</f>
        <v>5.2400000000000002E-2</v>
      </c>
      <c r="D28" s="801" t="s">
        <v>2287</v>
      </c>
      <c r="E28" s="774" t="s">
        <v>1776</v>
      </c>
      <c r="F28" s="799">
        <f>'数据-取费表'!B41</f>
        <v>5.5000000000000007E-2</v>
      </c>
      <c r="G28" s="3261"/>
      <c r="H28" s="1745"/>
      <c r="I28" s="781"/>
      <c r="J28" s="782"/>
      <c r="K28" s="805"/>
      <c r="L28" s="774" t="s">
        <v>1777</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1883</v>
      </c>
      <c r="B29" s="2395" t="s">
        <v>2288</v>
      </c>
      <c r="C29" s="2398">
        <f ca="1">ROUND((C19+C20+C23+C26)/(1-F21-C24-C27-C28),0)</f>
        <v>0</v>
      </c>
      <c r="D29" s="2399"/>
      <c r="E29" s="2400"/>
      <c r="F29" s="2401"/>
      <c r="G29" s="3261"/>
      <c r="H29" s="812" t="s">
        <v>1778</v>
      </c>
      <c r="I29" s="813" t="s">
        <v>1779</v>
      </c>
      <c r="J29" s="814">
        <f ca="1">ROUND(J26/(1+F40)^F41,0)</f>
        <v>0</v>
      </c>
      <c r="K29" s="815" t="s">
        <v>1780</v>
      </c>
      <c r="L29" s="816"/>
      <c r="M29" s="817">
        <f ca="1">INDIRECT("'数据-取费表'!k"&amp;$G$1)</f>
        <v>0</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1884</v>
      </c>
      <c r="B30" s="1743" t="s">
        <v>1781</v>
      </c>
      <c r="C30" s="782">
        <f ca="1">ROUND(C31+C36+C37+C38,0)</f>
        <v>0</v>
      </c>
      <c r="D30" s="1737" t="s">
        <v>1782</v>
      </c>
      <c r="E30" s="2340"/>
      <c r="F30" s="2345"/>
      <c r="G30" s="1946"/>
      <c r="H30" s="1949"/>
      <c r="I30" s="1950"/>
      <c r="J30" s="1951"/>
      <c r="K30" s="1952"/>
      <c r="L30" s="1953"/>
      <c r="M30" s="1954"/>
    </row>
    <row r="31" spans="1:33" ht="18" customHeight="1">
      <c r="A31" s="1578" t="s">
        <v>1821</v>
      </c>
      <c r="B31" s="774" t="s">
        <v>650</v>
      </c>
      <c r="C31" s="3019">
        <f ca="1">ROUND(IF(AND(项目基本情况!B11="自然人",项目基本情况!B10="北京市"),C6*F31/(1+'数据-取费表'!C42),C32+C33+C34),0)</f>
        <v>0</v>
      </c>
      <c r="D31" s="1894" t="s">
        <v>1783</v>
      </c>
      <c r="E31" s="1892" t="s">
        <v>1784</v>
      </c>
      <c r="F31" s="3018" t="str">
        <f>IF(项目基本情况!B11="企业","——",IF('数据-取费表'!B10="住宅",IF(F6*F7*F8/12/(1+'数据-取费表'!F30)&gt;100000,4%,2.5%),IF(F6*F7*F8/12/(1+'数据-取费表'!F30)&gt;100000,12%,7%)))</f>
        <v>——</v>
      </c>
      <c r="G31" s="1946"/>
      <c r="H31" s="3258" t="s">
        <v>2985</v>
      </c>
      <c r="I31" s="1950"/>
      <c r="J31" s="1951"/>
      <c r="K31" s="1952"/>
      <c r="L31" s="1953"/>
      <c r="M31" s="1954"/>
    </row>
    <row r="32" spans="1:33" ht="18" customHeight="1">
      <c r="A32" s="1577" t="s">
        <v>1822</v>
      </c>
      <c r="B32" s="774" t="s">
        <v>1785</v>
      </c>
      <c r="C32" s="53">
        <f ca="1">ROUND(C6*F32/(1+'数据-取费表'!C42),1)</f>
        <v>0</v>
      </c>
      <c r="D32" s="1892" t="s">
        <v>1786</v>
      </c>
      <c r="E32" s="774" t="s">
        <v>1787</v>
      </c>
      <c r="F32" s="799">
        <f>'数据-取费表'!B41</f>
        <v>5.5000000000000007E-2</v>
      </c>
      <c r="G32" s="1946"/>
      <c r="H32" s="1955"/>
      <c r="I32" s="1956"/>
      <c r="J32" s="1957"/>
      <c r="K32" s="1958"/>
      <c r="L32" s="1959"/>
      <c r="M32" s="1960"/>
    </row>
    <row r="33" spans="1:18" ht="18" customHeight="1">
      <c r="A33" s="1577"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6"/>
      <c r="H33" s="1961"/>
      <c r="I33" s="1961"/>
      <c r="J33" s="1961"/>
      <c r="K33" s="1962"/>
      <c r="L33" s="1961"/>
      <c r="M33" s="1961"/>
    </row>
    <row r="34" spans="1:18" ht="18" customHeight="1">
      <c r="A34" s="1580" t="s">
        <v>1824</v>
      </c>
      <c r="B34" s="339" t="s">
        <v>1789</v>
      </c>
      <c r="C34" s="54">
        <f ca="1">ROUND(F34*F35/10000,1)</f>
        <v>0</v>
      </c>
      <c r="D34" s="803" t="s">
        <v>1790</v>
      </c>
      <c r="E34" s="774" t="s">
        <v>1791</v>
      </c>
      <c r="F34" s="632">
        <f>'数据-取费表'!B52</f>
        <v>1.5</v>
      </c>
      <c r="G34" s="1946"/>
      <c r="H34" s="1949"/>
      <c r="I34" s="824" t="s">
        <v>1804</v>
      </c>
      <c r="J34" s="825"/>
      <c r="K34" s="1964"/>
      <c r="L34" s="1963"/>
      <c r="M34" s="1963"/>
    </row>
    <row r="35" spans="1:18" ht="18" customHeight="1">
      <c r="A35" s="804"/>
      <c r="B35" s="783"/>
      <c r="C35" s="69"/>
      <c r="D35" s="805"/>
      <c r="E35" s="774" t="s">
        <v>1792</v>
      </c>
      <c r="F35" s="775">
        <f ca="1">INDIRECT("'数据-取费表'!r"&amp;$G$1)</f>
        <v>0</v>
      </c>
      <c r="G35" s="1946"/>
      <c r="H35" s="1949"/>
      <c r="I35" s="826" t="s">
        <v>1805</v>
      </c>
      <c r="J35" s="827">
        <f ca="1">ROUND(C13*J36,0)</f>
        <v>0</v>
      </c>
      <c r="K35" s="1962"/>
      <c r="L35" s="1961"/>
      <c r="M35" s="1961"/>
    </row>
    <row r="36" spans="1:18" ht="18" customHeight="1">
      <c r="A36" s="1578" t="s">
        <v>1880</v>
      </c>
      <c r="B36" s="774" t="s">
        <v>1793</v>
      </c>
      <c r="C36" s="53">
        <f ca="1">ROUND(C29*F36,1)</f>
        <v>0</v>
      </c>
      <c r="D36" s="1892" t="s">
        <v>1794</v>
      </c>
      <c r="E36" s="774" t="s">
        <v>1787</v>
      </c>
      <c r="F36" s="806">
        <f ca="1">INDIRECT("'数据-取费表'!Ak"&amp;$G$1)</f>
        <v>0</v>
      </c>
      <c r="G36" s="1946"/>
      <c r="H36" s="1961"/>
      <c r="I36" s="828" t="s">
        <v>1806</v>
      </c>
      <c r="J36" s="829">
        <f ca="1">INDIRECT("'数据-取费表'!j"&amp;$G$1)</f>
        <v>0</v>
      </c>
      <c r="K36" s="1965"/>
      <c r="L36" s="1961"/>
      <c r="M36" s="1961"/>
    </row>
    <row r="37" spans="1:18" ht="18" customHeight="1">
      <c r="A37" s="1578" t="s">
        <v>1881</v>
      </c>
      <c r="B37" s="774" t="s">
        <v>673</v>
      </c>
      <c r="C37" s="53">
        <f ca="1">ROUND(C13*F37,1)</f>
        <v>0</v>
      </c>
      <c r="D37" s="1892" t="s">
        <v>1795</v>
      </c>
      <c r="E37" s="774" t="s">
        <v>1787</v>
      </c>
      <c r="F37" s="807">
        <f ca="1">INDIRECT("'数据-取费表'!Al"&amp;$G$1)</f>
        <v>0</v>
      </c>
      <c r="G37" s="1946"/>
      <c r="H37" s="1961"/>
      <c r="I37" s="830" t="s">
        <v>1807</v>
      </c>
      <c r="J37" s="831"/>
      <c r="K37" s="1965"/>
      <c r="L37" s="1961"/>
      <c r="M37" s="1961"/>
    </row>
    <row r="38" spans="1:18" ht="18" customHeight="1" thickBot="1">
      <c r="A38" s="2405" t="s">
        <v>1882</v>
      </c>
      <c r="B38" s="2400" t="s">
        <v>660</v>
      </c>
      <c r="C38" s="2398">
        <f ca="1">ROUND(C5*F38,1)</f>
        <v>0</v>
      </c>
      <c r="D38" s="2399" t="s">
        <v>1796</v>
      </c>
      <c r="E38" s="2400" t="s">
        <v>1787</v>
      </c>
      <c r="F38" s="2396">
        <f ca="1">INDIRECT("'数据-取费表'!Am"&amp;$G$1)</f>
        <v>0</v>
      </c>
      <c r="G38" s="1946"/>
      <c r="H38" s="1961"/>
      <c r="I38" s="832" t="s">
        <v>1808</v>
      </c>
      <c r="J38" s="833"/>
      <c r="K38" s="1966"/>
      <c r="L38" s="1961"/>
      <c r="M38" s="1961"/>
    </row>
    <row r="39" spans="1:18" ht="24.6" customHeight="1" thickTop="1">
      <c r="A39" s="1745" t="s">
        <v>1885</v>
      </c>
      <c r="B39" s="2723" t="s">
        <v>2801</v>
      </c>
      <c r="C39" s="782">
        <f ca="1">C5-C30</f>
        <v>0</v>
      </c>
      <c r="D39" s="2402" t="s">
        <v>1797</v>
      </c>
      <c r="E39" s="2403"/>
      <c r="F39" s="2404"/>
      <c r="G39" s="1946"/>
      <c r="H39" s="1961"/>
      <c r="I39" s="826" t="s">
        <v>1809</v>
      </c>
      <c r="J39" s="834" t="e">
        <f ca="1">ROUND(J35/C39,3)</f>
        <v>#DIV/0!</v>
      </c>
      <c r="K39" s="1966"/>
      <c r="L39" s="1961"/>
      <c r="M39" s="1961"/>
    </row>
    <row r="40" spans="1:18" ht="18" customHeight="1">
      <c r="A40" s="771" t="s">
        <v>1886</v>
      </c>
      <c r="B40" s="2113" t="s">
        <v>2289</v>
      </c>
      <c r="C40" s="773" t="e">
        <f ca="1">ROUND(C39*(1-((1+F42)/(1+F40))^F41)/(F40-F42),0)</f>
        <v>#DIV/0!</v>
      </c>
      <c r="D40" s="803" t="s">
        <v>1798</v>
      </c>
      <c r="E40" s="774" t="s">
        <v>2404</v>
      </c>
      <c r="F40" s="784">
        <f ca="1">INDIRECT("'数据-取费表'!I"&amp;$G$1)</f>
        <v>0</v>
      </c>
      <c r="G40" s="1946"/>
      <c r="H40" s="1946"/>
      <c r="I40" s="826" t="s">
        <v>1810</v>
      </c>
      <c r="J40" s="834" t="e">
        <f ca="1">1-J39</f>
        <v>#DIV/0!</v>
      </c>
      <c r="K40" s="1966"/>
      <c r="L40" s="1946"/>
      <c r="M40" s="1946"/>
    </row>
    <row r="41" spans="1:18" ht="18" customHeight="1">
      <c r="A41" s="776"/>
      <c r="B41" s="777"/>
      <c r="C41" s="778"/>
      <c r="D41" s="810" t="s">
        <v>1799</v>
      </c>
      <c r="E41" s="774" t="s">
        <v>2918</v>
      </c>
      <c r="F41" s="811">
        <f ca="1">IF(INDIRECT("'数据-取费表'!af"&amp;$G$1)=0,INDIRECT("'数据-取费表'!ae"&amp;$G$1),INDIRECT("'数据-取费表'!af"&amp;$G$1))</f>
        <v>0</v>
      </c>
      <c r="G41" s="1946"/>
      <c r="H41" s="1901"/>
      <c r="I41" s="832" t="s">
        <v>1811</v>
      </c>
      <c r="J41" s="835"/>
      <c r="K41" s="1965"/>
      <c r="L41" s="1901"/>
      <c r="M41" s="1901"/>
    </row>
    <row r="42" spans="1:18" ht="18" customHeight="1">
      <c r="A42" s="780"/>
      <c r="B42" s="781"/>
      <c r="C42" s="782"/>
      <c r="D42" s="805"/>
      <c r="E42" s="774" t="s">
        <v>1800</v>
      </c>
      <c r="F42" s="784">
        <f ca="1">INDIRECT("'数据-取费表'!v"&amp;$G$1)</f>
        <v>0</v>
      </c>
      <c r="G42" s="1946"/>
      <c r="H42" s="1901"/>
      <c r="I42" s="836" t="s">
        <v>1812</v>
      </c>
      <c r="J42" s="834" t="e">
        <f ca="1">ROUND(C13/C40,3)</f>
        <v>#DIV/0!</v>
      </c>
      <c r="K42" s="1965"/>
      <c r="L42" s="1901"/>
      <c r="M42" s="1901"/>
    </row>
    <row r="43" spans="1:18" ht="18" customHeight="1" thickBot="1">
      <c r="A43" s="812" t="s">
        <v>1778</v>
      </c>
      <c r="B43" s="813" t="s">
        <v>1801</v>
      </c>
      <c r="C43" s="814" t="e">
        <f ca="1">ROUND(C40*10000/F43,0)</f>
        <v>#DIV/0!</v>
      </c>
      <c r="D43" s="815" t="s">
        <v>1802</v>
      </c>
      <c r="E43" s="816" t="s">
        <v>1803</v>
      </c>
      <c r="F43" s="817">
        <f ca="1">INDIRECT("'数据-取费表'!k"&amp;$G$1)</f>
        <v>0</v>
      </c>
      <c r="G43" s="1946"/>
      <c r="H43" s="1901"/>
      <c r="I43" s="836" t="s">
        <v>1813</v>
      </c>
      <c r="J43" s="837" t="e">
        <f ca="1">1-J42</f>
        <v>#DIV/0!</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2283</v>
      </c>
      <c r="B46" s="1968"/>
      <c r="C46" s="2427" t="e">
        <f ca="1">C67-C40</f>
        <v>#DIV/0!</v>
      </c>
      <c r="D46" s="3262"/>
      <c r="E46" s="3262"/>
      <c r="F46" s="3262"/>
      <c r="I46" s="2234" t="s">
        <v>2328</v>
      </c>
      <c r="J46" s="2235"/>
      <c r="K46" s="2236"/>
      <c r="L46" s="2811" t="e">
        <f ca="1">IF(OR(M47="住宅",D1="土地（套用方法）"),0,IF(L48&gt;J51,L60,J60))</f>
        <v>#DIV/0!</v>
      </c>
      <c r="M46" s="3263"/>
      <c r="O46" s="2250" t="s">
        <v>2395</v>
      </c>
      <c r="P46" s="1527"/>
      <c r="Q46" s="1535"/>
      <c r="R46" s="1527"/>
    </row>
    <row r="47" spans="1:18" s="1943" customFormat="1" ht="18" customHeight="1" thickBot="1">
      <c r="A47" s="2228">
        <v>1</v>
      </c>
      <c r="B47" s="2229" t="s">
        <v>629</v>
      </c>
      <c r="C47" s="2427">
        <f ca="1">C48+C52+C54</f>
        <v>0</v>
      </c>
      <c r="D47" s="3262"/>
      <c r="E47" s="3262"/>
      <c r="F47" s="3262"/>
      <c r="I47" s="2802" t="s">
        <v>2329</v>
      </c>
      <c r="J47" s="2237"/>
      <c r="K47" s="2808" t="s">
        <v>2334</v>
      </c>
      <c r="L47" s="2812">
        <f ca="1">INDIRECT("'数据-取费表'!d"&amp;$G$1)</f>
        <v>0</v>
      </c>
      <c r="M47" s="1535" t="str">
        <f>IF(ISNUMBER(FIND("住宅",C1)),"住宅","非住宅")</f>
        <v>非住宅</v>
      </c>
      <c r="O47" s="2251" t="s">
        <v>2360</v>
      </c>
      <c r="P47" s="2252" t="s">
        <v>2361</v>
      </c>
      <c r="Q47" s="2253" t="s">
        <v>2362</v>
      </c>
      <c r="R47" s="2252" t="s">
        <v>2363</v>
      </c>
    </row>
    <row r="48" spans="1:18" s="1943" customFormat="1" ht="18" customHeight="1" thickBot="1">
      <c r="A48" s="2485" t="s">
        <v>2518</v>
      </c>
      <c r="B48" s="2486" t="s">
        <v>2519</v>
      </c>
      <c r="C48" s="2230">
        <f ca="1">ROUND(F48*F50*F49*(1-F51)/10000,0)</f>
        <v>0</v>
      </c>
      <c r="D48" s="2231" t="s">
        <v>630</v>
      </c>
      <c r="E48" s="2232" t="s">
        <v>2284</v>
      </c>
      <c r="F48" s="2233"/>
      <c r="G48" s="1973"/>
      <c r="I48" s="2799" t="s">
        <v>2330</v>
      </c>
      <c r="J48" s="2238"/>
      <c r="K48" s="2809" t="s">
        <v>2336</v>
      </c>
      <c r="L48" s="1823">
        <f ca="1">INDIRECT("'数据-取费表'!f"&amp;$G$1)</f>
        <v>0</v>
      </c>
      <c r="M48" s="3263"/>
      <c r="O48" s="2254" t="s">
        <v>2364</v>
      </c>
      <c r="P48" s="2255" t="s">
        <v>2390</v>
      </c>
      <c r="Q48" s="2256" t="e">
        <f ca="1">C40+J29</f>
        <v>#DIV/0!</v>
      </c>
      <c r="R48" s="2255" t="s">
        <v>2365</v>
      </c>
    </row>
    <row r="49" spans="1:18" s="1943" customFormat="1" ht="18" customHeight="1" thickBot="1">
      <c r="A49" s="776"/>
      <c r="B49" s="777"/>
      <c r="C49" s="778"/>
      <c r="D49" s="779"/>
      <c r="E49" s="774" t="s">
        <v>1730</v>
      </c>
      <c r="F49" s="775">
        <f ca="1">F7</f>
        <v>0</v>
      </c>
      <c r="G49" s="1973"/>
      <c r="H49" s="1976"/>
      <c r="I49" s="2799" t="s">
        <v>2331</v>
      </c>
      <c r="J49" s="2239"/>
      <c r="K49" s="2810" t="s">
        <v>2337</v>
      </c>
      <c r="L49" s="2240"/>
      <c r="M49" s="3263"/>
      <c r="O49" s="2254" t="s">
        <v>2366</v>
      </c>
      <c r="P49" s="2255" t="s">
        <v>2391</v>
      </c>
      <c r="Q49" s="2256" t="e">
        <f ca="1">J60</f>
        <v>#DIV/0!</v>
      </c>
      <c r="R49" s="2255" t="s">
        <v>2367</v>
      </c>
    </row>
    <row r="50" spans="1:18" s="1943" customFormat="1" ht="18" customHeight="1" thickBot="1">
      <c r="A50" s="776"/>
      <c r="B50" s="777"/>
      <c r="C50" s="778"/>
      <c r="D50" s="779"/>
      <c r="E50" s="774" t="s">
        <v>1731</v>
      </c>
      <c r="F50" s="775">
        <f ca="1">F8</f>
        <v>0</v>
      </c>
      <c r="G50" s="1978"/>
      <c r="H50" s="1976"/>
      <c r="I50" s="2799" t="s">
        <v>2332</v>
      </c>
      <c r="J50" s="2806">
        <f>SUMPRODUCT((I63:I65=J47)*(J62:L62=J48)*(J63:L65))</f>
        <v>0</v>
      </c>
      <c r="K50" s="2810" t="s">
        <v>2338</v>
      </c>
      <c r="L50" s="2240"/>
      <c r="M50" s="3263"/>
      <c r="O50" s="2257" t="s">
        <v>2368</v>
      </c>
      <c r="P50" s="2255" t="s">
        <v>2392</v>
      </c>
      <c r="Q50" s="2256">
        <f ca="1">C29</f>
        <v>0</v>
      </c>
      <c r="R50" s="2255" t="s">
        <v>2365</v>
      </c>
    </row>
    <row r="51" spans="1:18" s="1943" customFormat="1" ht="18" customHeight="1" thickBot="1">
      <c r="A51" s="776"/>
      <c r="B51" s="777"/>
      <c r="C51" s="778"/>
      <c r="D51" s="779"/>
      <c r="E51" s="774" t="s">
        <v>634</v>
      </c>
      <c r="F51" s="2227"/>
      <c r="H51" s="1976"/>
      <c r="I51" s="2803" t="s">
        <v>2333</v>
      </c>
      <c r="J51" s="2807">
        <f>IF(J49="",J50,J49+J50-YEAR('数据-取费表'!B2))</f>
        <v>0</v>
      </c>
      <c r="K51" s="2799" t="s">
        <v>2339</v>
      </c>
      <c r="L51" s="2813">
        <f ca="1">ROUND(-PV(INDIRECT("'数据-取费表'!h"&amp;$G$1),J51,(C39-C13*J36),0),0)</f>
        <v>0</v>
      </c>
      <c r="M51" s="3263"/>
      <c r="O51" s="2257" t="s">
        <v>2369</v>
      </c>
      <c r="P51" s="2255" t="s">
        <v>2370</v>
      </c>
      <c r="Q51" s="2258" t="e">
        <f ca="1">J58</f>
        <v>#DIV/0!</v>
      </c>
      <c r="R51" s="2259"/>
    </row>
    <row r="52" spans="1:18" s="1943" customFormat="1" ht="18" customHeight="1" thickBot="1">
      <c r="A52" s="771" t="s">
        <v>2517</v>
      </c>
      <c r="B52" s="2348" t="s">
        <v>2440</v>
      </c>
      <c r="C52" s="789">
        <f ca="1">ROUND(IF(F52="押一",C48/12*F11,IF(F52="押二",C48/12*2*F11,IF(F52="押三",C48/12*3*F11,C53*F11))),0)</f>
        <v>0</v>
      </c>
      <c r="D52" s="2355" t="s">
        <v>2928</v>
      </c>
      <c r="E52" s="2352" t="s">
        <v>2445</v>
      </c>
      <c r="F52" s="2466"/>
      <c r="I52" s="2804" t="s">
        <v>2406</v>
      </c>
      <c r="J52" s="2241"/>
      <c r="K52" s="2804" t="s">
        <v>2405</v>
      </c>
      <c r="L52" s="2241"/>
      <c r="M52" s="3263"/>
      <c r="O52" s="2257" t="s">
        <v>2371</v>
      </c>
      <c r="P52" s="2255" t="s">
        <v>2372</v>
      </c>
      <c r="Q52" s="2258">
        <f>J52</f>
        <v>0</v>
      </c>
      <c r="R52" s="2259"/>
    </row>
    <row r="53" spans="1:18" s="1943" customFormat="1" ht="39.75" customHeight="1" thickBot="1">
      <c r="A53" s="776"/>
      <c r="B53" s="2349" t="s">
        <v>2554</v>
      </c>
      <c r="C53" s="2353"/>
      <c r="D53" s="2355"/>
      <c r="E53" s="2352"/>
      <c r="F53" s="790"/>
      <c r="I53" s="2805" t="s">
        <v>2931</v>
      </c>
      <c r="J53" s="2858">
        <f ca="1">IF(M47="住宅",IF(D1="——",MAX(J51,L48),MAX(J51,L48-'数据-取费表'!B20)),IF(D1="——",MIN(J51,L48),MIN(J51,L48-'数据-取费表'!B20)))</f>
        <v>0</v>
      </c>
      <c r="K53" s="3570" t="s">
        <v>2920</v>
      </c>
      <c r="L53" s="3571"/>
      <c r="M53" s="3263"/>
      <c r="O53" s="2257" t="s">
        <v>2373</v>
      </c>
      <c r="P53" s="2255" t="s">
        <v>2374</v>
      </c>
      <c r="Q53" s="2256">
        <f ca="1">J53</f>
        <v>0</v>
      </c>
      <c r="R53" s="2255" t="s">
        <v>2375</v>
      </c>
    </row>
    <row r="54" spans="1:18" s="1943" customFormat="1" ht="18" customHeight="1" thickBot="1">
      <c r="A54" s="2391" t="s">
        <v>2448</v>
      </c>
      <c r="B54" s="2392" t="s">
        <v>2441</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9"/>
      <c r="M54" s="3263"/>
      <c r="O54" s="2254" t="s">
        <v>2376</v>
      </c>
      <c r="P54" s="2255" t="s">
        <v>2393</v>
      </c>
      <c r="Q54" s="2256" t="e">
        <f ca="1">Q48+Q49</f>
        <v>#DIV/0!</v>
      </c>
      <c r="R54" s="2259" t="s">
        <v>2377</v>
      </c>
    </row>
    <row r="55" spans="1:18" s="1943" customFormat="1" ht="18" customHeight="1" thickTop="1" thickBot="1">
      <c r="A55" s="787">
        <v>2</v>
      </c>
      <c r="B55" s="788" t="s">
        <v>638</v>
      </c>
      <c r="C55" s="789">
        <f ca="1">C13</f>
        <v>0</v>
      </c>
      <c r="D55" s="785"/>
      <c r="E55" s="785"/>
      <c r="F55" s="790"/>
      <c r="I55" s="2816" t="s">
        <v>2340</v>
      </c>
      <c r="J55" s="2788" t="e">
        <f ca="1">ROUND(IF(J47="钢混",J57/J50,1-(1-2%)*(J50-J57)/J50),3)</f>
        <v>#DIV/0!</v>
      </c>
      <c r="K55" s="2817" t="s">
        <v>2341</v>
      </c>
      <c r="L55" s="2242"/>
      <c r="M55" s="3263"/>
      <c r="O55" s="2260" t="s">
        <v>2396</v>
      </c>
      <c r="P55" s="1527"/>
      <c r="Q55" s="1535"/>
      <c r="R55" s="1527"/>
    </row>
    <row r="56" spans="1:18" s="1943" customFormat="1" ht="42.75" customHeight="1" thickBot="1">
      <c r="A56" s="1579"/>
      <c r="B56" s="2112" t="s">
        <v>2290</v>
      </c>
      <c r="C56" s="53">
        <f ca="1">C29</f>
        <v>0</v>
      </c>
      <c r="D56" s="2482"/>
      <c r="E56" s="774"/>
      <c r="F56" s="799"/>
      <c r="I56" s="2818" t="s">
        <v>2342</v>
      </c>
      <c r="J56" s="2828"/>
      <c r="K56" s="2799" t="s">
        <v>2347</v>
      </c>
      <c r="L56" s="1823">
        <f ca="1">IF(L48&lt;J51,"——",L48-J51)</f>
        <v>0</v>
      </c>
      <c r="M56" s="3263"/>
      <c r="O56" s="2251" t="s">
        <v>2360</v>
      </c>
      <c r="P56" s="2252" t="s">
        <v>2361</v>
      </c>
      <c r="Q56" s="2253" t="s">
        <v>2362</v>
      </c>
      <c r="R56" s="2252" t="s">
        <v>2363</v>
      </c>
    </row>
    <row r="57" spans="1:18" s="1943" customFormat="1" ht="28.5" customHeight="1" thickBot="1">
      <c r="A57" s="787" t="s">
        <v>1739</v>
      </c>
      <c r="B57" s="788" t="s">
        <v>645</v>
      </c>
      <c r="C57" s="789">
        <f ca="1">ROUND(C58+C63+C64+C65,0)</f>
        <v>0</v>
      </c>
      <c r="D57" s="26" t="s">
        <v>1741</v>
      </c>
      <c r="E57" s="2483"/>
      <c r="F57" s="56"/>
      <c r="I57" s="2819" t="s">
        <v>2343</v>
      </c>
      <c r="J57" s="2820">
        <f ca="1">IF(OR(M47="住宅",J51&lt;L48,J56="是"),"——",J51-L48)</f>
        <v>0</v>
      </c>
      <c r="K57" s="2799" t="s">
        <v>2348</v>
      </c>
      <c r="L57" s="1823">
        <f ca="1">IF(L48&lt;J51,"——",IF(L55="比较法",L49,IF(L55="基准地价",L50,L51)))</f>
        <v>0</v>
      </c>
      <c r="M57" s="3263"/>
      <c r="O57" s="2254" t="s">
        <v>2364</v>
      </c>
      <c r="P57" s="2255" t="s">
        <v>2394</v>
      </c>
      <c r="Q57" s="2256" t="e">
        <f ca="1">C40+J29</f>
        <v>#DIV/0!</v>
      </c>
      <c r="R57" s="2255" t="s">
        <v>2365</v>
      </c>
    </row>
    <row r="58" spans="1:18" s="1943" customFormat="1" ht="28.5" customHeight="1" thickBot="1">
      <c r="A58" s="1578" t="s">
        <v>1815</v>
      </c>
      <c r="B58" s="774" t="s">
        <v>650</v>
      </c>
      <c r="C58" s="3019">
        <f ca="1">ROUND(IF(AND(项目基本情况!B11="自然人",项目基本情况!B10="北京市"),C48*F58/(1+'数据-取费表'!C42),C59+C60+C61),0)</f>
        <v>0</v>
      </c>
      <c r="D58" s="2481" t="s">
        <v>651</v>
      </c>
      <c r="E58" s="2482" t="s">
        <v>684</v>
      </c>
      <c r="F58" s="3018" t="str">
        <f>IF(项目基本情况!B11="企业","——",IF('数据-取费表'!B10="住宅",IF(F48*F49*F50/12/(1+'数据-取费表'!F30)&gt;100000,4%,2.5%),IF(F48*F49*F50/12/(1+'数据-取费表'!F30)&gt;100000,12%,7%)))</f>
        <v>——</v>
      </c>
      <c r="I58" s="2819" t="s">
        <v>2344</v>
      </c>
      <c r="J58" s="2789" t="e">
        <f ca="1">IF(J55&lt;0.4,0.4,J55)</f>
        <v>#DIV/0!</v>
      </c>
      <c r="K58" s="2799" t="s">
        <v>2349</v>
      </c>
      <c r="L58" s="1823" t="e">
        <f ca="1">ROUND(POWER(1+L52,L47-L48)*(POWER(1+L52,L48)-1)/(POWER(1+L52,L47)-1),4)</f>
        <v>#DIV/0!</v>
      </c>
      <c r="M58" s="3263"/>
      <c r="O58" s="2254" t="s">
        <v>2366</v>
      </c>
      <c r="P58" s="2255" t="s">
        <v>2397</v>
      </c>
      <c r="Q58" s="2256" t="e">
        <f ca="1">L60</f>
        <v>#DIV/0!</v>
      </c>
      <c r="R58" s="2259" t="s">
        <v>2399</v>
      </c>
    </row>
    <row r="59" spans="1:18" s="1943" customFormat="1" ht="28.5" customHeight="1" thickBot="1">
      <c r="A59" s="1577" t="s">
        <v>1822</v>
      </c>
      <c r="B59" s="774" t="s">
        <v>654</v>
      </c>
      <c r="C59" s="53">
        <f ca="1">ROUND(C47*F59/1.05,1)</f>
        <v>0</v>
      </c>
      <c r="D59" s="2482" t="s">
        <v>1747</v>
      </c>
      <c r="E59" s="774" t="s">
        <v>1738</v>
      </c>
      <c r="F59" s="799">
        <f t="shared" ref="F59:F65" si="0">F32</f>
        <v>5.5000000000000007E-2</v>
      </c>
      <c r="I59" s="2819" t="s">
        <v>2345</v>
      </c>
      <c r="J59" s="2820" t="e">
        <f ca="1">IF(OR(M47="住宅",J51&lt;L48,J56="是"),"——",ROUND(C29*J58,0))</f>
        <v>#DIV/0!</v>
      </c>
      <c r="K59" s="2799" t="str">
        <f>IF(D1="——","建筑物剩余耐用年限下的土地年期修正系数Kn","建设期及建筑物耐用年限下的土地年期修正系数Kn")</f>
        <v>建筑物剩余耐用年限下的土地年期修正系数Kn</v>
      </c>
      <c r="L59" s="1823" t="e">
        <f ca="1">ROUND(IF(D1="土地（套用方法）",POWER(1+L52,L47-(J51+'数据-取费表'!B20))*(POWER(1+L52,(J51+'数据-取费表'!B20))-1)/(POWER(1+L52,L47)-1),POWER(1+L52,L47-J51)*(POWER(1+L52,J51)-1)/(POWER(1+L52,L47)-1)),4)</f>
        <v>#DIV/0!</v>
      </c>
      <c r="M59" s="3263"/>
      <c r="O59" s="2257" t="s">
        <v>2368</v>
      </c>
      <c r="P59" s="2255" t="s">
        <v>2398</v>
      </c>
      <c r="Q59" s="2256">
        <f>IF(L55="比较法",L49,IF(L55="基准地价",L50,0))</f>
        <v>0</v>
      </c>
      <c r="R59" s="2255" t="s">
        <v>2365</v>
      </c>
    </row>
    <row r="60" spans="1:18" s="1943" customFormat="1" ht="18" customHeight="1" thickBot="1">
      <c r="A60" s="1577" t="s">
        <v>1823</v>
      </c>
      <c r="B60" s="774" t="s">
        <v>1749</v>
      </c>
      <c r="C60" s="53">
        <f ca="1">IF(D60="按租金收入计税",ROUND(C48*F60/(1+'数据-取费表'!C42),1),IF(D60="按房产原值计税",ROUND(C56*F60*0.7,1),INDIRECT("'数据-取费表'!Aj"&amp;$G$1)))</f>
        <v>0</v>
      </c>
      <c r="D60" s="2482" t="str">
        <f>D33</f>
        <v>按房产原值计税</v>
      </c>
      <c r="E60" s="774" t="s">
        <v>1738</v>
      </c>
      <c r="F60" s="799">
        <f t="shared" si="0"/>
        <v>1.2E-2</v>
      </c>
      <c r="I60" s="2821" t="s">
        <v>2346</v>
      </c>
      <c r="J60" s="2822" t="e">
        <f ca="1">IF(OR(M47="住宅",J51&lt;L48,J56="是"),"0",ROUND(J59/(1+J52)^J53,0))</f>
        <v>#DIV/0!</v>
      </c>
      <c r="K60" s="2823" t="s">
        <v>2351</v>
      </c>
      <c r="L60" s="2822" t="e">
        <f ca="1">IF(OR(M47="住宅",L48&lt;J51),0,ROUND(L57*(L58/L59-1),0))</f>
        <v>#DIV/0!</v>
      </c>
      <c r="M60" s="3263"/>
      <c r="O60" s="2257" t="s">
        <v>2369</v>
      </c>
      <c r="P60" s="2255" t="s">
        <v>2378</v>
      </c>
      <c r="Q60" s="2258">
        <f>L52</f>
        <v>0</v>
      </c>
      <c r="R60" s="2259"/>
    </row>
    <row r="61" spans="1:18" s="1943" customFormat="1" ht="18" customHeight="1" thickBot="1">
      <c r="A61" s="1580" t="s">
        <v>1824</v>
      </c>
      <c r="B61" s="339" t="s">
        <v>662</v>
      </c>
      <c r="C61" s="54">
        <f ca="1">ROUND(F61*F62/10000,1)</f>
        <v>0</v>
      </c>
      <c r="D61" s="803" t="s">
        <v>663</v>
      </c>
      <c r="E61" s="774" t="s">
        <v>664</v>
      </c>
      <c r="F61" s="632">
        <f t="shared" si="0"/>
        <v>1.5</v>
      </c>
      <c r="K61" s="1969"/>
      <c r="O61" s="2257" t="s">
        <v>2371</v>
      </c>
      <c r="P61" s="2255" t="s">
        <v>2379</v>
      </c>
      <c r="Q61" s="2256" t="e">
        <f ca="1">L58</f>
        <v>#DIV/0!</v>
      </c>
      <c r="R61" s="2259" t="s">
        <v>2380</v>
      </c>
    </row>
    <row r="62" spans="1:18" s="1943" customFormat="1" ht="15.75" thickBot="1">
      <c r="A62" s="804"/>
      <c r="B62" s="783"/>
      <c r="C62" s="69"/>
      <c r="D62" s="805"/>
      <c r="E62" s="774" t="s">
        <v>668</v>
      </c>
      <c r="F62" s="775">
        <f t="shared" ca="1" si="0"/>
        <v>0</v>
      </c>
      <c r="I62" s="2824" t="s">
        <v>2352</v>
      </c>
      <c r="J62" s="2825" t="s">
        <v>2353</v>
      </c>
      <c r="K62" s="2825" t="s">
        <v>2354</v>
      </c>
      <c r="L62" s="2825" t="s">
        <v>2335</v>
      </c>
      <c r="M62" s="2826" t="s">
        <v>2899</v>
      </c>
      <c r="O62" s="2257" t="s">
        <v>2373</v>
      </c>
      <c r="P62" s="2255" t="str">
        <f>K59</f>
        <v>建筑物剩余耐用年限下的土地年期修正系数Kn</v>
      </c>
      <c r="Q62" s="2256" t="e">
        <f ca="1">L59</f>
        <v>#DIV/0!</v>
      </c>
      <c r="R62" s="2259" t="s">
        <v>2382</v>
      </c>
    </row>
    <row r="63" spans="1:18" s="1943" customFormat="1" ht="15.75" thickBot="1">
      <c r="A63" s="1578" t="s">
        <v>1880</v>
      </c>
      <c r="B63" s="774" t="s">
        <v>670</v>
      </c>
      <c r="C63" s="53">
        <f ca="1">ROUND(C56*F63,1)</f>
        <v>0</v>
      </c>
      <c r="D63" s="2482" t="s">
        <v>1794</v>
      </c>
      <c r="E63" s="774" t="s">
        <v>1738</v>
      </c>
      <c r="F63" s="806">
        <f t="shared" ca="1" si="0"/>
        <v>0</v>
      </c>
      <c r="I63" s="2824" t="s">
        <v>2355</v>
      </c>
      <c r="J63" s="2825">
        <v>70</v>
      </c>
      <c r="K63" s="2825">
        <v>50</v>
      </c>
      <c r="L63" s="2825">
        <v>80</v>
      </c>
      <c r="M63" s="2827">
        <v>0.02</v>
      </c>
      <c r="O63" s="2254" t="s">
        <v>2376</v>
      </c>
      <c r="P63" s="2255" t="s">
        <v>2393</v>
      </c>
      <c r="Q63" s="2256" t="e">
        <f ca="1">Q57+Q58</f>
        <v>#DIV/0!</v>
      </c>
      <c r="R63" s="2259" t="s">
        <v>2377</v>
      </c>
    </row>
    <row r="64" spans="1:18" s="1943" customFormat="1" ht="16.5" thickBot="1">
      <c r="A64" s="1578" t="s">
        <v>1881</v>
      </c>
      <c r="B64" s="774" t="s">
        <v>673</v>
      </c>
      <c r="C64" s="53">
        <f ca="1">ROUND(C55*F64,1)</f>
        <v>0</v>
      </c>
      <c r="D64" s="2482" t="s">
        <v>674</v>
      </c>
      <c r="E64" s="774" t="s">
        <v>1738</v>
      </c>
      <c r="F64" s="807">
        <f t="shared" ca="1" si="0"/>
        <v>0</v>
      </c>
      <c r="I64" s="2824" t="s">
        <v>2356</v>
      </c>
      <c r="J64" s="2825">
        <v>50</v>
      </c>
      <c r="K64" s="2825">
        <v>35</v>
      </c>
      <c r="L64" s="2825">
        <v>60</v>
      </c>
      <c r="M64" s="835">
        <v>0</v>
      </c>
      <c r="O64" s="2260" t="s">
        <v>2400</v>
      </c>
      <c r="P64" s="1527"/>
      <c r="Q64" s="1535"/>
      <c r="R64" s="1527"/>
    </row>
    <row r="65" spans="1:18" s="1943" customFormat="1" ht="15.75" thickBot="1">
      <c r="A65" s="1578" t="s">
        <v>1882</v>
      </c>
      <c r="B65" s="774" t="s">
        <v>660</v>
      </c>
      <c r="C65" s="53">
        <f ca="1">ROUND(C47*F65,1)</f>
        <v>0</v>
      </c>
      <c r="D65" s="2482" t="s">
        <v>677</v>
      </c>
      <c r="E65" s="774" t="s">
        <v>1738</v>
      </c>
      <c r="F65" s="784">
        <f t="shared" ca="1" si="0"/>
        <v>0</v>
      </c>
      <c r="I65" s="2824" t="s">
        <v>2357</v>
      </c>
      <c r="J65" s="2825">
        <v>40</v>
      </c>
      <c r="K65" s="2825">
        <v>30</v>
      </c>
      <c r="L65" s="2825">
        <v>50</v>
      </c>
      <c r="M65" s="2827">
        <v>0.02</v>
      </c>
      <c r="O65" s="2251" t="s">
        <v>2360</v>
      </c>
      <c r="P65" s="2252" t="s">
        <v>2361</v>
      </c>
      <c r="Q65" s="2253" t="s">
        <v>2362</v>
      </c>
      <c r="R65" s="2252" t="s">
        <v>2363</v>
      </c>
    </row>
    <row r="66" spans="1:18" s="1943" customFormat="1" ht="24.75" thickBot="1">
      <c r="A66" s="787" t="s">
        <v>1767</v>
      </c>
      <c r="B66" s="2724" t="s">
        <v>2801</v>
      </c>
      <c r="C66" s="789">
        <f ca="1">C47-C57</f>
        <v>0</v>
      </c>
      <c r="D66" s="2481" t="s">
        <v>694</v>
      </c>
      <c r="E66" s="2480"/>
      <c r="F66" s="809"/>
      <c r="K66" s="1969"/>
      <c r="O66" s="2254" t="s">
        <v>2364</v>
      </c>
      <c r="P66" s="2255" t="s">
        <v>2394</v>
      </c>
      <c r="Q66" s="2256" t="e">
        <f ca="1">C40+J29</f>
        <v>#DIV/0!</v>
      </c>
      <c r="R66" s="2255" t="s">
        <v>2365</v>
      </c>
    </row>
    <row r="67" spans="1:18" s="1943" customFormat="1" ht="20.25" thickBot="1">
      <c r="A67" s="771" t="s">
        <v>1771</v>
      </c>
      <c r="B67" s="2113" t="s">
        <v>2289</v>
      </c>
      <c r="C67" s="773" t="e">
        <f ca="1">ROUND(C66*(1-((1+F69)/(1+F67))^F68)/(F67-F69),0)</f>
        <v>#DIV/0!</v>
      </c>
      <c r="D67" s="803" t="s">
        <v>698</v>
      </c>
      <c r="E67" s="774" t="s">
        <v>699</v>
      </c>
      <c r="F67" s="784">
        <f ca="1">F40</f>
        <v>0</v>
      </c>
      <c r="K67" s="1969"/>
      <c r="O67" s="2254" t="s">
        <v>2366</v>
      </c>
      <c r="P67" s="2255" t="s">
        <v>2397</v>
      </c>
      <c r="Q67" s="2256" t="e">
        <f ca="1">L60</f>
        <v>#DIV/0!</v>
      </c>
      <c r="R67" s="2259" t="s">
        <v>2399</v>
      </c>
    </row>
    <row r="68" spans="1:18" ht="21.75" thickBot="1">
      <c r="A68" s="776"/>
      <c r="B68" s="777"/>
      <c r="C68" s="778"/>
      <c r="D68" s="810" t="s">
        <v>1799</v>
      </c>
      <c r="E68" s="774" t="s">
        <v>1775</v>
      </c>
      <c r="F68" s="811">
        <f ca="1">F41</f>
        <v>0</v>
      </c>
      <c r="O68" s="2257" t="s">
        <v>2368</v>
      </c>
      <c r="P68" s="2255" t="s">
        <v>2398</v>
      </c>
      <c r="Q68" s="2261">
        <f ca="1">L51</f>
        <v>0</v>
      </c>
      <c r="R68" s="2262" t="s">
        <v>2401</v>
      </c>
    </row>
    <row r="69" spans="1:18" ht="20.25" thickBot="1">
      <c r="A69" s="780"/>
      <c r="B69" s="781"/>
      <c r="C69" s="782"/>
      <c r="D69" s="805"/>
      <c r="E69" s="774" t="s">
        <v>704</v>
      </c>
      <c r="F69" s="2227"/>
      <c r="O69" s="2257" t="s">
        <v>2369</v>
      </c>
      <c r="P69" s="2263" t="s">
        <v>2383</v>
      </c>
      <c r="Q69" s="2256">
        <f ca="1">ROUND(Q70-Q71*Q72,0)</f>
        <v>0</v>
      </c>
      <c r="R69" s="2259"/>
    </row>
    <row r="70" spans="1:18" ht="15.75" thickBot="1">
      <c r="A70" s="812" t="s">
        <v>1778</v>
      </c>
      <c r="B70" s="813" t="s">
        <v>1801</v>
      </c>
      <c r="C70" s="814" t="e">
        <f ca="1">ROUND(C67*10000/F70,0)</f>
        <v>#DIV/0!</v>
      </c>
      <c r="D70" s="815" t="s">
        <v>1802</v>
      </c>
      <c r="E70" s="816" t="s">
        <v>1803</v>
      </c>
      <c r="F70" s="817">
        <f ca="1">F43</f>
        <v>0</v>
      </c>
      <c r="O70" s="2257" t="s">
        <v>2384</v>
      </c>
      <c r="P70" s="2263" t="s">
        <v>2385</v>
      </c>
      <c r="Q70" s="2256">
        <f ca="1">C39</f>
        <v>0</v>
      </c>
      <c r="R70" s="2255" t="s">
        <v>2365</v>
      </c>
    </row>
    <row r="71" spans="1:18" ht="15.75" thickBot="1">
      <c r="O71" s="2257" t="s">
        <v>2386</v>
      </c>
      <c r="P71" s="2263" t="s">
        <v>2387</v>
      </c>
      <c r="Q71" s="2256">
        <f ca="1">C13</f>
        <v>0</v>
      </c>
      <c r="R71" s="2255" t="s">
        <v>2365</v>
      </c>
    </row>
    <row r="72" spans="1:18" ht="15.75" thickBot="1">
      <c r="O72" s="2257" t="s">
        <v>2388</v>
      </c>
      <c r="P72" s="2263" t="s">
        <v>2389</v>
      </c>
      <c r="Q72" s="2258">
        <f ca="1">J36</f>
        <v>0</v>
      </c>
      <c r="R72" s="2259"/>
    </row>
    <row r="73" spans="1:18" ht="15.75" thickBot="1">
      <c r="O73" s="2257" t="s">
        <v>2371</v>
      </c>
      <c r="P73" s="2255" t="s">
        <v>2378</v>
      </c>
      <c r="Q73" s="2258">
        <f>L52</f>
        <v>0</v>
      </c>
      <c r="R73" s="2259"/>
    </row>
    <row r="74" spans="1:18" ht="20.25" thickBot="1">
      <c r="O74" s="2257" t="s">
        <v>2373</v>
      </c>
      <c r="P74" s="2255" t="s">
        <v>2379</v>
      </c>
      <c r="Q74" s="2256" t="e">
        <f ca="1">L58</f>
        <v>#DIV/0!</v>
      </c>
      <c r="R74" s="2259" t="s">
        <v>2380</v>
      </c>
    </row>
    <row r="75" spans="1:18" ht="15.75" thickBot="1">
      <c r="O75" s="2257" t="s">
        <v>2402</v>
      </c>
      <c r="P75" s="2255" t="str">
        <f>K59</f>
        <v>建筑物剩余耐用年限下的土地年期修正系数Kn</v>
      </c>
      <c r="Q75" s="2256" t="e">
        <f ca="1">L59</f>
        <v>#DIV/0!</v>
      </c>
      <c r="R75" s="2259" t="s">
        <v>2382</v>
      </c>
    </row>
    <row r="76" spans="1:18" ht="15.75" thickBot="1">
      <c r="O76" s="2254" t="s">
        <v>2376</v>
      </c>
      <c r="P76" s="2255" t="s">
        <v>2393</v>
      </c>
      <c r="Q76" s="2256" t="e">
        <f ca="1">Q66+Q67</f>
        <v>#DIV/0!</v>
      </c>
      <c r="R76" s="2259"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88" t="s">
        <v>2452</v>
      </c>
      <c r="B1" s="3589"/>
      <c r="C1" s="3590"/>
      <c r="D1" s="3591">
        <f>SUM(I10,I15,I20,I21,I23)</f>
        <v>0</v>
      </c>
      <c r="E1" s="3591"/>
      <c r="F1" s="3591"/>
      <c r="G1" s="3591"/>
      <c r="H1" s="3591"/>
      <c r="I1" s="3592"/>
    </row>
    <row r="2" spans="1:9">
      <c r="A2" s="3578" t="s">
        <v>2453</v>
      </c>
      <c r="B2" s="3579" t="s">
        <v>2454</v>
      </c>
      <c r="C2" s="3579"/>
      <c r="D2" s="2361" t="s">
        <v>2455</v>
      </c>
      <c r="E2" s="2361" t="s">
        <v>2456</v>
      </c>
      <c r="F2" s="2361" t="s">
        <v>2457</v>
      </c>
      <c r="G2" s="2361" t="s">
        <v>2458</v>
      </c>
      <c r="H2" s="2361" t="s">
        <v>2459</v>
      </c>
      <c r="I2" s="2362" t="s">
        <v>2460</v>
      </c>
    </row>
    <row r="3" spans="1:9">
      <c r="A3" s="3578"/>
      <c r="B3" s="3579" t="s">
        <v>2461</v>
      </c>
      <c r="C3" s="3579"/>
      <c r="D3" s="2363"/>
      <c r="E3" s="2361"/>
      <c r="F3" s="2364"/>
      <c r="G3" s="2364"/>
      <c r="H3" s="2365"/>
      <c r="I3" s="2366">
        <f>ROUND(D3*E3*F3*G3*H3/10000,0)</f>
        <v>0</v>
      </c>
    </row>
    <row r="4" spans="1:9">
      <c r="A4" s="3578"/>
      <c r="B4" s="3579" t="s">
        <v>2462</v>
      </c>
      <c r="C4" s="3579"/>
      <c r="D4" s="2363"/>
      <c r="E4" s="2361"/>
      <c r="F4" s="2364"/>
      <c r="G4" s="2364"/>
      <c r="H4" s="2365"/>
      <c r="I4" s="2366">
        <f t="shared" ref="I4:I9" si="0">ROUND(D4*E4*F4*G4*H4/10000,0)</f>
        <v>0</v>
      </c>
    </row>
    <row r="5" spans="1:9">
      <c r="A5" s="3578"/>
      <c r="B5" s="3579" t="s">
        <v>2463</v>
      </c>
      <c r="C5" s="3579"/>
      <c r="D5" s="2363"/>
      <c r="E5" s="2361"/>
      <c r="F5" s="2364"/>
      <c r="G5" s="2364"/>
      <c r="H5" s="2365"/>
      <c r="I5" s="2366">
        <f t="shared" si="0"/>
        <v>0</v>
      </c>
    </row>
    <row r="6" spans="1:9">
      <c r="A6" s="3578"/>
      <c r="B6" s="3579" t="s">
        <v>2464</v>
      </c>
      <c r="C6" s="3579"/>
      <c r="D6" s="2363"/>
      <c r="E6" s="2361"/>
      <c r="F6" s="2364"/>
      <c r="G6" s="2364"/>
      <c r="H6" s="2365"/>
      <c r="I6" s="2366">
        <f t="shared" si="0"/>
        <v>0</v>
      </c>
    </row>
    <row r="7" spans="1:9">
      <c r="A7" s="3578"/>
      <c r="B7" s="3579" t="s">
        <v>2465</v>
      </c>
      <c r="C7" s="3579"/>
      <c r="D7" s="2363"/>
      <c r="E7" s="2361"/>
      <c r="F7" s="2364"/>
      <c r="G7" s="2364"/>
      <c r="H7" s="2365"/>
      <c r="I7" s="2366">
        <f t="shared" si="0"/>
        <v>0</v>
      </c>
    </row>
    <row r="8" spans="1:9">
      <c r="A8" s="3578"/>
      <c r="B8" s="3579" t="s">
        <v>2466</v>
      </c>
      <c r="C8" s="3579"/>
      <c r="D8" s="2363"/>
      <c r="E8" s="2361"/>
      <c r="F8" s="2364"/>
      <c r="G8" s="2364"/>
      <c r="H8" s="2365"/>
      <c r="I8" s="2366">
        <f t="shared" si="0"/>
        <v>0</v>
      </c>
    </row>
    <row r="9" spans="1:9">
      <c r="A9" s="3578"/>
      <c r="B9" s="3579" t="s">
        <v>2467</v>
      </c>
      <c r="C9" s="3579"/>
      <c r="D9" s="2363"/>
      <c r="E9" s="2361"/>
      <c r="F9" s="2364"/>
      <c r="G9" s="2364"/>
      <c r="H9" s="2365"/>
      <c r="I9" s="2366">
        <f t="shared" si="0"/>
        <v>0</v>
      </c>
    </row>
    <row r="10" spans="1:9">
      <c r="A10" s="3578"/>
      <c r="B10" s="3580" t="s">
        <v>2468</v>
      </c>
      <c r="C10" s="3580"/>
      <c r="D10" s="2367">
        <v>527</v>
      </c>
      <c r="E10" s="2367" t="e">
        <f>ROUND(D1*10000/D10/H9,0)</f>
        <v>#DIV/0!</v>
      </c>
      <c r="F10" s="2368"/>
      <c r="G10" s="2368"/>
      <c r="H10" s="2369"/>
      <c r="I10" s="2370">
        <f>SUM(I3:I9)</f>
        <v>0</v>
      </c>
    </row>
    <row r="11" spans="1:9" ht="14.25">
      <c r="A11" s="3578" t="s">
        <v>2469</v>
      </c>
      <c r="B11" s="3579" t="s">
        <v>2470</v>
      </c>
      <c r="C11" s="3579"/>
      <c r="D11" s="2363" t="s">
        <v>2471</v>
      </c>
      <c r="E11" s="2363" t="s">
        <v>2472</v>
      </c>
      <c r="F11" s="2364" t="s">
        <v>2473</v>
      </c>
      <c r="G11" s="2364" t="s">
        <v>2474</v>
      </c>
      <c r="H11" s="2371" t="s">
        <v>2475</v>
      </c>
      <c r="I11" s="2362" t="s">
        <v>2476</v>
      </c>
    </row>
    <row r="12" spans="1:9">
      <c r="A12" s="3578"/>
      <c r="B12" s="3579" t="s">
        <v>2477</v>
      </c>
      <c r="C12" s="3579"/>
      <c r="D12" s="2363"/>
      <c r="E12" s="2363"/>
      <c r="F12" s="2364"/>
      <c r="G12" s="2365"/>
      <c r="H12" s="2372"/>
      <c r="I12" s="2362">
        <f>ROUND(D12*E12*F12*G12/10000,0)</f>
        <v>0</v>
      </c>
    </row>
    <row r="13" spans="1:9">
      <c r="A13" s="3578"/>
      <c r="B13" s="3579" t="s">
        <v>2478</v>
      </c>
      <c r="C13" s="3579"/>
      <c r="D13" s="2363"/>
      <c r="E13" s="2363"/>
      <c r="F13" s="2364"/>
      <c r="G13" s="2365"/>
      <c r="H13" s="2372"/>
      <c r="I13" s="2362">
        <f>ROUND(D13*E13*F13*G13/10000,0)</f>
        <v>0</v>
      </c>
    </row>
    <row r="14" spans="1:9">
      <c r="A14" s="3578"/>
      <c r="B14" s="3579" t="s">
        <v>2479</v>
      </c>
      <c r="C14" s="3579"/>
      <c r="D14" s="2363"/>
      <c r="E14" s="2363"/>
      <c r="F14" s="2364"/>
      <c r="G14" s="2365"/>
      <c r="H14" s="2372"/>
      <c r="I14" s="2362">
        <f>ROUND(D14*E14*F14*G14/10000,0)</f>
        <v>0</v>
      </c>
    </row>
    <row r="15" spans="1:9">
      <c r="A15" s="3578"/>
      <c r="B15" s="3580" t="s">
        <v>2468</v>
      </c>
      <c r="C15" s="3580"/>
      <c r="D15" s="2367"/>
      <c r="E15" s="2367">
        <f>SUM(E12:E14)</f>
        <v>0</v>
      </c>
      <c r="F15" s="2368"/>
      <c r="G15" s="2365"/>
      <c r="H15" s="2372"/>
      <c r="I15" s="2373">
        <f>SUM(I12:I14)</f>
        <v>0</v>
      </c>
    </row>
    <row r="16" spans="1:9" ht="24">
      <c r="A16" s="3578" t="s">
        <v>2480</v>
      </c>
      <c r="B16" s="3579" t="s">
        <v>2481</v>
      </c>
      <c r="C16" s="3579"/>
      <c r="D16" s="2363" t="s">
        <v>2482</v>
      </c>
      <c r="E16" s="2374" t="s">
        <v>2483</v>
      </c>
      <c r="F16" s="2364" t="s">
        <v>2484</v>
      </c>
      <c r="G16" s="2365" t="s">
        <v>2474</v>
      </c>
      <c r="H16" s="2371" t="s">
        <v>2475</v>
      </c>
      <c r="I16" s="2362" t="s">
        <v>2476</v>
      </c>
    </row>
    <row r="17" spans="1:9" ht="14.25">
      <c r="A17" s="3578"/>
      <c r="B17" s="3579" t="s">
        <v>2485</v>
      </c>
      <c r="C17" s="3579"/>
      <c r="D17" s="2363"/>
      <c r="E17" s="2363"/>
      <c r="F17" s="2364"/>
      <c r="G17" s="2365"/>
      <c r="H17" s="2375"/>
      <c r="I17" s="2376">
        <f>ROUND(D17*E17*F17*G17/10000,0)</f>
        <v>0</v>
      </c>
    </row>
    <row r="18" spans="1:9" ht="14.25">
      <c r="A18" s="3578"/>
      <c r="B18" s="3579" t="s">
        <v>2486</v>
      </c>
      <c r="C18" s="3579"/>
      <c r="D18" s="2363"/>
      <c r="E18" s="2363"/>
      <c r="F18" s="2364"/>
      <c r="G18" s="2365"/>
      <c r="H18" s="2375"/>
      <c r="I18" s="2376">
        <f>ROUND(D18*E18*F18*G18/10000,0)</f>
        <v>0</v>
      </c>
    </row>
    <row r="19" spans="1:9" ht="14.25">
      <c r="A19" s="3578"/>
      <c r="B19" s="3579" t="s">
        <v>2487</v>
      </c>
      <c r="C19" s="3579"/>
      <c r="D19" s="2363"/>
      <c r="E19" s="2363"/>
      <c r="F19" s="2364"/>
      <c r="G19" s="2365"/>
      <c r="H19" s="2375"/>
      <c r="I19" s="2376">
        <f>ROUND(D19*E19*F19*G19/10000,0)</f>
        <v>0</v>
      </c>
    </row>
    <row r="20" spans="1:9">
      <c r="A20" s="3578"/>
      <c r="B20" s="3580" t="s">
        <v>2468</v>
      </c>
      <c r="C20" s="3580"/>
      <c r="D20" s="2367">
        <f>SUM(D17:D19)</f>
        <v>0</v>
      </c>
      <c r="E20" s="2367"/>
      <c r="F20" s="2368"/>
      <c r="G20" s="2365"/>
      <c r="H20" s="2372"/>
      <c r="I20" s="2373">
        <f>SUM(I17:I19)</f>
        <v>0</v>
      </c>
    </row>
    <row r="21" spans="1:9">
      <c r="A21" s="3578" t="s">
        <v>2488</v>
      </c>
      <c r="B21" s="3581"/>
      <c r="C21" s="3581"/>
      <c r="D21" s="3581"/>
      <c r="E21" s="3581"/>
      <c r="F21" s="3581"/>
      <c r="G21" s="3581"/>
      <c r="H21" s="2377">
        <v>0.1</v>
      </c>
      <c r="I21" s="2370">
        <f>ROUND(I10*H21,0)</f>
        <v>0</v>
      </c>
    </row>
    <row r="22" spans="1:9" ht="14.25">
      <c r="A22" s="3582" t="s">
        <v>2489</v>
      </c>
      <c r="B22" s="3583"/>
      <c r="C22" s="3584"/>
      <c r="D22" s="2378" t="s">
        <v>2490</v>
      </c>
      <c r="E22" s="2378" t="s">
        <v>2491</v>
      </c>
      <c r="F22" s="2379" t="s">
        <v>2492</v>
      </c>
      <c r="G22" s="2379" t="s">
        <v>2493</v>
      </c>
      <c r="H22" s="2371" t="s">
        <v>2494</v>
      </c>
      <c r="I22" s="2362" t="s">
        <v>2495</v>
      </c>
    </row>
    <row r="23" spans="1:9" ht="14.25" thickBot="1">
      <c r="A23" s="3585"/>
      <c r="B23" s="3586"/>
      <c r="C23" s="3587"/>
      <c r="D23" s="2380"/>
      <c r="E23" s="2380"/>
      <c r="F23" s="2380"/>
      <c r="G23" s="2381"/>
      <c r="H23" s="2382"/>
      <c r="I23" s="2383">
        <f>ROUND(E23*D23*F23*(1-G23)/10000,0)</f>
        <v>0</v>
      </c>
    </row>
    <row r="26" spans="1:9">
      <c r="A26" s="2384" t="s">
        <v>2496</v>
      </c>
      <c r="B26" s="2384"/>
      <c r="C26" s="2384"/>
      <c r="D26" s="2384"/>
      <c r="E26" s="3575">
        <f>C27-C30-C31-C32</f>
        <v>0</v>
      </c>
      <c r="F26" s="3575"/>
      <c r="G26" s="3575"/>
      <c r="H26" s="2756" t="s">
        <v>2822</v>
      </c>
    </row>
    <row r="27" spans="1:9">
      <c r="A27" s="2385">
        <v>1</v>
      </c>
      <c r="B27" s="2386" t="s">
        <v>2497</v>
      </c>
      <c r="C27" s="2386"/>
      <c r="D27" s="2386"/>
      <c r="E27" s="3576"/>
      <c r="F27" s="3576"/>
      <c r="G27" s="3576"/>
    </row>
    <row r="28" spans="1:9">
      <c r="A28" s="2387" t="s">
        <v>2498</v>
      </c>
      <c r="B28" s="2386" t="s">
        <v>2499</v>
      </c>
      <c r="C28" s="2386"/>
      <c r="D28" s="2386"/>
      <c r="E28" s="3576"/>
      <c r="F28" s="3576"/>
      <c r="G28" s="3576"/>
    </row>
    <row r="29" spans="1:9">
      <c r="A29" s="2387" t="s">
        <v>2500</v>
      </c>
      <c r="B29" s="2386" t="s">
        <v>2441</v>
      </c>
      <c r="C29" s="2386"/>
      <c r="D29" s="2386"/>
      <c r="E29" s="2386" t="s">
        <v>2501</v>
      </c>
      <c r="F29" s="2386"/>
      <c r="G29" s="2386"/>
    </row>
    <row r="30" spans="1:9">
      <c r="A30" s="2385">
        <v>2</v>
      </c>
      <c r="B30" s="2386" t="s">
        <v>2502</v>
      </c>
      <c r="C30" s="2386">
        <f>C27*D30</f>
        <v>0</v>
      </c>
      <c r="D30" s="2388">
        <v>0.2</v>
      </c>
      <c r="E30" s="2386" t="s">
        <v>2503</v>
      </c>
      <c r="F30" s="2386"/>
      <c r="G30" s="2386"/>
    </row>
    <row r="31" spans="1:9">
      <c r="A31" s="2385">
        <v>3</v>
      </c>
      <c r="B31" s="2386" t="s">
        <v>2504</v>
      </c>
      <c r="C31" s="2386">
        <f>C25*D31</f>
        <v>0</v>
      </c>
      <c r="D31" s="2388">
        <v>0.15</v>
      </c>
      <c r="E31" s="2386" t="s">
        <v>2505</v>
      </c>
      <c r="F31" s="2386"/>
      <c r="G31" s="2386"/>
    </row>
    <row r="32" spans="1:9">
      <c r="A32" s="2385">
        <v>4</v>
      </c>
      <c r="B32" s="2386" t="s">
        <v>2506</v>
      </c>
      <c r="C32" s="2386">
        <f>C27*D32</f>
        <v>0</v>
      </c>
      <c r="D32" s="2388">
        <v>0.05</v>
      </c>
      <c r="E32" s="3577"/>
      <c r="F32" s="3577"/>
      <c r="G32" s="3577"/>
    </row>
    <row r="33" spans="1:7" hidden="1">
      <c r="A33" s="3572" t="s">
        <v>2507</v>
      </c>
      <c r="B33" s="3573"/>
      <c r="C33" s="3573"/>
      <c r="D33" s="3574"/>
      <c r="E33" s="3575"/>
      <c r="F33" s="3575"/>
      <c r="G33" s="3575"/>
    </row>
    <row r="34" spans="1:7" hidden="1">
      <c r="A34" s="2389">
        <v>1</v>
      </c>
      <c r="B34" s="2386" t="s">
        <v>2508</v>
      </c>
      <c r="C34" s="2386"/>
      <c r="D34" s="2386"/>
      <c r="E34" s="3576"/>
      <c r="F34" s="3576"/>
      <c r="G34" s="3576"/>
    </row>
    <row r="35" spans="1:7" hidden="1">
      <c r="A35" s="2389">
        <v>2</v>
      </c>
      <c r="B35" s="2386" t="s">
        <v>2509</v>
      </c>
      <c r="C35" s="2386"/>
      <c r="D35" s="2386"/>
      <c r="E35" s="3576"/>
      <c r="F35" s="3576"/>
      <c r="G35" s="3576"/>
    </row>
    <row r="36" spans="1:7" hidden="1">
      <c r="A36" s="2389">
        <v>3</v>
      </c>
      <c r="B36" s="2386" t="s">
        <v>2510</v>
      </c>
      <c r="C36" s="2386"/>
      <c r="D36" s="2386"/>
      <c r="E36" s="3576"/>
      <c r="F36" s="3576"/>
      <c r="G36" s="3576"/>
    </row>
    <row r="37" spans="1:7" hidden="1">
      <c r="A37" s="2389">
        <v>4</v>
      </c>
      <c r="B37" s="2386" t="s">
        <v>2511</v>
      </c>
      <c r="C37" s="2386"/>
      <c r="D37" s="2386"/>
      <c r="E37" s="3576"/>
      <c r="F37" s="3576"/>
      <c r="G37" s="3576"/>
    </row>
    <row r="38" spans="1:7" hidden="1">
      <c r="A38" s="3572" t="s">
        <v>2512</v>
      </c>
      <c r="B38" s="3573"/>
      <c r="C38" s="3573"/>
      <c r="D38" s="3574"/>
      <c r="E38" s="3575"/>
      <c r="F38" s="3575"/>
      <c r="G38" s="357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67" customWidth="1"/>
    <col min="2" max="2" width="26.625" style="2068" customWidth="1"/>
    <col min="3" max="3" width="11.125" style="2068" customWidth="1"/>
    <col min="4" max="5" width="11.125" style="2069" customWidth="1"/>
    <col min="6" max="6" width="9.5" style="2068" customWidth="1"/>
    <col min="7" max="7" width="31.875" style="2068" customWidth="1"/>
    <col min="8" max="25" width="9" style="2070" customWidth="1"/>
    <col min="26" max="254" width="9" style="2068" customWidth="1"/>
    <col min="255" max="16384" width="8.375" style="2068"/>
  </cols>
  <sheetData>
    <row r="1" spans="1:25" s="1943" customFormat="1" ht="20.25">
      <c r="A1" s="415" t="s">
        <v>597</v>
      </c>
      <c r="B1" s="734"/>
      <c r="C1" s="2064"/>
      <c r="D1" s="2064"/>
      <c r="E1" s="2064"/>
      <c r="F1" s="2064"/>
      <c r="G1" s="1991"/>
    </row>
    <row r="2" spans="1:25" s="1943" customFormat="1" ht="18" customHeight="1">
      <c r="A2" s="417" t="s">
        <v>461</v>
      </c>
      <c r="B2" s="419">
        <f ca="1">C23</f>
        <v>0</v>
      </c>
      <c r="C2" s="3268"/>
      <c r="D2" s="3268"/>
      <c r="E2" s="3268"/>
      <c r="F2" s="3268"/>
      <c r="G2" s="3268"/>
    </row>
    <row r="3" spans="1:25" s="1943" customFormat="1" ht="18" customHeight="1">
      <c r="A3" s="1331" t="s">
        <v>1676</v>
      </c>
      <c r="B3" s="419">
        <f ca="1">ROUND(B2*10000/'数据-汇总表'!E3,0)</f>
        <v>0</v>
      </c>
      <c r="C3" s="3268"/>
      <c r="D3" s="3268"/>
      <c r="E3" s="3268"/>
      <c r="F3" s="3268"/>
      <c r="G3" s="3268"/>
    </row>
    <row r="4" spans="1:25" s="1943" customFormat="1" ht="18" customHeight="1">
      <c r="A4" s="420" t="s">
        <v>462</v>
      </c>
      <c r="B4" s="421">
        <f ca="1">ROUND(B2*10000/'数据-汇总表'!D3,0)</f>
        <v>0</v>
      </c>
      <c r="C4" s="3221"/>
      <c r="D4" s="3268"/>
      <c r="E4" s="3268"/>
      <c r="F4" s="3268"/>
      <c r="G4" s="3268"/>
    </row>
    <row r="5" spans="1:25" s="1943" customFormat="1" ht="18" customHeight="1" thickBot="1">
      <c r="A5" s="423"/>
      <c r="B5" s="424">
        <f ca="1">ROUND(B2/('数据-汇总表'!D3/666.67),0)</f>
        <v>0</v>
      </c>
      <c r="C5" s="425" t="s">
        <v>463</v>
      </c>
      <c r="D5" s="3268"/>
      <c r="E5" s="3268"/>
      <c r="F5" s="3268"/>
      <c r="G5" s="3268"/>
    </row>
    <row r="6" spans="1:25" s="2065" customFormat="1" ht="13.5" customHeight="1">
      <c r="A6" s="735"/>
      <c r="B6" s="736" t="s">
        <v>598</v>
      </c>
      <c r="C6" s="737" t="s">
        <v>599</v>
      </c>
      <c r="D6" s="737" t="s">
        <v>600</v>
      </c>
      <c r="E6" s="738" t="s">
        <v>601</v>
      </c>
      <c r="F6" s="738" t="s">
        <v>602</v>
      </c>
      <c r="G6" s="3267" t="s">
        <v>2986</v>
      </c>
    </row>
    <row r="7" spans="1:25" s="2065" customFormat="1" ht="13.5" customHeight="1">
      <c r="A7" s="2324">
        <v>1</v>
      </c>
      <c r="B7" s="739" t="s">
        <v>603</v>
      </c>
      <c r="C7" s="740">
        <f>C8+C9</f>
        <v>0</v>
      </c>
      <c r="D7" s="740"/>
      <c r="E7" s="741"/>
      <c r="F7" s="741"/>
      <c r="G7" s="2333"/>
    </row>
    <row r="8" spans="1:25" s="2065" customFormat="1" ht="13.5" customHeight="1">
      <c r="A8" s="2324" t="s">
        <v>2423</v>
      </c>
      <c r="B8" s="2327" t="s">
        <v>2425</v>
      </c>
      <c r="C8" s="3271">
        <f t="shared" ref="C8:C9" si="0">ROUND(D8*E8/10000,0)</f>
        <v>0</v>
      </c>
      <c r="D8" s="3271">
        <v>0</v>
      </c>
      <c r="E8" s="3272">
        <v>0</v>
      </c>
      <c r="F8" s="741"/>
      <c r="G8" s="742"/>
    </row>
    <row r="9" spans="1:25" s="2065" customFormat="1" ht="13.5" customHeight="1">
      <c r="A9" s="2324" t="s">
        <v>2424</v>
      </c>
      <c r="B9" s="2327" t="s">
        <v>2426</v>
      </c>
      <c r="C9" s="3271">
        <f t="shared" si="0"/>
        <v>0</v>
      </c>
      <c r="D9" s="3271">
        <v>0</v>
      </c>
      <c r="E9" s="3272">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2423</v>
      </c>
      <c r="B11" s="743" t="s">
        <v>604</v>
      </c>
      <c r="C11" s="744">
        <f>'数据-取费表'!B29</f>
        <v>0</v>
      </c>
      <c r="D11" s="745"/>
      <c r="E11" s="744"/>
      <c r="F11" s="746"/>
      <c r="G11" s="2332" t="s">
        <v>2434</v>
      </c>
    </row>
    <row r="12" spans="1:25" s="2065" customFormat="1" ht="13.5" customHeight="1">
      <c r="A12" s="2330" t="s">
        <v>2431</v>
      </c>
      <c r="B12" s="747" t="s">
        <v>605</v>
      </c>
      <c r="C12" s="748">
        <f>ROUND(D12*E12/10000,0)</f>
        <v>0</v>
      </c>
      <c r="D12" s="3271">
        <f>'数据-汇总表'!E5</f>
        <v>0</v>
      </c>
      <c r="E12" s="3271">
        <f>'数据-取费表'!B27</f>
        <v>0</v>
      </c>
      <c r="F12" s="746"/>
      <c r="G12" s="749"/>
    </row>
    <row r="13" spans="1:25" s="2065" customFormat="1" ht="13.5" customHeight="1">
      <c r="A13" s="2330" t="s">
        <v>2430</v>
      </c>
      <c r="B13" s="747" t="s">
        <v>606</v>
      </c>
      <c r="C13" s="748">
        <f>ROUND(D13*E13/10000,0)</f>
        <v>0</v>
      </c>
      <c r="D13" s="3271">
        <f>'数据-汇总表'!E6</f>
        <v>26283.599999999999</v>
      </c>
      <c r="E13" s="3271">
        <f>'数据-取费表'!B28</f>
        <v>0</v>
      </c>
      <c r="F13" s="746"/>
      <c r="G13" s="749"/>
    </row>
    <row r="14" spans="1:25" s="2065" customFormat="1" ht="13.5" customHeight="1">
      <c r="A14" s="2324" t="s">
        <v>2424</v>
      </c>
      <c r="B14" s="2329" t="s">
        <v>2427</v>
      </c>
      <c r="C14" s="3273">
        <f t="shared" ref="C14:C15" si="1">ROUND(D14*E14/10000,0)</f>
        <v>0</v>
      </c>
      <c r="D14" s="3271">
        <v>0</v>
      </c>
      <c r="E14" s="3272">
        <v>0</v>
      </c>
      <c r="F14" s="2328"/>
      <c r="G14" s="2331" t="s">
        <v>2432</v>
      </c>
    </row>
    <row r="15" spans="1:25" s="2065" customFormat="1" ht="13.5" customHeight="1">
      <c r="A15" s="2324" t="s">
        <v>2429</v>
      </c>
      <c r="B15" s="2329" t="s">
        <v>2428</v>
      </c>
      <c r="C15" s="3273">
        <f t="shared" si="1"/>
        <v>0</v>
      </c>
      <c r="D15" s="3271">
        <v>0</v>
      </c>
      <c r="E15" s="3272">
        <v>0</v>
      </c>
      <c r="F15" s="2328"/>
      <c r="G15" s="2331" t="s">
        <v>2433</v>
      </c>
    </row>
    <row r="16" spans="1:25" s="2066" customFormat="1" ht="48">
      <c r="A16" s="2324">
        <v>3</v>
      </c>
      <c r="B16" s="739" t="s">
        <v>609</v>
      </c>
      <c r="C16" s="3273">
        <f t="shared" ref="C16" si="2">ROUND(D16*E16/10000,0)</f>
        <v>0</v>
      </c>
      <c r="D16" s="3271">
        <v>0</v>
      </c>
      <c r="E16" s="3272">
        <v>0</v>
      </c>
      <c r="F16" s="751"/>
      <c r="G16" s="749" t="s">
        <v>2435</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5.5">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4.75">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0.751</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15"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0" customFormat="1">
      <c r="A24" s="3269"/>
      <c r="D24" s="1885"/>
      <c r="E24" s="1885"/>
    </row>
    <row r="25" spans="1:25" s="3270" customFormat="1">
      <c r="A25" s="3269"/>
      <c r="D25" s="1885"/>
      <c r="E25" s="1885"/>
    </row>
    <row r="26" spans="1:25" s="3270" customFormat="1">
      <c r="A26" s="3269"/>
      <c r="D26" s="1885"/>
      <c r="E26" s="1885"/>
    </row>
    <row r="27" spans="1:25" s="3270" customFormat="1">
      <c r="A27" s="3269"/>
      <c r="D27" s="1885"/>
      <c r="E27" s="1885"/>
    </row>
    <row r="28" spans="1:25" s="3270" customFormat="1">
      <c r="A28" s="3269"/>
      <c r="D28" s="1885"/>
      <c r="E28" s="1885"/>
    </row>
    <row r="29" spans="1:25" s="3270" customFormat="1">
      <c r="A29" s="3269"/>
      <c r="D29" s="1885"/>
      <c r="E29" s="1885"/>
    </row>
    <row r="30" spans="1:25" s="3270" customFormat="1">
      <c r="A30" s="3269"/>
      <c r="D30" s="1885"/>
      <c r="E30" s="1885"/>
    </row>
    <row r="31" spans="1:25" s="3270" customFormat="1">
      <c r="A31" s="3269"/>
      <c r="D31" s="1885"/>
      <c r="E31" s="1885"/>
    </row>
    <row r="32" spans="1:25" s="3270" customFormat="1">
      <c r="A32" s="3269"/>
      <c r="D32" s="1885"/>
      <c r="E32" s="1885"/>
    </row>
    <row r="33" spans="1:5" s="3270" customFormat="1">
      <c r="A33" s="3269"/>
      <c r="D33" s="1885"/>
      <c r="E33" s="1885"/>
    </row>
    <row r="34" spans="1:5" s="3270" customFormat="1">
      <c r="A34" s="3269"/>
      <c r="D34" s="1885"/>
      <c r="E34" s="1885"/>
    </row>
    <row r="35" spans="1:5" s="3270" customFormat="1">
      <c r="A35" s="3269"/>
      <c r="D35" s="1885"/>
      <c r="E35" s="1885"/>
    </row>
    <row r="36" spans="1:5" s="3270" customFormat="1">
      <c r="A36" s="3269"/>
      <c r="D36" s="1885"/>
      <c r="E36" s="1885"/>
    </row>
    <row r="37" spans="1:5" s="3270" customFormat="1">
      <c r="A37" s="3269"/>
      <c r="D37" s="1885"/>
      <c r="E37" s="1885"/>
    </row>
    <row r="38" spans="1:5" s="3270" customFormat="1">
      <c r="A38" s="3269"/>
      <c r="D38" s="1885"/>
      <c r="E38" s="1885"/>
    </row>
    <row r="39" spans="1:5" s="3270" customFormat="1">
      <c r="A39" s="3269"/>
      <c r="D39" s="1885"/>
      <c r="E39" s="1885"/>
    </row>
    <row r="40" spans="1:5" s="3270" customFormat="1">
      <c r="A40" s="3269"/>
      <c r="D40" s="1885"/>
      <c r="E40" s="1885"/>
    </row>
    <row r="41" spans="1:5" s="3270" customFormat="1">
      <c r="A41" s="3269"/>
      <c r="D41" s="1885"/>
      <c r="E41" s="1885"/>
    </row>
    <row r="42" spans="1:5" s="3270" customFormat="1">
      <c r="A42" s="3269"/>
      <c r="D42" s="1885"/>
      <c r="E42" s="1885"/>
    </row>
    <row r="43" spans="1:5" s="3270" customFormat="1">
      <c r="A43" s="3269"/>
      <c r="D43" s="1885"/>
      <c r="E43" s="1885"/>
    </row>
    <row r="44" spans="1:5" s="3270" customFormat="1">
      <c r="A44" s="3269"/>
      <c r="D44" s="1885"/>
      <c r="E44" s="1885"/>
    </row>
    <row r="45" spans="1:5" s="3270" customFormat="1">
      <c r="A45" s="3269"/>
      <c r="D45" s="1885"/>
      <c r="E45" s="1885"/>
    </row>
    <row r="46" spans="1:5" s="3270" customFormat="1">
      <c r="A46" s="3269"/>
      <c r="D46" s="1885"/>
      <c r="E46" s="1885"/>
    </row>
    <row r="47" spans="1:5" s="3270" customFormat="1">
      <c r="A47" s="3269"/>
      <c r="D47" s="1885"/>
      <c r="E47" s="1885"/>
    </row>
    <row r="48" spans="1:5" s="3270" customFormat="1">
      <c r="A48" s="3269"/>
      <c r="D48" s="1885"/>
      <c r="E48" s="1885"/>
    </row>
    <row r="49" spans="1:5" s="3270" customFormat="1">
      <c r="A49" s="3269"/>
      <c r="D49" s="1885"/>
      <c r="E49" s="1885"/>
    </row>
    <row r="50" spans="1:5" s="3270" customFormat="1">
      <c r="A50" s="3269"/>
      <c r="D50" s="1885"/>
      <c r="E50" s="1885"/>
    </row>
    <row r="51" spans="1:5" s="3270" customFormat="1">
      <c r="A51" s="3269"/>
      <c r="D51" s="1885"/>
      <c r="E51" s="1885"/>
    </row>
    <row r="52" spans="1:5" s="3270" customFormat="1">
      <c r="A52" s="3269"/>
      <c r="D52" s="1885"/>
      <c r="E52" s="1885"/>
    </row>
    <row r="53" spans="1:5" s="3270" customFormat="1">
      <c r="A53" s="3269"/>
      <c r="D53" s="1885"/>
      <c r="E53" s="1885"/>
    </row>
    <row r="54" spans="1:5" s="3270" customFormat="1">
      <c r="A54" s="3269"/>
      <c r="D54" s="1885"/>
      <c r="E54" s="1885"/>
    </row>
    <row r="55" spans="1:5" s="3270" customFormat="1">
      <c r="A55" s="3269"/>
      <c r="D55" s="1885"/>
      <c r="E55" s="1885"/>
    </row>
    <row r="56" spans="1:5" s="3270" customFormat="1">
      <c r="A56" s="3269"/>
      <c r="D56" s="1885"/>
      <c r="E56" s="1885"/>
    </row>
    <row r="57" spans="1:5" s="3270" customFormat="1">
      <c r="A57" s="3269"/>
      <c r="D57" s="1885"/>
      <c r="E57" s="1885"/>
    </row>
    <row r="58" spans="1:5" s="3270" customFormat="1">
      <c r="A58" s="3269"/>
      <c r="D58" s="1885"/>
      <c r="E58" s="1885"/>
    </row>
    <row r="59" spans="1:5" s="3270" customFormat="1">
      <c r="A59" s="3269"/>
      <c r="D59" s="1885"/>
      <c r="E59" s="1885"/>
    </row>
    <row r="60" spans="1:5" s="3270" customFormat="1">
      <c r="A60" s="3269"/>
      <c r="D60" s="1885"/>
      <c r="E60" s="1885"/>
    </row>
    <row r="61" spans="1:5" s="3270" customFormat="1">
      <c r="A61" s="3269"/>
      <c r="D61" s="1885"/>
      <c r="E61" s="1885"/>
    </row>
    <row r="62" spans="1:5" s="3270" customFormat="1">
      <c r="A62" s="3269"/>
      <c r="D62" s="1885"/>
      <c r="E62" s="1885"/>
    </row>
    <row r="63" spans="1:5" s="3270" customFormat="1">
      <c r="A63" s="3269"/>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0"/>
      <c r="M1" s="3211"/>
      <c r="N1" s="3211"/>
      <c r="O1" s="3211"/>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5">
      <c r="A4" s="506" t="s">
        <v>515</v>
      </c>
      <c r="B4" s="507"/>
      <c r="C4" s="3514" t="s">
        <v>516</v>
      </c>
      <c r="D4" s="3515"/>
      <c r="E4" s="3540" t="s">
        <v>517</v>
      </c>
      <c r="F4" s="3541"/>
      <c r="G4" s="3514" t="s">
        <v>518</v>
      </c>
      <c r="H4" s="3515"/>
      <c r="I4" s="3514" t="s">
        <v>519</v>
      </c>
      <c r="J4" s="3515"/>
      <c r="K4" s="842" t="s">
        <v>520</v>
      </c>
      <c r="L4" s="2016"/>
      <c r="M4" s="2017"/>
      <c r="N4" s="2017"/>
      <c r="O4" s="2017"/>
      <c r="P4" s="3516" t="s">
        <v>521</v>
      </c>
      <c r="Q4" s="3517"/>
      <c r="R4" s="3502" t="s">
        <v>517</v>
      </c>
      <c r="S4" s="3503"/>
      <c r="T4" s="3502" t="s">
        <v>518</v>
      </c>
      <c r="U4" s="3503"/>
      <c r="V4" s="3522" t="s">
        <v>519</v>
      </c>
      <c r="W4" s="3522"/>
      <c r="X4" s="1502"/>
      <c r="Y4" s="3502" t="s">
        <v>521</v>
      </c>
      <c r="Z4" s="3503"/>
      <c r="AA4" s="3497" t="s">
        <v>517</v>
      </c>
      <c r="AB4" s="3497" t="s">
        <v>518</v>
      </c>
      <c r="AC4" s="3497" t="s">
        <v>519</v>
      </c>
    </row>
    <row r="5" spans="1:29" ht="15">
      <c r="A5" s="509"/>
      <c r="B5" s="510"/>
      <c r="C5" s="3527" t="s">
        <v>2887</v>
      </c>
      <c r="D5" s="3526"/>
      <c r="E5" s="3542" t="s">
        <v>2888</v>
      </c>
      <c r="F5" s="3543"/>
      <c r="G5" s="3527" t="s">
        <v>2889</v>
      </c>
      <c r="H5" s="3526"/>
      <c r="I5" s="3527" t="s">
        <v>2890</v>
      </c>
      <c r="J5" s="3526"/>
      <c r="K5" s="843"/>
      <c r="L5" s="2016"/>
      <c r="M5" s="2017"/>
      <c r="N5" s="2017"/>
      <c r="O5" s="2017"/>
      <c r="P5" s="3518"/>
      <c r="Q5" s="3519"/>
      <c r="R5" s="3504"/>
      <c r="S5" s="3505"/>
      <c r="T5" s="3504"/>
      <c r="U5" s="3505"/>
      <c r="V5" s="3522"/>
      <c r="W5" s="3522"/>
      <c r="X5" s="1502"/>
      <c r="Y5" s="3504"/>
      <c r="Z5" s="3505"/>
      <c r="AA5" s="3498"/>
      <c r="AB5" s="3498"/>
      <c r="AC5" s="3498"/>
    </row>
    <row r="6" spans="1:29" ht="15.75" thickBot="1">
      <c r="A6" s="511"/>
      <c r="B6" s="512"/>
      <c r="C6" s="3544" t="s">
        <v>2891</v>
      </c>
      <c r="D6" s="3524"/>
      <c r="E6" s="3545" t="s">
        <v>2891</v>
      </c>
      <c r="F6" s="3546"/>
      <c r="G6" s="3544" t="s">
        <v>2891</v>
      </c>
      <c r="H6" s="3524"/>
      <c r="I6" s="3544" t="s">
        <v>2891</v>
      </c>
      <c r="J6" s="3524"/>
      <c r="K6" s="843" t="s">
        <v>522</v>
      </c>
      <c r="L6" s="2016"/>
      <c r="M6" s="2017"/>
      <c r="N6" s="2017"/>
      <c r="O6" s="2017"/>
      <c r="P6" s="3520"/>
      <c r="Q6" s="3521"/>
      <c r="R6" s="3504"/>
      <c r="S6" s="3505"/>
      <c r="T6" s="3506"/>
      <c r="U6" s="3507"/>
      <c r="V6" s="3522"/>
      <c r="W6" s="3522"/>
      <c r="X6" s="1502"/>
      <c r="Y6" s="3506"/>
      <c r="Z6" s="3507"/>
      <c r="AA6" s="3499"/>
      <c r="AB6" s="3499"/>
      <c r="AC6" s="3499"/>
    </row>
    <row r="7" spans="1:29" s="1203" customFormat="1" ht="15.75" thickBot="1">
      <c r="A7" s="2630"/>
      <c r="B7" s="2637" t="s">
        <v>523</v>
      </c>
      <c r="C7" s="513">
        <f>'数据-取费表'!B2</f>
        <v>44329</v>
      </c>
      <c r="D7" s="514">
        <v>100</v>
      </c>
      <c r="E7" s="515"/>
      <c r="F7" s="516">
        <f>SUMIF(58:58,YEAR(E7)&amp;"-"&amp;MONTH(E7),59:59)</f>
        <v>0</v>
      </c>
      <c r="G7" s="517"/>
      <c r="H7" s="514">
        <f>SUMIF(58:58,YEAR(G7)&amp;"-"&amp;MONTH(G7),59:59)</f>
        <v>0</v>
      </c>
      <c r="I7" s="517"/>
      <c r="J7" s="514">
        <f>SUMIF(58:58,YEAR(I7)&amp;"-"&amp;MONTH(I7),59:59)</f>
        <v>0</v>
      </c>
      <c r="K7" s="844"/>
      <c r="L7" s="2018"/>
      <c r="M7" s="2019"/>
      <c r="N7" s="2019"/>
      <c r="O7" s="2019"/>
      <c r="P7" s="3500" t="s">
        <v>524</v>
      </c>
      <c r="Q7" s="3509"/>
      <c r="R7" s="1503" t="s">
        <v>13</v>
      </c>
      <c r="S7" s="1504">
        <f t="shared" ref="S7:S15" si="0">F7</f>
        <v>0</v>
      </c>
      <c r="T7" s="1503" t="s">
        <v>13</v>
      </c>
      <c r="U7" s="1504">
        <f t="shared" ref="U7:U15" si="1">H7</f>
        <v>0</v>
      </c>
      <c r="V7" s="1503" t="s">
        <v>13</v>
      </c>
      <c r="W7" s="1504">
        <f t="shared" ref="W7:W15"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500" t="s">
        <v>527</v>
      </c>
      <c r="Q8" s="3501"/>
      <c r="R8" s="1503" t="s">
        <v>13</v>
      </c>
      <c r="S8" s="1504">
        <f t="shared" si="0"/>
        <v>0</v>
      </c>
      <c r="T8" s="1503" t="s">
        <v>13</v>
      </c>
      <c r="U8" s="1504">
        <f t="shared" si="1"/>
        <v>0</v>
      </c>
      <c r="V8" s="1503" t="s">
        <v>13</v>
      </c>
      <c r="W8" s="1504">
        <f t="shared" si="2"/>
        <v>0</v>
      </c>
      <c r="X8" s="1505"/>
      <c r="Y8" s="3500" t="s">
        <v>527</v>
      </c>
      <c r="Z8" s="3501"/>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508" t="s">
        <v>529</v>
      </c>
      <c r="Q9" s="1134" t="str">
        <f t="shared" ref="Q9:Q15" si="6">B9</f>
        <v>用途</v>
      </c>
      <c r="R9" s="1503" t="s">
        <v>8</v>
      </c>
      <c r="S9" s="1504">
        <f t="shared" si="0"/>
        <v>100</v>
      </c>
      <c r="T9" s="1503" t="s">
        <v>8</v>
      </c>
      <c r="U9" s="1504">
        <f t="shared" si="1"/>
        <v>100</v>
      </c>
      <c r="V9" s="1503" t="s">
        <v>8</v>
      </c>
      <c r="W9" s="1504">
        <f t="shared" si="2"/>
        <v>100</v>
      </c>
      <c r="X9" s="1505"/>
      <c r="Y9" s="3438"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508"/>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5">
      <c r="A11" s="2634"/>
      <c r="B11" s="2638" t="s">
        <v>2738</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508"/>
      <c r="Q11" s="1134" t="str">
        <f t="shared" si="6"/>
        <v>容积率</v>
      </c>
      <c r="R11" s="1503" t="s">
        <v>11</v>
      </c>
      <c r="S11" s="1504" t="e">
        <f t="shared" si="0"/>
        <v>#N/A</v>
      </c>
      <c r="T11" s="1503" t="s">
        <v>11</v>
      </c>
      <c r="U11" s="1504" t="e">
        <f t="shared" si="1"/>
        <v>#N/A</v>
      </c>
      <c r="V11" s="1503" t="s">
        <v>11</v>
      </c>
      <c r="W11" s="1504" t="e">
        <f t="shared" si="2"/>
        <v>#N/A</v>
      </c>
      <c r="X11" s="1505"/>
      <c r="Y11" s="343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508"/>
      <c r="Q12" s="1134">
        <f t="shared" si="6"/>
        <v>111</v>
      </c>
      <c r="R12" s="1503" t="s">
        <v>11</v>
      </c>
      <c r="S12" s="1504">
        <f t="shared" si="0"/>
        <v>100</v>
      </c>
      <c r="T12" s="1503" t="s">
        <v>11</v>
      </c>
      <c r="U12" s="1504">
        <f t="shared" si="1"/>
        <v>100</v>
      </c>
      <c r="V12" s="1503" t="s">
        <v>11</v>
      </c>
      <c r="W12" s="1504">
        <f t="shared" si="2"/>
        <v>100</v>
      </c>
      <c r="X12" s="1505"/>
      <c r="Y12" s="3438"/>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508"/>
      <c r="Q13" s="1134">
        <f t="shared" si="6"/>
        <v>111</v>
      </c>
      <c r="R13" s="1503" t="s">
        <v>11</v>
      </c>
      <c r="S13" s="1504">
        <f t="shared" si="0"/>
        <v>100</v>
      </c>
      <c r="T13" s="1503" t="s">
        <v>11</v>
      </c>
      <c r="U13" s="1504">
        <f t="shared" si="1"/>
        <v>100</v>
      </c>
      <c r="V13" s="1503" t="s">
        <v>11</v>
      </c>
      <c r="W13" s="1504">
        <f t="shared" si="2"/>
        <v>100</v>
      </c>
      <c r="X13" s="1505"/>
      <c r="Y13" s="3438"/>
      <c r="Z13" s="1133">
        <f t="shared" si="7"/>
        <v>111</v>
      </c>
      <c r="AA13" s="1506">
        <f t="shared" si="3"/>
        <v>1</v>
      </c>
      <c r="AB13" s="1506">
        <f t="shared" si="4"/>
        <v>1</v>
      </c>
      <c r="AC13" s="1506">
        <f t="shared" si="5"/>
        <v>1</v>
      </c>
    </row>
    <row r="14" spans="1:29" ht="15.75"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508"/>
      <c r="Q14" s="1134">
        <f t="shared" si="6"/>
        <v>111</v>
      </c>
      <c r="R14" s="1503" t="s">
        <v>11</v>
      </c>
      <c r="S14" s="1504">
        <f t="shared" si="0"/>
        <v>100</v>
      </c>
      <c r="T14" s="1503" t="s">
        <v>11</v>
      </c>
      <c r="U14" s="1504">
        <f t="shared" si="1"/>
        <v>100</v>
      </c>
      <c r="V14" s="1503" t="s">
        <v>11</v>
      </c>
      <c r="W14" s="1504">
        <f t="shared" si="2"/>
        <v>100</v>
      </c>
      <c r="X14" s="1505"/>
      <c r="Y14" s="3438"/>
      <c r="Z14" s="1133">
        <f t="shared" si="7"/>
        <v>111</v>
      </c>
      <c r="AA14" s="1506">
        <f t="shared" si="3"/>
        <v>1</v>
      </c>
      <c r="AB14" s="1506">
        <f t="shared" si="4"/>
        <v>1</v>
      </c>
      <c r="AC14" s="1506">
        <f t="shared" si="5"/>
        <v>1</v>
      </c>
    </row>
    <row r="15" spans="1:29" ht="15">
      <c r="A15" s="2628" t="s">
        <v>2734</v>
      </c>
      <c r="B15" s="164" t="s">
        <v>295</v>
      </c>
      <c r="C15" s="856">
        <f>估价对象房地状况!C3</f>
        <v>0</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510" t="s">
        <v>534</v>
      </c>
      <c r="Q15" s="1507" t="str">
        <f t="shared" si="6"/>
        <v>居住社区成熟度</v>
      </c>
      <c r="R15" s="1508" t="s">
        <v>11</v>
      </c>
      <c r="S15" s="1509">
        <f t="shared" si="0"/>
        <v>100</v>
      </c>
      <c r="T15" s="1508" t="s">
        <v>11</v>
      </c>
      <c r="U15" s="1509">
        <f t="shared" si="1"/>
        <v>100</v>
      </c>
      <c r="V15" s="1508" t="s">
        <v>11</v>
      </c>
      <c r="W15" s="1509">
        <f t="shared" si="2"/>
        <v>100</v>
      </c>
      <c r="X15" s="1502"/>
      <c r="Y15" s="3510"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511"/>
      <c r="Q16" s="1507"/>
      <c r="R16" s="1508"/>
      <c r="S16" s="1509"/>
      <c r="T16" s="1508"/>
      <c r="U16" s="1509"/>
      <c r="V16" s="1508"/>
      <c r="W16" s="1509"/>
      <c r="X16" s="1502"/>
      <c r="Y16" s="3511"/>
      <c r="Z16" s="1510"/>
      <c r="AA16" s="1511">
        <v>1</v>
      </c>
      <c r="AB16" s="1511">
        <v>1</v>
      </c>
      <c r="AC16" s="1511">
        <v>1</v>
      </c>
    </row>
    <row r="17" spans="1:29" ht="15">
      <c r="A17" s="526"/>
      <c r="B17" s="860" t="s">
        <v>296</v>
      </c>
      <c r="C17" s="861">
        <f>估价对象房地状况!C6</f>
        <v>0</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511"/>
      <c r="Q17" s="1507" t="str">
        <f>B17</f>
        <v>交通便捷度</v>
      </c>
      <c r="R17" s="1508" t="s">
        <v>11</v>
      </c>
      <c r="S17" s="1509">
        <f>F17</f>
        <v>100</v>
      </c>
      <c r="T17" s="1508" t="s">
        <v>11</v>
      </c>
      <c r="U17" s="1509">
        <f>H17</f>
        <v>100</v>
      </c>
      <c r="V17" s="1508" t="s">
        <v>11</v>
      </c>
      <c r="W17" s="1509">
        <f>J17</f>
        <v>100</v>
      </c>
      <c r="X17" s="1502"/>
      <c r="Y17" s="351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511"/>
      <c r="Q18" s="1507"/>
      <c r="R18" s="1508"/>
      <c r="S18" s="1509"/>
      <c r="T18" s="1508"/>
      <c r="U18" s="1509"/>
      <c r="V18" s="1508"/>
      <c r="W18" s="1509"/>
      <c r="X18" s="1502"/>
      <c r="Y18" s="3511"/>
      <c r="Z18" s="1510"/>
      <c r="AA18" s="1511">
        <v>1</v>
      </c>
      <c r="AB18" s="1511">
        <v>1</v>
      </c>
      <c r="AC18" s="1511">
        <v>1</v>
      </c>
    </row>
    <row r="19" spans="1:29" ht="15">
      <c r="A19" s="526"/>
      <c r="B19" s="2445" t="s">
        <v>2527</v>
      </c>
      <c r="C19" s="861">
        <f>估价对象房地状况!C7</f>
        <v>0</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511"/>
      <c r="Q19" s="1507" t="str">
        <f>B19</f>
        <v>公共配套设施</v>
      </c>
      <c r="R19" s="1508" t="s">
        <v>11</v>
      </c>
      <c r="S19" s="1509">
        <f>F19</f>
        <v>100</v>
      </c>
      <c r="T19" s="1508" t="s">
        <v>11</v>
      </c>
      <c r="U19" s="1509">
        <f>H19</f>
        <v>100</v>
      </c>
      <c r="V19" s="1508" t="s">
        <v>11</v>
      </c>
      <c r="W19" s="1509">
        <f>J19</f>
        <v>100</v>
      </c>
      <c r="X19" s="1502"/>
      <c r="Y19" s="351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511"/>
      <c r="Q20" s="1507"/>
      <c r="R20" s="1508"/>
      <c r="S20" s="1509"/>
      <c r="T20" s="1508"/>
      <c r="U20" s="1509"/>
      <c r="V20" s="1508"/>
      <c r="W20" s="1509"/>
      <c r="X20" s="1502"/>
      <c r="Y20" s="3511"/>
      <c r="Z20" s="1510"/>
      <c r="AA20" s="1511">
        <v>1</v>
      </c>
      <c r="AB20" s="1511">
        <v>1</v>
      </c>
      <c r="AC20" s="1511">
        <v>1</v>
      </c>
    </row>
    <row r="21" spans="1:29" ht="15">
      <c r="A21" s="526"/>
      <c r="B21" s="2438" t="s">
        <v>2539</v>
      </c>
      <c r="C21" s="861">
        <f>估价对象房地状况!C8</f>
        <v>0</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511"/>
      <c r="Q21" s="2430" t="str">
        <f>B21</f>
        <v>基础设施水平</v>
      </c>
      <c r="R21" s="1508" t="s">
        <v>11</v>
      </c>
      <c r="S21" s="1509">
        <f>F21</f>
        <v>100</v>
      </c>
      <c r="T21" s="1508" t="s">
        <v>11</v>
      </c>
      <c r="U21" s="1509">
        <f>H21</f>
        <v>100</v>
      </c>
      <c r="V21" s="1508" t="s">
        <v>11</v>
      </c>
      <c r="W21" s="1509">
        <f>J21</f>
        <v>100</v>
      </c>
      <c r="X21" s="2432"/>
      <c r="Y21" s="351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511"/>
      <c r="Q22" s="2430"/>
      <c r="R22" s="1508"/>
      <c r="S22" s="1509"/>
      <c r="T22" s="1508"/>
      <c r="U22" s="1509"/>
      <c r="V22" s="1508"/>
      <c r="W22" s="1509"/>
      <c r="X22" s="2432"/>
      <c r="Y22" s="3511"/>
      <c r="Z22" s="2431"/>
      <c r="AA22" s="1511">
        <v>1</v>
      </c>
      <c r="AB22" s="1511">
        <v>1</v>
      </c>
      <c r="AC22" s="1511">
        <v>1</v>
      </c>
    </row>
    <row r="23" spans="1:29" ht="15">
      <c r="A23" s="526"/>
      <c r="B23" s="860" t="s">
        <v>297</v>
      </c>
      <c r="C23" s="861">
        <f>估价对象房地状况!C9</f>
        <v>0</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511"/>
      <c r="Q23" s="1507" t="str">
        <f>B23</f>
        <v>自然及人文环境</v>
      </c>
      <c r="R23" s="1508" t="s">
        <v>11</v>
      </c>
      <c r="S23" s="1509">
        <f>F23</f>
        <v>100</v>
      </c>
      <c r="T23" s="1508" t="s">
        <v>11</v>
      </c>
      <c r="U23" s="1509">
        <f>H23</f>
        <v>100</v>
      </c>
      <c r="V23" s="1508" t="s">
        <v>11</v>
      </c>
      <c r="W23" s="1509">
        <f>J23</f>
        <v>100</v>
      </c>
      <c r="X23" s="1502"/>
      <c r="Y23" s="351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511"/>
      <c r="Q24" s="1507"/>
      <c r="R24" s="1508"/>
      <c r="S24" s="1509"/>
      <c r="T24" s="1508"/>
      <c r="U24" s="1509"/>
      <c r="V24" s="1508"/>
      <c r="W24" s="1509"/>
      <c r="X24" s="1502"/>
      <c r="Y24" s="3511"/>
      <c r="Z24" s="1510"/>
      <c r="AA24" s="1511">
        <v>1</v>
      </c>
      <c r="AB24" s="1511">
        <v>1</v>
      </c>
      <c r="AC24" s="1511">
        <v>1</v>
      </c>
    </row>
    <row r="25" spans="1:29" ht="15">
      <c r="A25" s="526"/>
      <c r="B25" s="1810" t="s">
        <v>2245</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511"/>
      <c r="Q25" s="1507" t="str">
        <f t="shared" ref="Q25:Q46" si="11">B25</f>
        <v>楼层-1</v>
      </c>
      <c r="R25" s="1508" t="s">
        <v>11</v>
      </c>
      <c r="S25" s="1509">
        <f>F25</f>
        <v>100</v>
      </c>
      <c r="T25" s="1508" t="s">
        <v>11</v>
      </c>
      <c r="U25" s="1509">
        <f>H25</f>
        <v>100</v>
      </c>
      <c r="V25" s="1508" t="s">
        <v>11</v>
      </c>
      <c r="W25" s="1509">
        <f>J25</f>
        <v>100</v>
      </c>
      <c r="X25" s="1502"/>
      <c r="Y25" s="3511"/>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511"/>
      <c r="Q26" s="1507" t="str">
        <f t="shared" si="11"/>
        <v>朝向</v>
      </c>
      <c r="R26" s="1508" t="s">
        <v>11</v>
      </c>
      <c r="S26" s="1509">
        <f>F26</f>
        <v>100</v>
      </c>
      <c r="T26" s="1508" t="s">
        <v>11</v>
      </c>
      <c r="U26" s="1509">
        <f>H26</f>
        <v>100</v>
      </c>
      <c r="V26" s="1508" t="s">
        <v>11</v>
      </c>
      <c r="W26" s="1509">
        <f>J26</f>
        <v>100</v>
      </c>
      <c r="X26" s="1502"/>
      <c r="Y26" s="3511"/>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511"/>
      <c r="Q27" s="1134" t="str">
        <f t="shared" si="11"/>
        <v>道路级别</v>
      </c>
      <c r="R27" s="1503" t="s">
        <v>11</v>
      </c>
      <c r="S27" s="1504">
        <f>F27</f>
        <v>100</v>
      </c>
      <c r="T27" s="1503" t="s">
        <v>11</v>
      </c>
      <c r="U27" s="1504">
        <f>H27</f>
        <v>100</v>
      </c>
      <c r="V27" s="1503" t="s">
        <v>11</v>
      </c>
      <c r="W27" s="1504">
        <f>J27</f>
        <v>100</v>
      </c>
      <c r="X27" s="1505"/>
      <c r="Y27" s="3511"/>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511"/>
      <c r="Q28" s="1507">
        <f t="shared" si="11"/>
        <v>111</v>
      </c>
      <c r="R28" s="1508" t="s">
        <v>11</v>
      </c>
      <c r="S28" s="1509">
        <f t="shared" ref="S28:S46" si="12">F28</f>
        <v>100</v>
      </c>
      <c r="T28" s="1508" t="s">
        <v>11</v>
      </c>
      <c r="U28" s="1509">
        <f t="shared" ref="U28:U46" si="13">H28</f>
        <v>100</v>
      </c>
      <c r="V28" s="1508" t="s">
        <v>11</v>
      </c>
      <c r="W28" s="1509">
        <f t="shared" ref="W28:W46" si="14">J28</f>
        <v>100</v>
      </c>
      <c r="X28" s="1502"/>
      <c r="Y28" s="3511"/>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511"/>
      <c r="Q29" s="1507">
        <f t="shared" si="11"/>
        <v>111</v>
      </c>
      <c r="R29" s="1508" t="s">
        <v>11</v>
      </c>
      <c r="S29" s="1509">
        <f t="shared" si="12"/>
        <v>100</v>
      </c>
      <c r="T29" s="1508" t="s">
        <v>11</v>
      </c>
      <c r="U29" s="1509">
        <f t="shared" si="13"/>
        <v>100</v>
      </c>
      <c r="V29" s="1508" t="s">
        <v>11</v>
      </c>
      <c r="W29" s="1509">
        <f t="shared" si="14"/>
        <v>100</v>
      </c>
      <c r="X29" s="1502"/>
      <c r="Y29" s="351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511"/>
      <c r="Q30" s="1507">
        <f t="shared" si="11"/>
        <v>111</v>
      </c>
      <c r="R30" s="1508" t="s">
        <v>11</v>
      </c>
      <c r="S30" s="1509">
        <f t="shared" si="12"/>
        <v>100</v>
      </c>
      <c r="T30" s="1508" t="s">
        <v>11</v>
      </c>
      <c r="U30" s="1509">
        <f t="shared" si="13"/>
        <v>100</v>
      </c>
      <c r="V30" s="1508" t="s">
        <v>11</v>
      </c>
      <c r="W30" s="1509">
        <f t="shared" si="14"/>
        <v>100</v>
      </c>
      <c r="X30" s="1502"/>
      <c r="Y30" s="3511"/>
      <c r="Z30" s="1510">
        <f t="shared" si="15"/>
        <v>111</v>
      </c>
      <c r="AA30" s="1511">
        <f t="shared" si="3"/>
        <v>1</v>
      </c>
      <c r="AB30" s="1511">
        <f t="shared" si="4"/>
        <v>1</v>
      </c>
      <c r="AC30" s="1511">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511"/>
      <c r="Q31" s="1507">
        <f t="shared" si="11"/>
        <v>111</v>
      </c>
      <c r="R31" s="1508" t="s">
        <v>11</v>
      </c>
      <c r="S31" s="1509">
        <f t="shared" si="12"/>
        <v>100</v>
      </c>
      <c r="T31" s="1508" t="s">
        <v>11</v>
      </c>
      <c r="U31" s="1509">
        <f t="shared" si="13"/>
        <v>100</v>
      </c>
      <c r="V31" s="1508" t="s">
        <v>11</v>
      </c>
      <c r="W31" s="1509">
        <f t="shared" si="14"/>
        <v>100</v>
      </c>
      <c r="X31" s="1502"/>
      <c r="Y31" s="3511"/>
      <c r="Z31" s="1510">
        <f t="shared" si="15"/>
        <v>111</v>
      </c>
      <c r="AA31" s="1511">
        <f t="shared" si="3"/>
        <v>1</v>
      </c>
      <c r="AB31" s="1511">
        <f t="shared" si="4"/>
        <v>1</v>
      </c>
      <c r="AC31" s="1511">
        <f t="shared" si="5"/>
        <v>1</v>
      </c>
    </row>
    <row r="32" spans="1:29" ht="15">
      <c r="A32" s="2625" t="s">
        <v>2735</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512" t="s">
        <v>544</v>
      </c>
      <c r="Q32" s="1507" t="str">
        <f t="shared" si="11"/>
        <v>建筑类型</v>
      </c>
      <c r="R32" s="1508" t="s">
        <v>11</v>
      </c>
      <c r="S32" s="1509">
        <f t="shared" si="12"/>
        <v>100</v>
      </c>
      <c r="T32" s="1508" t="s">
        <v>11</v>
      </c>
      <c r="U32" s="1509">
        <f t="shared" si="13"/>
        <v>100</v>
      </c>
      <c r="V32" s="1508" t="s">
        <v>11</v>
      </c>
      <c r="W32" s="1509">
        <f t="shared" si="14"/>
        <v>100</v>
      </c>
      <c r="X32" s="1502"/>
      <c r="Y32" s="3513"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513"/>
      <c r="Q33" s="1536" t="str">
        <f t="shared" si="11"/>
        <v>项目建筑规模</v>
      </c>
      <c r="R33" s="1512" t="s">
        <v>11</v>
      </c>
      <c r="S33" s="1513" t="e">
        <f t="shared" si="12"/>
        <v>#N/A</v>
      </c>
      <c r="T33" s="1512" t="s">
        <v>11</v>
      </c>
      <c r="U33" s="1513" t="e">
        <f t="shared" si="13"/>
        <v>#N/A</v>
      </c>
      <c r="V33" s="1512" t="s">
        <v>11</v>
      </c>
      <c r="W33" s="1513" t="e">
        <f t="shared" si="14"/>
        <v>#N/A</v>
      </c>
      <c r="X33" s="1514"/>
      <c r="Y33" s="351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513"/>
      <c r="Q34" s="1507" t="str">
        <f t="shared" si="11"/>
        <v>建筑结构</v>
      </c>
      <c r="R34" s="1508" t="s">
        <v>11</v>
      </c>
      <c r="S34" s="1509">
        <f t="shared" si="12"/>
        <v>100</v>
      </c>
      <c r="T34" s="1508" t="s">
        <v>11</v>
      </c>
      <c r="U34" s="1509">
        <f t="shared" si="13"/>
        <v>100</v>
      </c>
      <c r="V34" s="1508" t="s">
        <v>11</v>
      </c>
      <c r="W34" s="1509">
        <f t="shared" si="14"/>
        <v>100</v>
      </c>
      <c r="X34" s="1502"/>
      <c r="Y34" s="3513"/>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513"/>
      <c r="Q35" s="1507" t="str">
        <f t="shared" si="11"/>
        <v>建筑品质</v>
      </c>
      <c r="R35" s="1508" t="s">
        <v>11</v>
      </c>
      <c r="S35" s="1509">
        <f t="shared" si="12"/>
        <v>100</v>
      </c>
      <c r="T35" s="1508" t="s">
        <v>11</v>
      </c>
      <c r="U35" s="1509">
        <f t="shared" si="13"/>
        <v>100</v>
      </c>
      <c r="V35" s="1508" t="s">
        <v>11</v>
      </c>
      <c r="W35" s="1509">
        <f t="shared" si="14"/>
        <v>100</v>
      </c>
      <c r="X35" s="1502"/>
      <c r="Y35" s="3513"/>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513"/>
      <c r="Q36" s="1507" t="str">
        <f t="shared" si="11"/>
        <v>公共部分装修</v>
      </c>
      <c r="R36" s="1508" t="s">
        <v>11</v>
      </c>
      <c r="S36" s="1509">
        <f t="shared" si="12"/>
        <v>100</v>
      </c>
      <c r="T36" s="1508" t="s">
        <v>11</v>
      </c>
      <c r="U36" s="1509">
        <f t="shared" si="13"/>
        <v>100</v>
      </c>
      <c r="V36" s="1508" t="s">
        <v>11</v>
      </c>
      <c r="W36" s="1509">
        <f t="shared" si="14"/>
        <v>100</v>
      </c>
      <c r="X36" s="1502"/>
      <c r="Y36" s="3513"/>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513"/>
      <c r="Q37" s="1134" t="str">
        <f t="shared" si="11"/>
        <v>成新度</v>
      </c>
      <c r="R37" s="1503" t="s">
        <v>11</v>
      </c>
      <c r="S37" s="1504" t="e">
        <f t="shared" si="12"/>
        <v>#N/A</v>
      </c>
      <c r="T37" s="1503" t="s">
        <v>11</v>
      </c>
      <c r="U37" s="1504" t="e">
        <f t="shared" si="13"/>
        <v>#N/A</v>
      </c>
      <c r="V37" s="1503" t="s">
        <v>11</v>
      </c>
      <c r="W37" s="1504" t="e">
        <f t="shared" si="14"/>
        <v>#N/A</v>
      </c>
      <c r="X37" s="1505"/>
      <c r="Y37" s="3513"/>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513" t="s">
        <v>544</v>
      </c>
      <c r="Q38" s="1507" t="str">
        <f t="shared" si="11"/>
        <v>物业管理</v>
      </c>
      <c r="R38" s="1508" t="s">
        <v>11</v>
      </c>
      <c r="S38" s="1509">
        <f t="shared" si="12"/>
        <v>100</v>
      </c>
      <c r="T38" s="1508" t="s">
        <v>11</v>
      </c>
      <c r="U38" s="1509">
        <f t="shared" si="13"/>
        <v>100</v>
      </c>
      <c r="V38" s="1508" t="s">
        <v>11</v>
      </c>
      <c r="W38" s="1509">
        <f t="shared" si="14"/>
        <v>100</v>
      </c>
      <c r="X38" s="1502"/>
      <c r="Y38" s="3513" t="s">
        <v>544</v>
      </c>
      <c r="Z38" s="1510" t="str">
        <f t="shared" si="15"/>
        <v>物业管理</v>
      </c>
      <c r="AA38" s="1511">
        <f t="shared" si="3"/>
        <v>1</v>
      </c>
      <c r="AB38" s="1511">
        <f t="shared" si="4"/>
        <v>1</v>
      </c>
      <c r="AC38" s="1511">
        <f t="shared" si="5"/>
        <v>1</v>
      </c>
    </row>
    <row r="39" spans="1:29" ht="15">
      <c r="A39" s="588"/>
      <c r="B39" s="1810" t="s">
        <v>2545</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513"/>
      <c r="Q39" s="1507" t="str">
        <f t="shared" si="11"/>
        <v>市政基础设施</v>
      </c>
      <c r="R39" s="1508" t="s">
        <v>11</v>
      </c>
      <c r="S39" s="1509">
        <f t="shared" si="12"/>
        <v>100</v>
      </c>
      <c r="T39" s="1508" t="s">
        <v>11</v>
      </c>
      <c r="U39" s="1509">
        <f t="shared" si="13"/>
        <v>100</v>
      </c>
      <c r="V39" s="1508" t="s">
        <v>11</v>
      </c>
      <c r="W39" s="1509">
        <f t="shared" si="14"/>
        <v>100</v>
      </c>
      <c r="X39" s="1502"/>
      <c r="Y39" s="3513"/>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513"/>
      <c r="Q40" s="1507" t="str">
        <f t="shared" si="11"/>
        <v>房型</v>
      </c>
      <c r="R40" s="1508" t="s">
        <v>11</v>
      </c>
      <c r="S40" s="1509">
        <f t="shared" si="12"/>
        <v>100</v>
      </c>
      <c r="T40" s="1508" t="s">
        <v>11</v>
      </c>
      <c r="U40" s="1509">
        <f t="shared" si="13"/>
        <v>100</v>
      </c>
      <c r="V40" s="1508" t="s">
        <v>11</v>
      </c>
      <c r="W40" s="1509">
        <f t="shared" si="14"/>
        <v>100</v>
      </c>
      <c r="X40" s="1502"/>
      <c r="Y40" s="3513"/>
      <c r="Z40" s="1510" t="str">
        <f t="shared" si="15"/>
        <v>房型</v>
      </c>
      <c r="AA40" s="1511">
        <f t="shared" si="3"/>
        <v>1</v>
      </c>
      <c r="AB40" s="1511">
        <f t="shared" si="4"/>
        <v>1</v>
      </c>
      <c r="AC40" s="1511">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513"/>
      <c r="Q41" s="1536" t="str">
        <f t="shared" si="11"/>
        <v>单套/主力户型建筑面积</v>
      </c>
      <c r="R41" s="1512" t="s">
        <v>11</v>
      </c>
      <c r="S41" s="1513">
        <f t="shared" si="12"/>
        <v>100</v>
      </c>
      <c r="T41" s="1512" t="s">
        <v>11</v>
      </c>
      <c r="U41" s="1513">
        <f t="shared" si="13"/>
        <v>100</v>
      </c>
      <c r="V41" s="1512" t="s">
        <v>11</v>
      </c>
      <c r="W41" s="1513">
        <f t="shared" si="14"/>
        <v>100</v>
      </c>
      <c r="X41" s="1514"/>
      <c r="Y41" s="3513"/>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513"/>
      <c r="Q42" s="1507" t="str">
        <f t="shared" si="11"/>
        <v>内部装修</v>
      </c>
      <c r="R42" s="1508" t="s">
        <v>11</v>
      </c>
      <c r="S42" s="1509">
        <f t="shared" si="12"/>
        <v>100</v>
      </c>
      <c r="T42" s="1508" t="s">
        <v>11</v>
      </c>
      <c r="U42" s="1509">
        <f t="shared" si="13"/>
        <v>100</v>
      </c>
      <c r="V42" s="1508" t="s">
        <v>11</v>
      </c>
      <c r="W42" s="1509">
        <f t="shared" si="14"/>
        <v>100</v>
      </c>
      <c r="X42" s="1502"/>
      <c r="Y42" s="3513"/>
      <c r="Z42" s="1510" t="str">
        <f t="shared" si="15"/>
        <v>内部装修</v>
      </c>
      <c r="AA42" s="1511">
        <f t="shared" si="3"/>
        <v>1</v>
      </c>
      <c r="AB42" s="1511">
        <f t="shared" si="4"/>
        <v>1</v>
      </c>
      <c r="AC42" s="1511">
        <f t="shared" si="5"/>
        <v>1</v>
      </c>
    </row>
    <row r="43" spans="1:29" ht="27">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513"/>
      <c r="Q43" s="1507" t="str">
        <f t="shared" si="11"/>
        <v>内部装修维护情况</v>
      </c>
      <c r="R43" s="1508" t="s">
        <v>11</v>
      </c>
      <c r="S43" s="1509">
        <f t="shared" si="12"/>
        <v>100</v>
      </c>
      <c r="T43" s="1508" t="s">
        <v>11</v>
      </c>
      <c r="U43" s="1509">
        <f t="shared" si="13"/>
        <v>100</v>
      </c>
      <c r="V43" s="1508" t="s">
        <v>11</v>
      </c>
      <c r="W43" s="1509">
        <f t="shared" si="14"/>
        <v>100</v>
      </c>
      <c r="X43" s="1502"/>
      <c r="Y43" s="351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513"/>
      <c r="Q44" s="1134">
        <f t="shared" si="11"/>
        <v>111</v>
      </c>
      <c r="R44" s="1503" t="s">
        <v>11</v>
      </c>
      <c r="S44" s="1504">
        <f t="shared" si="12"/>
        <v>100</v>
      </c>
      <c r="T44" s="1503" t="s">
        <v>11</v>
      </c>
      <c r="U44" s="1504">
        <f t="shared" si="13"/>
        <v>100</v>
      </c>
      <c r="V44" s="1503" t="s">
        <v>11</v>
      </c>
      <c r="W44" s="1504">
        <f t="shared" si="14"/>
        <v>100</v>
      </c>
      <c r="X44" s="1505"/>
      <c r="Y44" s="351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513"/>
      <c r="Q45" s="1507">
        <f t="shared" si="11"/>
        <v>111</v>
      </c>
      <c r="R45" s="1508" t="s">
        <v>11</v>
      </c>
      <c r="S45" s="1509">
        <f t="shared" si="12"/>
        <v>100</v>
      </c>
      <c r="T45" s="1508" t="s">
        <v>11</v>
      </c>
      <c r="U45" s="1509">
        <f t="shared" si="13"/>
        <v>100</v>
      </c>
      <c r="V45" s="1508" t="s">
        <v>11</v>
      </c>
      <c r="W45" s="1509">
        <f t="shared" si="14"/>
        <v>100</v>
      </c>
      <c r="X45" s="1502"/>
      <c r="Y45" s="3513"/>
      <c r="Z45" s="1510">
        <f t="shared" si="15"/>
        <v>111</v>
      </c>
      <c r="AA45" s="1511">
        <f t="shared" si="3"/>
        <v>1</v>
      </c>
      <c r="AB45" s="1511">
        <f t="shared" si="4"/>
        <v>1</v>
      </c>
      <c r="AC45" s="1511">
        <f t="shared" si="5"/>
        <v>1</v>
      </c>
    </row>
    <row r="46" spans="1:29" ht="15.75"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595"/>
      <c r="Q46" s="1507">
        <f t="shared" si="11"/>
        <v>111</v>
      </c>
      <c r="R46" s="1508" t="s">
        <v>10</v>
      </c>
      <c r="S46" s="1509">
        <f t="shared" si="12"/>
        <v>100</v>
      </c>
      <c r="T46" s="1508" t="s">
        <v>10</v>
      </c>
      <c r="U46" s="1509">
        <f t="shared" si="13"/>
        <v>100</v>
      </c>
      <c r="V46" s="1508" t="s">
        <v>10</v>
      </c>
      <c r="W46" s="1509">
        <f t="shared" si="14"/>
        <v>100</v>
      </c>
      <c r="X46" s="1502"/>
      <c r="Y46" s="3595"/>
      <c r="Z46" s="1510">
        <f t="shared" si="15"/>
        <v>111</v>
      </c>
      <c r="AA46" s="1511">
        <f t="shared" si="3"/>
        <v>1</v>
      </c>
      <c r="AB46" s="1511">
        <f t="shared" si="4"/>
        <v>1</v>
      </c>
      <c r="AC46" s="1511">
        <f t="shared" si="5"/>
        <v>1</v>
      </c>
    </row>
    <row r="47" spans="1:29" ht="15">
      <c r="A47" s="601" t="s">
        <v>730</v>
      </c>
      <c r="B47" s="876"/>
      <c r="C47" s="2471" t="s">
        <v>9</v>
      </c>
      <c r="D47" s="2472"/>
      <c r="E47" s="2473"/>
      <c r="F47" s="2474"/>
      <c r="G47" s="2475"/>
      <c r="H47" s="2476"/>
      <c r="I47" s="2473"/>
      <c r="J47" s="2476"/>
      <c r="K47" s="1537"/>
      <c r="L47" s="2027"/>
      <c r="M47" s="2028"/>
      <c r="N47" s="2017"/>
      <c r="O47" s="2028"/>
      <c r="P47" s="3508" t="str">
        <f>A47</f>
        <v>成交单价（元/平方米）</v>
      </c>
      <c r="Q47" s="3508"/>
      <c r="R47" s="3594">
        <f>E47</f>
        <v>0</v>
      </c>
      <c r="S47" s="3594"/>
      <c r="T47" s="3594">
        <f>G47</f>
        <v>0</v>
      </c>
      <c r="U47" s="3594"/>
      <c r="V47" s="3594">
        <f>I47</f>
        <v>0</v>
      </c>
      <c r="W47" s="3594"/>
      <c r="X47" s="1497"/>
      <c r="Y47" s="1516"/>
      <c r="Z47" s="1497"/>
      <c r="AA47" s="1497"/>
      <c r="AB47" s="1497"/>
      <c r="AC47" s="1497"/>
    </row>
    <row r="48" spans="1:29" ht="15.75" thickBot="1">
      <c r="A48" s="609" t="s">
        <v>2740</v>
      </c>
      <c r="B48" s="877"/>
      <c r="C48" s="2477" t="e">
        <f>R49</f>
        <v>#DIV/0!</v>
      </c>
      <c r="D48" s="3014" t="s">
        <v>2960</v>
      </c>
      <c r="E48" s="2478" t="e">
        <f>R48</f>
        <v>#DIV/0!</v>
      </c>
      <c r="F48" s="3015"/>
      <c r="G48" s="2477" t="e">
        <f>T48</f>
        <v>#DIV/0!</v>
      </c>
      <c r="H48" s="3015"/>
      <c r="I48" s="2478" t="e">
        <f>V48</f>
        <v>#DIV/0!</v>
      </c>
      <c r="J48" s="3015"/>
      <c r="K48" s="3023">
        <f>F48+H48+J48</f>
        <v>0</v>
      </c>
      <c r="L48" s="2027"/>
      <c r="M48" s="2028"/>
      <c r="N48" s="2028"/>
      <c r="O48" s="2028"/>
      <c r="P48" s="3508" t="str">
        <f>A48</f>
        <v>比较价格（元/平方米）</v>
      </c>
      <c r="Q48" s="3508"/>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7"/>
      <c r="Y48" s="1497"/>
      <c r="Z48" s="1497"/>
      <c r="AA48" s="1497"/>
      <c r="AB48" s="1497"/>
      <c r="AC48" s="1497"/>
    </row>
    <row r="49" spans="1:29" ht="15.75" thickBot="1">
      <c r="A49" s="613" t="s">
        <v>2893</v>
      </c>
      <c r="B49" s="614"/>
      <c r="C49" s="2479" t="e">
        <f>R49</f>
        <v>#DIV/0!</v>
      </c>
      <c r="D49" s="2479"/>
      <c r="E49" s="2479"/>
      <c r="F49" s="2479"/>
      <c r="G49" s="2479"/>
      <c r="H49" s="2479"/>
      <c r="I49" s="2479"/>
      <c r="J49" s="2479"/>
      <c r="K49" s="1538"/>
      <c r="L49" s="2027"/>
      <c r="M49" s="2028"/>
      <c r="N49" s="2028"/>
      <c r="O49" s="2028"/>
      <c r="P49" s="3530" t="str">
        <f>A49</f>
        <v>估价对象XX用房的比较价格（楼面单价，元/平方米）</v>
      </c>
      <c r="Q49" s="3531"/>
      <c r="R49" s="3593" t="e">
        <f>IF(F1="售价",ROUND(IF(D48="简单平均",AVERAGE(R48:V48),R48*F48+T48*H48+V48*J48),0),ROUND(IF(D48="简单平均",AVERAGE(R48:V48),R48*F48+T48*H48+V48*J48),1))</f>
        <v>#DIV/0!</v>
      </c>
      <c r="S49" s="3593"/>
      <c r="T49" s="3593"/>
      <c r="U49" s="3593"/>
      <c r="V49" s="3593"/>
      <c r="W49" s="3593"/>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2" t="str">
        <f>YEAR(C7)&amp;"-"&amp;MONTH(C7)</f>
        <v>2021-5</v>
      </c>
      <c r="D58" s="2522">
        <f>EDATE(C58,-1)</f>
        <v>44287</v>
      </c>
      <c r="E58" s="2522">
        <f t="shared" ref="E58:O58" si="16">EDATE(D58,-1)</f>
        <v>44256</v>
      </c>
      <c r="F58" s="2522">
        <f t="shared" si="16"/>
        <v>44228</v>
      </c>
      <c r="G58" s="2522">
        <f t="shared" si="16"/>
        <v>44197</v>
      </c>
      <c r="H58" s="2522">
        <f t="shared" si="16"/>
        <v>44166</v>
      </c>
      <c r="I58" s="2522">
        <f t="shared" si="16"/>
        <v>44136</v>
      </c>
      <c r="J58" s="2522">
        <f t="shared" si="16"/>
        <v>44105</v>
      </c>
      <c r="K58" s="2522">
        <f t="shared" si="16"/>
        <v>44075</v>
      </c>
      <c r="L58" s="2522">
        <f t="shared" si="16"/>
        <v>44044</v>
      </c>
      <c r="M58" s="2522">
        <f t="shared" si="16"/>
        <v>44013</v>
      </c>
      <c r="N58" s="2522">
        <f t="shared" si="16"/>
        <v>43983</v>
      </c>
      <c r="O58" s="2522">
        <f t="shared" si="16"/>
        <v>43952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1811" t="s">
        <v>2246</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5.75"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2537</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8.5"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2247</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1833" t="s">
        <v>2248</v>
      </c>
      <c r="C137" s="1834"/>
      <c r="D137" s="1834"/>
      <c r="E137" s="1834"/>
      <c r="F137" s="1834"/>
      <c r="G137" s="1835"/>
      <c r="H137" s="1836"/>
      <c r="I137" s="1837" t="s">
        <v>2249</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1839"/>
      <c r="C138" s="1840" t="s">
        <v>2250</v>
      </c>
      <c r="D138" s="1840" t="s">
        <v>2251</v>
      </c>
      <c r="E138" s="1841" t="s">
        <v>2252</v>
      </c>
      <c r="F138" s="1842" t="s">
        <v>2253</v>
      </c>
      <c r="G138" s="1840" t="s">
        <v>2254</v>
      </c>
      <c r="H138" s="1843" t="s">
        <v>2255</v>
      </c>
      <c r="I138" s="1844"/>
      <c r="J138" s="1840" t="s">
        <v>2256</v>
      </c>
      <c r="K138" s="1843" t="s">
        <v>2257</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2258</v>
      </c>
      <c r="E139" s="1814">
        <v>100</v>
      </c>
      <c r="F139" s="1815">
        <v>102.5</v>
      </c>
      <c r="G139" s="1845" t="s">
        <v>2259</v>
      </c>
      <c r="H139" s="1816">
        <v>105</v>
      </c>
      <c r="I139" s="1846" t="s">
        <v>2260</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
      <c r="A140" s="2061"/>
      <c r="B140" s="1818">
        <v>5</v>
      </c>
      <c r="C140" s="1819">
        <v>100</v>
      </c>
      <c r="D140" s="1847"/>
      <c r="E140" s="1820"/>
      <c r="F140" s="1821">
        <v>102</v>
      </c>
      <c r="G140" s="1847"/>
      <c r="H140" s="1822"/>
      <c r="I140" s="1848" t="s">
        <v>2261</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
      <c r="A141" s="2061"/>
      <c r="B141" s="1818">
        <v>4</v>
      </c>
      <c r="C141" s="1819">
        <v>102</v>
      </c>
      <c r="D141" s="1847"/>
      <c r="E141" s="1820"/>
      <c r="F141" s="1821">
        <v>101.5</v>
      </c>
      <c r="G141" s="1847"/>
      <c r="H141" s="1822"/>
      <c r="I141" s="1848" t="s">
        <v>2262</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
      <c r="A142" s="2061"/>
      <c r="B142" s="1818">
        <v>3</v>
      </c>
      <c r="C142" s="1819">
        <v>103</v>
      </c>
      <c r="D142" s="1847"/>
      <c r="E142" s="1820"/>
      <c r="F142" s="1821">
        <v>101</v>
      </c>
      <c r="G142" s="1847"/>
      <c r="H142" s="1822"/>
      <c r="I142" s="1848" t="s">
        <v>2263</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
      <c r="A143" s="2061"/>
      <c r="B143" s="1818">
        <v>2</v>
      </c>
      <c r="C143" s="1819">
        <v>100</v>
      </c>
      <c r="D143" s="1847"/>
      <c r="E143" s="1820"/>
      <c r="F143" s="1821">
        <v>100.5</v>
      </c>
      <c r="G143" s="1847"/>
      <c r="H143" s="1822"/>
      <c r="I143" s="1848" t="s">
        <v>2264</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2265</v>
      </c>
      <c r="E144" s="1820">
        <v>102</v>
      </c>
      <c r="F144" s="1826">
        <v>100</v>
      </c>
      <c r="G144" s="1849" t="s">
        <v>2265</v>
      </c>
      <c r="H144" s="1822">
        <v>105</v>
      </c>
      <c r="I144" s="1848" t="s">
        <v>2264</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5.75" thickBot="1">
      <c r="A145" s="2061"/>
      <c r="B145" s="1850" t="s">
        <v>2266</v>
      </c>
      <c r="C145" s="1827">
        <f>ROUND(MAX(C139:C144)/MIN(C139:C144)-1,3)</f>
        <v>7.2999999999999995E-2</v>
      </c>
      <c r="D145" s="1851"/>
      <c r="E145" s="1851"/>
      <c r="F145" s="1852" t="s">
        <v>2267</v>
      </c>
      <c r="G145" s="1853"/>
      <c r="H145" s="1854"/>
      <c r="I145" s="1855" t="s">
        <v>2264</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1874" t="s">
        <v>2275</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1874" t="s">
        <v>2276</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5">
      <c r="A4" s="506" t="s">
        <v>515</v>
      </c>
      <c r="B4" s="507"/>
      <c r="C4" s="3514" t="s">
        <v>516</v>
      </c>
      <c r="D4" s="3515"/>
      <c r="E4" s="3540" t="s">
        <v>517</v>
      </c>
      <c r="F4" s="3541"/>
      <c r="G4" s="3514" t="s">
        <v>518</v>
      </c>
      <c r="H4" s="3515"/>
      <c r="I4" s="3514" t="s">
        <v>519</v>
      </c>
      <c r="J4" s="3515"/>
      <c r="K4" s="508" t="s">
        <v>520</v>
      </c>
      <c r="L4" s="2016"/>
      <c r="M4" s="2017"/>
      <c r="N4" s="2017"/>
      <c r="O4" s="2017"/>
      <c r="P4" s="3516" t="s">
        <v>521</v>
      </c>
      <c r="Q4" s="3517"/>
      <c r="R4" s="3502" t="s">
        <v>517</v>
      </c>
      <c r="S4" s="3503"/>
      <c r="T4" s="3502" t="s">
        <v>518</v>
      </c>
      <c r="U4" s="3503"/>
      <c r="V4" s="3522" t="s">
        <v>519</v>
      </c>
      <c r="W4" s="3522"/>
      <c r="X4" s="1502"/>
      <c r="Y4" s="3502" t="s">
        <v>521</v>
      </c>
      <c r="Z4" s="3503"/>
      <c r="AA4" s="3497" t="s">
        <v>517</v>
      </c>
      <c r="AB4" s="3522" t="s">
        <v>518</v>
      </c>
      <c r="AC4" s="3497" t="s">
        <v>519</v>
      </c>
    </row>
    <row r="5" spans="1:29" ht="15">
      <c r="A5" s="509"/>
      <c r="B5" s="510"/>
      <c r="C5" s="3527" t="s">
        <v>2887</v>
      </c>
      <c r="D5" s="3526"/>
      <c r="E5" s="3542" t="s">
        <v>2888</v>
      </c>
      <c r="F5" s="3543"/>
      <c r="G5" s="3527" t="s">
        <v>2889</v>
      </c>
      <c r="H5" s="3526"/>
      <c r="I5" s="3527" t="s">
        <v>2890</v>
      </c>
      <c r="J5" s="3526"/>
      <c r="K5" s="508"/>
      <c r="L5" s="2016"/>
      <c r="M5" s="2017"/>
      <c r="N5" s="2017"/>
      <c r="O5" s="2017"/>
      <c r="P5" s="3518"/>
      <c r="Q5" s="3519"/>
      <c r="R5" s="3504"/>
      <c r="S5" s="3505"/>
      <c r="T5" s="3504"/>
      <c r="U5" s="3505"/>
      <c r="V5" s="3522"/>
      <c r="W5" s="3522"/>
      <c r="X5" s="1502"/>
      <c r="Y5" s="3504"/>
      <c r="Z5" s="3505"/>
      <c r="AA5" s="3498"/>
      <c r="AB5" s="3522"/>
      <c r="AC5" s="3498"/>
    </row>
    <row r="6" spans="1:29" ht="15.75" thickBot="1">
      <c r="A6" s="511"/>
      <c r="B6" s="512"/>
      <c r="C6" s="3544" t="s">
        <v>2891</v>
      </c>
      <c r="D6" s="3524"/>
      <c r="E6" s="3545" t="s">
        <v>2891</v>
      </c>
      <c r="F6" s="3546"/>
      <c r="G6" s="3544" t="s">
        <v>2891</v>
      </c>
      <c r="H6" s="3524"/>
      <c r="I6" s="3544" t="s">
        <v>2891</v>
      </c>
      <c r="J6" s="3524"/>
      <c r="K6" s="508" t="s">
        <v>522</v>
      </c>
      <c r="L6" s="2016"/>
      <c r="M6" s="2017"/>
      <c r="N6" s="2017"/>
      <c r="O6" s="2017"/>
      <c r="P6" s="3520"/>
      <c r="Q6" s="3521"/>
      <c r="R6" s="3504"/>
      <c r="S6" s="3505"/>
      <c r="T6" s="3506"/>
      <c r="U6" s="3507"/>
      <c r="V6" s="3522"/>
      <c r="W6" s="3522"/>
      <c r="X6" s="1502"/>
      <c r="Y6" s="3506"/>
      <c r="Z6" s="3507"/>
      <c r="AA6" s="3499"/>
      <c r="AB6" s="3522"/>
      <c r="AC6" s="3499"/>
    </row>
    <row r="7" spans="1:29" s="1203" customFormat="1" ht="15.75" thickBot="1">
      <c r="A7" s="2630"/>
      <c r="B7" s="2637" t="s">
        <v>523</v>
      </c>
      <c r="C7" s="513">
        <f>'数据-取费表'!B2</f>
        <v>44329</v>
      </c>
      <c r="D7" s="514">
        <v>100</v>
      </c>
      <c r="E7" s="515"/>
      <c r="F7" s="516">
        <f>SUMIF(58:58,YEAR(E7)&amp;"-"&amp;MONTH(E7),59:59)</f>
        <v>0</v>
      </c>
      <c r="G7" s="515"/>
      <c r="H7" s="514">
        <f>SUMIF(58:58,YEAR(G7)&amp;"-"&amp;MONTH(G7),59:59)</f>
        <v>0</v>
      </c>
      <c r="I7" s="515"/>
      <c r="J7" s="514">
        <f>SUMIF(58:58,YEAR(I7)&amp;"-"&amp;MONTH(I7),59:59)</f>
        <v>0</v>
      </c>
      <c r="K7" s="518"/>
      <c r="L7" s="2018"/>
      <c r="M7" s="2019"/>
      <c r="N7" s="2019"/>
      <c r="O7" s="2019"/>
      <c r="P7" s="3500" t="s">
        <v>524</v>
      </c>
      <c r="Q7" s="3509"/>
      <c r="R7" s="1503" t="s">
        <v>8</v>
      </c>
      <c r="S7" s="1504">
        <f t="shared" ref="S7:S15" si="0">F7</f>
        <v>0</v>
      </c>
      <c r="T7" s="1503" t="s">
        <v>8</v>
      </c>
      <c r="U7" s="1504">
        <f t="shared" ref="U7:U15" si="1">H7</f>
        <v>0</v>
      </c>
      <c r="V7" s="1503" t="s">
        <v>8</v>
      </c>
      <c r="W7" s="1504">
        <f t="shared" ref="W7:W15"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500" t="s">
        <v>527</v>
      </c>
      <c r="Q8" s="3501"/>
      <c r="R8" s="1503" t="s">
        <v>8</v>
      </c>
      <c r="S8" s="1504">
        <f t="shared" si="0"/>
        <v>0</v>
      </c>
      <c r="T8" s="1503" t="s">
        <v>8</v>
      </c>
      <c r="U8" s="1504">
        <f t="shared" si="1"/>
        <v>0</v>
      </c>
      <c r="V8" s="1503" t="s">
        <v>8</v>
      </c>
      <c r="W8" s="1504">
        <f t="shared" si="2"/>
        <v>0</v>
      </c>
      <c r="X8" s="1505"/>
      <c r="Y8" s="3500" t="s">
        <v>527</v>
      </c>
      <c r="Z8" s="3501"/>
      <c r="AA8" s="1506" t="e">
        <f t="shared" ref="AA8:AA46" si="3">D8/F8</f>
        <v>#DIV/0!</v>
      </c>
      <c r="AB8" s="1506" t="e">
        <f t="shared" ref="AB8:AB46" si="4">D8/H8</f>
        <v>#DIV/0!</v>
      </c>
      <c r="AC8" s="1506" t="e">
        <f t="shared" ref="AC8:AC46" si="5">D8/J8</f>
        <v>#DIV/0!</v>
      </c>
    </row>
    <row r="9" spans="1:29" s="1203" customFormat="1" ht="15">
      <c r="A9" s="2632"/>
      <c r="B9" s="2639" t="s">
        <v>2736</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508" t="s">
        <v>529</v>
      </c>
      <c r="Q9" s="1134" t="str">
        <f t="shared" ref="Q9:Q15" si="6">B9</f>
        <v>用途</v>
      </c>
      <c r="R9" s="1503" t="s">
        <v>8</v>
      </c>
      <c r="S9" s="1504">
        <f t="shared" si="0"/>
        <v>100</v>
      </c>
      <c r="T9" s="1503" t="s">
        <v>8</v>
      </c>
      <c r="U9" s="1504">
        <f t="shared" si="1"/>
        <v>100</v>
      </c>
      <c r="V9" s="1503" t="s">
        <v>8</v>
      </c>
      <c r="W9" s="1504">
        <f t="shared" si="2"/>
        <v>100</v>
      </c>
      <c r="X9" s="1505"/>
      <c r="Y9" s="3438"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508"/>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508"/>
      <c r="Q11" s="1134" t="str">
        <f t="shared" si="6"/>
        <v>容积率</v>
      </c>
      <c r="R11" s="1503" t="s">
        <v>8</v>
      </c>
      <c r="S11" s="1504" t="e">
        <f t="shared" si="0"/>
        <v>#N/A</v>
      </c>
      <c r="T11" s="1503" t="s">
        <v>8</v>
      </c>
      <c r="U11" s="1504" t="e">
        <f t="shared" si="1"/>
        <v>#N/A</v>
      </c>
      <c r="V11" s="1503" t="s">
        <v>8</v>
      </c>
      <c r="W11" s="1504" t="e">
        <f t="shared" si="2"/>
        <v>#N/A</v>
      </c>
      <c r="X11" s="1505"/>
      <c r="Y11" s="343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508"/>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508"/>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15.75"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508"/>
      <c r="Q14" s="1134">
        <f t="shared" si="6"/>
        <v>111</v>
      </c>
      <c r="R14" s="1503" t="s">
        <v>8</v>
      </c>
      <c r="S14" s="1504">
        <f t="shared" si="0"/>
        <v>100</v>
      </c>
      <c r="T14" s="1503" t="s">
        <v>8</v>
      </c>
      <c r="U14" s="1504">
        <f t="shared" si="1"/>
        <v>100</v>
      </c>
      <c r="V14" s="1503" t="s">
        <v>8</v>
      </c>
      <c r="W14" s="1504">
        <f t="shared" si="2"/>
        <v>100</v>
      </c>
      <c r="X14" s="1505"/>
      <c r="Y14" s="3438"/>
      <c r="Z14" s="1133">
        <f t="shared" si="7"/>
        <v>111</v>
      </c>
      <c r="AA14" s="1506">
        <f t="shared" si="3"/>
        <v>1</v>
      </c>
      <c r="AB14" s="1506">
        <f t="shared" si="4"/>
        <v>1</v>
      </c>
      <c r="AC14" s="1506">
        <f t="shared" si="5"/>
        <v>1</v>
      </c>
    </row>
    <row r="15" spans="1:29" ht="15">
      <c r="A15" s="2628" t="s">
        <v>2734</v>
      </c>
      <c r="B15" s="164" t="s">
        <v>535</v>
      </c>
      <c r="C15" s="856">
        <f>估价对象房地状况!C4</f>
        <v>0</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510" t="s">
        <v>534</v>
      </c>
      <c r="Q15" s="1507" t="str">
        <f t="shared" si="6"/>
        <v>商业繁华度</v>
      </c>
      <c r="R15" s="1508" t="s">
        <v>8</v>
      </c>
      <c r="S15" s="1509">
        <f t="shared" si="0"/>
        <v>100</v>
      </c>
      <c r="T15" s="1508" t="s">
        <v>8</v>
      </c>
      <c r="U15" s="1509">
        <f t="shared" si="1"/>
        <v>100</v>
      </c>
      <c r="V15" s="1508" t="s">
        <v>8</v>
      </c>
      <c r="W15" s="1509">
        <f t="shared" si="2"/>
        <v>100</v>
      </c>
      <c r="X15" s="1502"/>
      <c r="Y15" s="3510"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1"/>
      <c r="Q16" s="1507"/>
      <c r="R16" s="1508"/>
      <c r="S16" s="1509"/>
      <c r="T16" s="1508"/>
      <c r="U16" s="1509"/>
      <c r="V16" s="1508"/>
      <c r="W16" s="1509"/>
      <c r="X16" s="1502"/>
      <c r="Y16" s="3511"/>
      <c r="Z16" s="1510"/>
      <c r="AA16" s="1511">
        <v>1</v>
      </c>
      <c r="AB16" s="1511">
        <v>1</v>
      </c>
      <c r="AC16" s="1511">
        <v>1</v>
      </c>
    </row>
    <row r="17" spans="1:29" ht="15">
      <c r="A17" s="526"/>
      <c r="B17" s="860" t="s">
        <v>296</v>
      </c>
      <c r="C17" s="861">
        <f>估价对象房地状况!C6</f>
        <v>0</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511"/>
      <c r="Q17" s="1507" t="str">
        <f>B17</f>
        <v>交通便捷度</v>
      </c>
      <c r="R17" s="1508" t="s">
        <v>8</v>
      </c>
      <c r="S17" s="1509">
        <f>F17</f>
        <v>100</v>
      </c>
      <c r="T17" s="1508" t="s">
        <v>8</v>
      </c>
      <c r="U17" s="1509">
        <f>H17</f>
        <v>100</v>
      </c>
      <c r="V17" s="1508" t="s">
        <v>8</v>
      </c>
      <c r="W17" s="1509">
        <f>J17</f>
        <v>100</v>
      </c>
      <c r="X17" s="1502"/>
      <c r="Y17" s="351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1"/>
      <c r="Q18" s="1507"/>
      <c r="R18" s="1508"/>
      <c r="S18" s="1509"/>
      <c r="T18" s="1508"/>
      <c r="U18" s="1509"/>
      <c r="V18" s="1508"/>
      <c r="W18" s="1509"/>
      <c r="X18" s="1502"/>
      <c r="Y18" s="3511"/>
      <c r="Z18" s="1510"/>
      <c r="AA18" s="1511">
        <v>1</v>
      </c>
      <c r="AB18" s="1511">
        <v>1</v>
      </c>
      <c r="AC18" s="1511">
        <v>1</v>
      </c>
    </row>
    <row r="19" spans="1:29" ht="15">
      <c r="A19" s="526"/>
      <c r="B19" s="2445" t="s">
        <v>2527</v>
      </c>
      <c r="C19" s="861">
        <f>估价对象房地状况!C7</f>
        <v>0</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511"/>
      <c r="Q19" s="1507" t="str">
        <f>B19</f>
        <v>公共配套设施</v>
      </c>
      <c r="R19" s="1508" t="s">
        <v>8</v>
      </c>
      <c r="S19" s="1509">
        <f>F19</f>
        <v>100</v>
      </c>
      <c r="T19" s="1508" t="s">
        <v>8</v>
      </c>
      <c r="U19" s="1509">
        <f>H19</f>
        <v>100</v>
      </c>
      <c r="V19" s="1508" t="s">
        <v>8</v>
      </c>
      <c r="W19" s="1509">
        <f>J19</f>
        <v>100</v>
      </c>
      <c r="X19" s="1502"/>
      <c r="Y19" s="3511"/>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511"/>
      <c r="Q20" s="1507"/>
      <c r="R20" s="1508"/>
      <c r="S20" s="1509"/>
      <c r="T20" s="1508"/>
      <c r="U20" s="1509"/>
      <c r="V20" s="1508"/>
      <c r="W20" s="1509"/>
      <c r="X20" s="1502"/>
      <c r="Y20" s="3511"/>
      <c r="Z20" s="1510"/>
      <c r="AA20" s="1511">
        <v>1</v>
      </c>
      <c r="AB20" s="1511">
        <v>1</v>
      </c>
      <c r="AC20" s="1511">
        <v>1</v>
      </c>
    </row>
    <row r="21" spans="1:29" ht="15">
      <c r="A21" s="526"/>
      <c r="B21" s="2438" t="s">
        <v>2539</v>
      </c>
      <c r="C21" s="861">
        <f>估价对象房地状况!C8</f>
        <v>0</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511"/>
      <c r="Q21" s="2430" t="str">
        <f>B21</f>
        <v>基础设施水平</v>
      </c>
      <c r="R21" s="1508" t="s">
        <v>8</v>
      </c>
      <c r="S21" s="1509">
        <f>F21</f>
        <v>100</v>
      </c>
      <c r="T21" s="1508" t="s">
        <v>8</v>
      </c>
      <c r="U21" s="1509">
        <f>H21</f>
        <v>100</v>
      </c>
      <c r="V21" s="1508" t="s">
        <v>8</v>
      </c>
      <c r="W21" s="1509">
        <f>J21</f>
        <v>100</v>
      </c>
      <c r="X21" s="2432"/>
      <c r="Y21" s="3511"/>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511"/>
      <c r="Q22" s="2430"/>
      <c r="R22" s="1508"/>
      <c r="S22" s="1509"/>
      <c r="T22" s="1508"/>
      <c r="U22" s="1509"/>
      <c r="V22" s="1508"/>
      <c r="W22" s="1509"/>
      <c r="X22" s="2432"/>
      <c r="Y22" s="3511"/>
      <c r="Z22" s="2431"/>
      <c r="AA22" s="1511">
        <v>1</v>
      </c>
      <c r="AB22" s="1511">
        <v>1</v>
      </c>
      <c r="AC22" s="1511">
        <v>1</v>
      </c>
    </row>
    <row r="23" spans="1:29" ht="15">
      <c r="A23" s="526"/>
      <c r="B23" s="860" t="s">
        <v>297</v>
      </c>
      <c r="C23" s="889">
        <f>估价对象房地状况!C9</f>
        <v>0</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511"/>
      <c r="Q23" s="1507" t="str">
        <f>B23</f>
        <v>自然及人文环境</v>
      </c>
      <c r="R23" s="1508" t="s">
        <v>8</v>
      </c>
      <c r="S23" s="1509">
        <f>F23</f>
        <v>100</v>
      </c>
      <c r="T23" s="1508" t="s">
        <v>8</v>
      </c>
      <c r="U23" s="1509">
        <f>H23</f>
        <v>100</v>
      </c>
      <c r="V23" s="1508" t="s">
        <v>8</v>
      </c>
      <c r="W23" s="1509">
        <f>J23</f>
        <v>100</v>
      </c>
      <c r="X23" s="1502"/>
      <c r="Y23" s="3511"/>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511"/>
      <c r="Q24" s="1507"/>
      <c r="R24" s="1508"/>
      <c r="S24" s="1509"/>
      <c r="T24" s="1508"/>
      <c r="U24" s="1509"/>
      <c r="V24" s="1508"/>
      <c r="W24" s="1509"/>
      <c r="X24" s="1502"/>
      <c r="Y24" s="3511"/>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511"/>
      <c r="Q25" s="1507" t="str">
        <f t="shared" ref="Q25:Q46" si="11">B25</f>
        <v>临街状况</v>
      </c>
      <c r="R25" s="1508" t="s">
        <v>8</v>
      </c>
      <c r="S25" s="1509">
        <f>F25</f>
        <v>100</v>
      </c>
      <c r="T25" s="1508" t="s">
        <v>8</v>
      </c>
      <c r="U25" s="1509">
        <f>H25</f>
        <v>100</v>
      </c>
      <c r="V25" s="1508" t="s">
        <v>8</v>
      </c>
      <c r="W25" s="1509">
        <f>J25</f>
        <v>100</v>
      </c>
      <c r="X25" s="1502"/>
      <c r="Y25" s="3511"/>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511"/>
      <c r="Q26" s="1507" t="str">
        <f t="shared" si="11"/>
        <v>平面位置/可视性</v>
      </c>
      <c r="R26" s="1508" t="s">
        <v>8</v>
      </c>
      <c r="S26" s="1509">
        <f>F26</f>
        <v>100</v>
      </c>
      <c r="T26" s="1508" t="s">
        <v>8</v>
      </c>
      <c r="U26" s="1509">
        <f>H26</f>
        <v>100</v>
      </c>
      <c r="V26" s="1508" t="s">
        <v>8</v>
      </c>
      <c r="W26" s="1509">
        <f>J26</f>
        <v>100</v>
      </c>
      <c r="X26" s="1502"/>
      <c r="Y26" s="3511"/>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511"/>
      <c r="Q27" s="1134" t="str">
        <f t="shared" si="11"/>
        <v>人流量</v>
      </c>
      <c r="R27" s="1503" t="s">
        <v>8</v>
      </c>
      <c r="S27" s="1504">
        <f>F27</f>
        <v>100</v>
      </c>
      <c r="T27" s="1503" t="s">
        <v>8</v>
      </c>
      <c r="U27" s="1504">
        <f>H27</f>
        <v>100</v>
      </c>
      <c r="V27" s="1503" t="s">
        <v>8</v>
      </c>
      <c r="W27" s="1504">
        <f>J27</f>
        <v>100</v>
      </c>
      <c r="X27" s="1505"/>
      <c r="Y27" s="3511"/>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511"/>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511"/>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511"/>
      <c r="Q29" s="1507">
        <f t="shared" si="11"/>
        <v>111</v>
      </c>
      <c r="R29" s="1508" t="s">
        <v>8</v>
      </c>
      <c r="S29" s="1509">
        <f t="shared" si="12"/>
        <v>100</v>
      </c>
      <c r="T29" s="1508" t="s">
        <v>8</v>
      </c>
      <c r="U29" s="1509">
        <f t="shared" si="13"/>
        <v>100</v>
      </c>
      <c r="V29" s="1508" t="s">
        <v>8</v>
      </c>
      <c r="W29" s="1509">
        <f t="shared" si="14"/>
        <v>100</v>
      </c>
      <c r="X29" s="1502"/>
      <c r="Y29" s="3511"/>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511"/>
      <c r="Q30" s="1507">
        <f t="shared" si="11"/>
        <v>111</v>
      </c>
      <c r="R30" s="1508" t="s">
        <v>8</v>
      </c>
      <c r="S30" s="1509">
        <f t="shared" si="12"/>
        <v>100</v>
      </c>
      <c r="T30" s="1508" t="s">
        <v>8</v>
      </c>
      <c r="U30" s="1509">
        <f t="shared" si="13"/>
        <v>100</v>
      </c>
      <c r="V30" s="1508" t="s">
        <v>8</v>
      </c>
      <c r="W30" s="1509">
        <f t="shared" si="14"/>
        <v>100</v>
      </c>
      <c r="X30" s="1502"/>
      <c r="Y30" s="3511"/>
      <c r="Z30" s="1510">
        <f t="shared" si="15"/>
        <v>111</v>
      </c>
      <c r="AA30" s="1511">
        <f t="shared" si="3"/>
        <v>1</v>
      </c>
      <c r="AB30" s="1511">
        <f t="shared" si="4"/>
        <v>1</v>
      </c>
      <c r="AC30" s="1511">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511"/>
      <c r="Q31" s="1507">
        <f t="shared" si="11"/>
        <v>111</v>
      </c>
      <c r="R31" s="1508" t="s">
        <v>8</v>
      </c>
      <c r="S31" s="1509">
        <f t="shared" si="12"/>
        <v>100</v>
      </c>
      <c r="T31" s="1508" t="s">
        <v>8</v>
      </c>
      <c r="U31" s="1509">
        <f t="shared" si="13"/>
        <v>100</v>
      </c>
      <c r="V31" s="1508" t="s">
        <v>8</v>
      </c>
      <c r="W31" s="1509">
        <f t="shared" si="14"/>
        <v>100</v>
      </c>
      <c r="X31" s="1502"/>
      <c r="Y31" s="3511"/>
      <c r="Z31" s="1510">
        <f t="shared" si="15"/>
        <v>111</v>
      </c>
      <c r="AA31" s="1511">
        <f t="shared" si="3"/>
        <v>1</v>
      </c>
      <c r="AB31" s="1511">
        <f t="shared" si="4"/>
        <v>1</v>
      </c>
      <c r="AC31" s="1511">
        <f t="shared" si="5"/>
        <v>1</v>
      </c>
    </row>
    <row r="32" spans="1:29" ht="15">
      <c r="A32" s="2625"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512" t="s">
        <v>544</v>
      </c>
      <c r="Q32" s="1507" t="str">
        <f t="shared" si="11"/>
        <v>商业类型</v>
      </c>
      <c r="R32" s="1508" t="s">
        <v>8</v>
      </c>
      <c r="S32" s="1509">
        <f t="shared" si="12"/>
        <v>100</v>
      </c>
      <c r="T32" s="1508" t="s">
        <v>8</v>
      </c>
      <c r="U32" s="1509">
        <f t="shared" si="13"/>
        <v>100</v>
      </c>
      <c r="V32" s="1508" t="s">
        <v>8</v>
      </c>
      <c r="W32" s="1509">
        <f t="shared" si="14"/>
        <v>100</v>
      </c>
      <c r="X32" s="1502"/>
      <c r="Y32" s="3513"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513"/>
      <c r="Q33" s="1536" t="str">
        <f t="shared" si="11"/>
        <v>项目建筑规模</v>
      </c>
      <c r="R33" s="1512" t="s">
        <v>8</v>
      </c>
      <c r="S33" s="1513" t="e">
        <f t="shared" si="12"/>
        <v>#N/A</v>
      </c>
      <c r="T33" s="1512" t="s">
        <v>8</v>
      </c>
      <c r="U33" s="1513" t="e">
        <f t="shared" si="13"/>
        <v>#N/A</v>
      </c>
      <c r="V33" s="1512" t="s">
        <v>8</v>
      </c>
      <c r="W33" s="1513" t="e">
        <f t="shared" si="14"/>
        <v>#N/A</v>
      </c>
      <c r="X33" s="1514"/>
      <c r="Y33" s="3513"/>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513"/>
      <c r="Q34" s="1507" t="str">
        <f t="shared" si="11"/>
        <v>建筑结构</v>
      </c>
      <c r="R34" s="1508" t="s">
        <v>8</v>
      </c>
      <c r="S34" s="1509">
        <f t="shared" si="12"/>
        <v>100</v>
      </c>
      <c r="T34" s="1508" t="s">
        <v>8</v>
      </c>
      <c r="U34" s="1509">
        <f t="shared" si="13"/>
        <v>100</v>
      </c>
      <c r="V34" s="1508" t="s">
        <v>8</v>
      </c>
      <c r="W34" s="1509">
        <f t="shared" si="14"/>
        <v>100</v>
      </c>
      <c r="X34" s="1502"/>
      <c r="Y34" s="3513"/>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513"/>
      <c r="Q35" s="1507" t="str">
        <f t="shared" si="11"/>
        <v>公共部分装修</v>
      </c>
      <c r="R35" s="1508" t="s">
        <v>8</v>
      </c>
      <c r="S35" s="1509">
        <f t="shared" si="12"/>
        <v>100</v>
      </c>
      <c r="T35" s="1508" t="s">
        <v>8</v>
      </c>
      <c r="U35" s="1509">
        <f t="shared" si="13"/>
        <v>100</v>
      </c>
      <c r="V35" s="1508" t="s">
        <v>8</v>
      </c>
      <c r="W35" s="1509">
        <f t="shared" si="14"/>
        <v>100</v>
      </c>
      <c r="X35" s="1502"/>
      <c r="Y35" s="3513"/>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513"/>
      <c r="Q36" s="1507" t="str">
        <f t="shared" si="11"/>
        <v>成新度</v>
      </c>
      <c r="R36" s="1508" t="s">
        <v>8</v>
      </c>
      <c r="S36" s="1509" t="e">
        <f t="shared" si="12"/>
        <v>#N/A</v>
      </c>
      <c r="T36" s="1508" t="s">
        <v>8</v>
      </c>
      <c r="U36" s="1509" t="e">
        <f t="shared" si="13"/>
        <v>#N/A</v>
      </c>
      <c r="V36" s="1508" t="s">
        <v>8</v>
      </c>
      <c r="W36" s="1509" t="e">
        <f t="shared" si="14"/>
        <v>#N/A</v>
      </c>
      <c r="X36" s="1502"/>
      <c r="Y36" s="3513"/>
      <c r="Z36" s="1510" t="str">
        <f t="shared" si="15"/>
        <v>成新度</v>
      </c>
      <c r="AA36" s="1511" t="e">
        <f t="shared" si="3"/>
        <v>#N/A</v>
      </c>
      <c r="AB36" s="1511" t="e">
        <f t="shared" si="4"/>
        <v>#N/A</v>
      </c>
      <c r="AC36" s="1511" t="e">
        <f t="shared" si="5"/>
        <v>#N/A</v>
      </c>
    </row>
    <row r="37" spans="1:29" s="1203" customFormat="1" ht="15">
      <c r="A37" s="594"/>
      <c r="B37" s="1810"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513"/>
      <c r="Q37" s="1134" t="str">
        <f t="shared" si="11"/>
        <v>市政基础设施</v>
      </c>
      <c r="R37" s="1503" t="s">
        <v>8</v>
      </c>
      <c r="S37" s="1504">
        <f t="shared" si="12"/>
        <v>100</v>
      </c>
      <c r="T37" s="1503" t="s">
        <v>8</v>
      </c>
      <c r="U37" s="1504">
        <f t="shared" si="13"/>
        <v>100</v>
      </c>
      <c r="V37" s="1503" t="s">
        <v>8</v>
      </c>
      <c r="W37" s="1504">
        <f t="shared" si="14"/>
        <v>100</v>
      </c>
      <c r="X37" s="1505"/>
      <c r="Y37" s="3513"/>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513" t="s">
        <v>760</v>
      </c>
      <c r="Q38" s="1507" t="str">
        <f t="shared" si="11"/>
        <v>业态</v>
      </c>
      <c r="R38" s="1508" t="s">
        <v>8</v>
      </c>
      <c r="S38" s="1509">
        <f t="shared" si="12"/>
        <v>100</v>
      </c>
      <c r="T38" s="1508" t="s">
        <v>8</v>
      </c>
      <c r="U38" s="1509">
        <f t="shared" si="13"/>
        <v>100</v>
      </c>
      <c r="V38" s="1508" t="s">
        <v>8</v>
      </c>
      <c r="W38" s="1509">
        <f t="shared" si="14"/>
        <v>100</v>
      </c>
      <c r="X38" s="1502"/>
      <c r="Y38" s="3513"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513"/>
      <c r="Q39" s="1507" t="str">
        <f t="shared" si="11"/>
        <v>层高</v>
      </c>
      <c r="R39" s="1508" t="s">
        <v>8</v>
      </c>
      <c r="S39" s="1509">
        <f t="shared" si="12"/>
        <v>100</v>
      </c>
      <c r="T39" s="1508" t="s">
        <v>8</v>
      </c>
      <c r="U39" s="1509">
        <f t="shared" si="13"/>
        <v>100</v>
      </c>
      <c r="V39" s="1508" t="s">
        <v>8</v>
      </c>
      <c r="W39" s="1509">
        <f t="shared" si="14"/>
        <v>100</v>
      </c>
      <c r="X39" s="1502"/>
      <c r="Y39" s="3513"/>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513"/>
      <c r="Q40" s="1507" t="str">
        <f t="shared" si="11"/>
        <v>单套建筑面积</v>
      </c>
      <c r="R40" s="1508" t="s">
        <v>8</v>
      </c>
      <c r="S40" s="1509">
        <f t="shared" si="12"/>
        <v>100</v>
      </c>
      <c r="T40" s="1508" t="s">
        <v>8</v>
      </c>
      <c r="U40" s="1509">
        <f t="shared" si="13"/>
        <v>100</v>
      </c>
      <c r="V40" s="1508" t="s">
        <v>8</v>
      </c>
      <c r="W40" s="1509">
        <f t="shared" si="14"/>
        <v>100</v>
      </c>
      <c r="X40" s="1502"/>
      <c r="Y40" s="3513"/>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513"/>
      <c r="Q41" s="1536" t="str">
        <f t="shared" si="11"/>
        <v>进深比</v>
      </c>
      <c r="R41" s="1512" t="s">
        <v>8</v>
      </c>
      <c r="S41" s="1513">
        <f t="shared" si="12"/>
        <v>100</v>
      </c>
      <c r="T41" s="1512" t="s">
        <v>8</v>
      </c>
      <c r="U41" s="1513">
        <f t="shared" si="13"/>
        <v>100</v>
      </c>
      <c r="V41" s="1512" t="s">
        <v>8</v>
      </c>
      <c r="W41" s="1513">
        <f t="shared" si="14"/>
        <v>100</v>
      </c>
      <c r="X41" s="1514"/>
      <c r="Y41" s="3513"/>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513"/>
      <c r="Q42" s="1507" t="str">
        <f t="shared" si="11"/>
        <v>内部装修</v>
      </c>
      <c r="R42" s="1508" t="s">
        <v>8</v>
      </c>
      <c r="S42" s="1509">
        <f t="shared" si="12"/>
        <v>100</v>
      </c>
      <c r="T42" s="1508" t="s">
        <v>8</v>
      </c>
      <c r="U42" s="1509">
        <f t="shared" si="13"/>
        <v>100</v>
      </c>
      <c r="V42" s="1508" t="s">
        <v>8</v>
      </c>
      <c r="W42" s="1509">
        <f t="shared" si="14"/>
        <v>100</v>
      </c>
      <c r="X42" s="1502"/>
      <c r="Y42" s="3513"/>
      <c r="Z42" s="1510" t="str">
        <f t="shared" si="15"/>
        <v>内部装修</v>
      </c>
      <c r="AA42" s="1511">
        <f t="shared" si="3"/>
        <v>1</v>
      </c>
      <c r="AB42" s="1511">
        <f t="shared" si="4"/>
        <v>1</v>
      </c>
      <c r="AC42" s="1511">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513"/>
      <c r="Q43" s="1507" t="str">
        <f t="shared" si="11"/>
        <v>内部装修维护情况</v>
      </c>
      <c r="R43" s="1508" t="s">
        <v>8</v>
      </c>
      <c r="S43" s="1509">
        <f t="shared" si="12"/>
        <v>100</v>
      </c>
      <c r="T43" s="1508" t="s">
        <v>8</v>
      </c>
      <c r="U43" s="1509">
        <f t="shared" si="13"/>
        <v>100</v>
      </c>
      <c r="V43" s="1508" t="s">
        <v>8</v>
      </c>
      <c r="W43" s="1509">
        <f t="shared" si="14"/>
        <v>100</v>
      </c>
      <c r="X43" s="1502"/>
      <c r="Y43" s="3513"/>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513"/>
      <c r="Q44" s="1134">
        <f t="shared" si="11"/>
        <v>111</v>
      </c>
      <c r="R44" s="1503" t="s">
        <v>8</v>
      </c>
      <c r="S44" s="1504">
        <f t="shared" si="12"/>
        <v>100</v>
      </c>
      <c r="T44" s="1503" t="s">
        <v>8</v>
      </c>
      <c r="U44" s="1504">
        <f t="shared" si="13"/>
        <v>100</v>
      </c>
      <c r="V44" s="1503" t="s">
        <v>8</v>
      </c>
      <c r="W44" s="1504">
        <f t="shared" si="14"/>
        <v>100</v>
      </c>
      <c r="X44" s="1505"/>
      <c r="Y44" s="3513"/>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513"/>
      <c r="Q45" s="1507">
        <f t="shared" si="11"/>
        <v>111</v>
      </c>
      <c r="R45" s="1508" t="s">
        <v>8</v>
      </c>
      <c r="S45" s="1509">
        <f t="shared" si="12"/>
        <v>100</v>
      </c>
      <c r="T45" s="1508" t="s">
        <v>8</v>
      </c>
      <c r="U45" s="1509">
        <f t="shared" si="13"/>
        <v>100</v>
      </c>
      <c r="V45" s="1508" t="s">
        <v>8</v>
      </c>
      <c r="W45" s="1509">
        <f t="shared" si="14"/>
        <v>100</v>
      </c>
      <c r="X45" s="1502"/>
      <c r="Y45" s="3513"/>
      <c r="Z45" s="1510">
        <f t="shared" si="15"/>
        <v>111</v>
      </c>
      <c r="AA45" s="1511">
        <f t="shared" si="3"/>
        <v>1</v>
      </c>
      <c r="AB45" s="1511">
        <f t="shared" si="4"/>
        <v>1</v>
      </c>
      <c r="AC45" s="1511">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595"/>
      <c r="Q46" s="1507">
        <f t="shared" si="11"/>
        <v>111</v>
      </c>
      <c r="R46" s="1508" t="s">
        <v>8</v>
      </c>
      <c r="S46" s="1509">
        <f t="shared" si="12"/>
        <v>100</v>
      </c>
      <c r="T46" s="1508" t="s">
        <v>8</v>
      </c>
      <c r="U46" s="1509">
        <f t="shared" si="13"/>
        <v>100</v>
      </c>
      <c r="V46" s="1508" t="s">
        <v>8</v>
      </c>
      <c r="W46" s="1509">
        <f t="shared" si="14"/>
        <v>100</v>
      </c>
      <c r="X46" s="1502"/>
      <c r="Y46" s="3595"/>
      <c r="Z46" s="1510">
        <f t="shared" si="15"/>
        <v>111</v>
      </c>
      <c r="AA46" s="1511">
        <f t="shared" si="3"/>
        <v>1</v>
      </c>
      <c r="AB46" s="1511">
        <f t="shared" si="4"/>
        <v>1</v>
      </c>
      <c r="AC46" s="1511">
        <f t="shared" si="5"/>
        <v>1</v>
      </c>
    </row>
    <row r="47" spans="1:29" ht="15">
      <c r="A47" s="601" t="s">
        <v>730</v>
      </c>
      <c r="B47" s="876"/>
      <c r="C47" s="2471" t="s">
        <v>1</v>
      </c>
      <c r="D47" s="2472"/>
      <c r="E47" s="2473"/>
      <c r="F47" s="2474"/>
      <c r="G47" s="2475"/>
      <c r="H47" s="2476"/>
      <c r="I47" s="2473"/>
      <c r="J47" s="2476"/>
      <c r="K47" s="1541"/>
      <c r="L47" s="2027"/>
      <c r="M47" s="2028"/>
      <c r="N47" s="2017"/>
      <c r="O47" s="2028"/>
      <c r="P47" s="3508" t="str">
        <f>A47</f>
        <v>成交单价（元/平方米）</v>
      </c>
      <c r="Q47" s="3508"/>
      <c r="R47" s="3594">
        <f>E47</f>
        <v>0</v>
      </c>
      <c r="S47" s="3594"/>
      <c r="T47" s="3594">
        <f>G47</f>
        <v>0</v>
      </c>
      <c r="U47" s="3594"/>
      <c r="V47" s="3594">
        <f>I47</f>
        <v>0</v>
      </c>
      <c r="W47" s="3594"/>
      <c r="X47" s="1497"/>
      <c r="Y47" s="1516"/>
      <c r="Z47" s="1497"/>
      <c r="AA47" s="1497"/>
      <c r="AB47" s="1497"/>
      <c r="AC47" s="1497"/>
    </row>
    <row r="48" spans="1:29" ht="15.75" thickBot="1">
      <c r="A48" s="609" t="s">
        <v>2740</v>
      </c>
      <c r="B48" s="877"/>
      <c r="C48" s="2477" t="e">
        <f>R49</f>
        <v>#DIV/0!</v>
      </c>
      <c r="D48" s="3014" t="s">
        <v>2960</v>
      </c>
      <c r="E48" s="2478" t="e">
        <f>R48</f>
        <v>#DIV/0!</v>
      </c>
      <c r="F48" s="3015"/>
      <c r="G48" s="2477" t="e">
        <f>T48</f>
        <v>#DIV/0!</v>
      </c>
      <c r="H48" s="3015"/>
      <c r="I48" s="2478" t="e">
        <f>V48</f>
        <v>#DIV/0!</v>
      </c>
      <c r="J48" s="3015"/>
      <c r="K48" s="3023">
        <f>F48+H48+J48</f>
        <v>0</v>
      </c>
      <c r="L48" s="2027"/>
      <c r="M48" s="2028"/>
      <c r="N48" s="2017"/>
      <c r="O48" s="2028"/>
      <c r="P48" s="3508" t="str">
        <f>A48</f>
        <v>比较价格（元/平方米）</v>
      </c>
      <c r="Q48" s="3508"/>
      <c r="R48" s="3594" t="e">
        <f>IF(F1="售价",ROUND(PRODUCT(R47,AA7:AA46),0),ROUND(PRODUCT(R47,AA7:AA46),1))</f>
        <v>#DIV/0!</v>
      </c>
      <c r="S48" s="3594"/>
      <c r="T48" s="3594" t="e">
        <f>IF(F1="售价",ROUND(PRODUCT(T47,AB7:AB46),0),ROUND(PRODUCT(T47,AB7:AB46),1))</f>
        <v>#DIV/0!</v>
      </c>
      <c r="U48" s="3594"/>
      <c r="V48" s="3594" t="e">
        <f>IF(F1="售价",ROUND(PRODUCT(V47,AC7:AC46),0),ROUND(PRODUCT(V47,AC7:AC46),1))</f>
        <v>#DIV/0!</v>
      </c>
      <c r="W48" s="3594"/>
      <c r="X48" s="1497"/>
      <c r="Y48" s="1497"/>
      <c r="Z48" s="1497"/>
      <c r="AA48" s="1497"/>
      <c r="AB48" s="1497"/>
      <c r="AC48" s="1497"/>
    </row>
    <row r="49" spans="1:29" ht="15.75" thickBot="1">
      <c r="A49" s="613" t="s">
        <v>2893</v>
      </c>
      <c r="B49" s="614"/>
      <c r="C49" s="2479" t="e">
        <f>R49</f>
        <v>#DIV/0!</v>
      </c>
      <c r="D49" s="2479"/>
      <c r="E49" s="2479"/>
      <c r="F49" s="2479"/>
      <c r="G49" s="2479"/>
      <c r="H49" s="2479"/>
      <c r="I49" s="2479"/>
      <c r="J49" s="2479"/>
      <c r="K49" s="1542"/>
      <c r="L49" s="2027"/>
      <c r="M49" s="2028"/>
      <c r="N49" s="2017"/>
      <c r="O49" s="2028"/>
      <c r="P49" s="3530" t="str">
        <f>A49</f>
        <v>估价对象XX用房的比较价格（楼面单价，元/平方米）</v>
      </c>
      <c r="Q49" s="3531"/>
      <c r="R49" s="3593" t="e">
        <f>IF(F1="售价",ROUND(IF(D48="简单平均",AVERAGE(R48:V48),R48*F48+T48*H48+V48*J48),0),ROUND(IF(D48="简单平均",AVERAGE(R48:V48),R48*F48+T48*H48+V48*J48),1))</f>
        <v>#DIV/0!</v>
      </c>
      <c r="S49" s="3593"/>
      <c r="T49" s="3593"/>
      <c r="U49" s="3593"/>
      <c r="V49" s="3593"/>
      <c r="W49" s="3593"/>
      <c r="X49" s="1497"/>
      <c r="Y49" s="1497"/>
      <c r="Z49" s="1497"/>
      <c r="AA49" s="1497"/>
      <c r="AB49" s="1497"/>
      <c r="AC49" s="1497"/>
    </row>
    <row r="50" spans="1:29">
      <c r="A50" s="3214"/>
      <c r="B50" s="3214"/>
      <c r="C50" s="3214"/>
      <c r="D50" s="3214"/>
      <c r="E50" s="3214"/>
      <c r="F50" s="3214"/>
      <c r="G50" s="3216"/>
      <c r="H50" s="3214"/>
      <c r="I50" s="3214"/>
      <c r="J50" s="3214"/>
      <c r="K50" s="3217"/>
      <c r="L50" s="2032"/>
      <c r="M50" s="2028"/>
      <c r="N50" s="2028"/>
      <c r="O50" s="2028"/>
      <c r="P50" s="2028"/>
      <c r="Q50" s="2028"/>
      <c r="R50" s="2028"/>
      <c r="S50" s="2028"/>
      <c r="T50" s="2028"/>
      <c r="U50" s="2028"/>
      <c r="V50" s="2028"/>
      <c r="W50" s="2028"/>
      <c r="X50" s="2028"/>
      <c r="Y50" s="2028"/>
      <c r="Z50" s="2028"/>
      <c r="AA50" s="2028"/>
      <c r="AB50" s="2028"/>
      <c r="AC50" s="2028"/>
    </row>
    <row r="51" spans="1:29">
      <c r="A51" s="3214"/>
      <c r="B51" s="3214"/>
      <c r="C51" s="3214"/>
      <c r="D51" s="3214"/>
      <c r="E51" s="3214"/>
      <c r="F51" s="3214"/>
      <c r="G51" s="3214"/>
      <c r="H51" s="3214"/>
      <c r="I51" s="3214"/>
      <c r="J51" s="3214"/>
      <c r="K51" s="3217"/>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1.75"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5">
      <c r="A58" s="637" t="s">
        <v>523</v>
      </c>
      <c r="B58" s="638"/>
      <c r="C58" s="2520" t="str">
        <f>YEAR(C7)&amp;"-"&amp;MONTH(C7)</f>
        <v>2021-5</v>
      </c>
      <c r="D58" s="2522">
        <f>EDATE(C58,-1)</f>
        <v>44287</v>
      </c>
      <c r="E58" s="2522">
        <f t="shared" ref="E58:O58" si="16">EDATE(D58,-1)</f>
        <v>44256</v>
      </c>
      <c r="F58" s="2522">
        <f t="shared" si="16"/>
        <v>44228</v>
      </c>
      <c r="G58" s="2522">
        <f t="shared" si="16"/>
        <v>44197</v>
      </c>
      <c r="H58" s="2522">
        <f t="shared" si="16"/>
        <v>44166</v>
      </c>
      <c r="I58" s="2522">
        <f t="shared" si="16"/>
        <v>44136</v>
      </c>
      <c r="J58" s="2522">
        <f t="shared" si="16"/>
        <v>44105</v>
      </c>
      <c r="K58" s="2522">
        <f t="shared" si="16"/>
        <v>44075</v>
      </c>
      <c r="L58" s="2522">
        <f t="shared" si="16"/>
        <v>44044</v>
      </c>
      <c r="M58" s="2522">
        <f t="shared" si="16"/>
        <v>44013</v>
      </c>
      <c r="N58" s="2522">
        <f t="shared" si="16"/>
        <v>43983</v>
      </c>
      <c r="O58" s="2522">
        <f t="shared" si="16"/>
        <v>43952</v>
      </c>
      <c r="P58" s="2042"/>
      <c r="Q58" s="2043"/>
      <c r="R58" s="2043"/>
      <c r="S58" s="2043"/>
      <c r="T58" s="2043"/>
      <c r="U58" s="2043"/>
      <c r="V58" s="2043"/>
      <c r="W58" s="2043"/>
      <c r="X58" s="2043"/>
      <c r="Y58" s="2043"/>
      <c r="Z58" s="2043"/>
      <c r="AA58" s="2043"/>
      <c r="AB58" s="2043"/>
      <c r="AC58" s="2043"/>
    </row>
    <row r="59" spans="1:29" s="1203" customFormat="1" ht="15">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7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5">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5.75"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5.75"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ht="15">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5.75"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5.75"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5.75"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5.75"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5.75"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5.75"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75" thickTop="1">
      <c r="A80" s="661"/>
      <c r="B80" s="1811" t="s">
        <v>2538</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75" thickTop="1">
      <c r="A82" s="661"/>
      <c r="B82" s="2442" t="s">
        <v>2539</v>
      </c>
      <c r="C82" s="2443" t="s">
        <v>2540</v>
      </c>
      <c r="D82" s="2443" t="s">
        <v>2541</v>
      </c>
      <c r="E82" s="2443" t="s">
        <v>2542</v>
      </c>
      <c r="F82" s="2443" t="s">
        <v>2543</v>
      </c>
      <c r="G82" s="2443" t="s">
        <v>2544</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7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7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5.75"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5.75"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5.75"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5.75"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5.75"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5.75"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5.75"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5.75"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5.75"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5.75"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5.75"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5.75"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2537</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5.75"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5"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5.75"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5"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5.75"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5"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5.75"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2"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0"/>
      <c r="M1" s="3211"/>
      <c r="N1" s="3211"/>
      <c r="O1" s="3211"/>
      <c r="P1" s="3274"/>
      <c r="Q1" s="2015"/>
      <c r="R1" s="2015"/>
      <c r="S1" s="2015"/>
      <c r="T1" s="2015"/>
      <c r="U1" s="2015"/>
      <c r="V1" s="2015"/>
      <c r="W1" s="2015"/>
      <c r="X1" s="2015"/>
      <c r="Y1" s="2015"/>
      <c r="Z1" s="2015"/>
      <c r="AA1" s="2015"/>
      <c r="AB1" s="2015"/>
      <c r="AC1" s="3212"/>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4"/>
      <c r="Q2" s="2015"/>
      <c r="R2" s="2015"/>
      <c r="S2" s="2015"/>
      <c r="T2" s="2015"/>
      <c r="U2" s="2015"/>
      <c r="V2" s="2015"/>
      <c r="W2" s="2015"/>
      <c r="X2" s="2015"/>
      <c r="Y2" s="2015"/>
      <c r="Z2" s="2015"/>
      <c r="AA2" s="2015"/>
      <c r="AB2" s="2015"/>
      <c r="AC2" s="3212"/>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4"/>
      <c r="Q3" s="2015"/>
      <c r="R3" s="2015"/>
      <c r="S3" s="2015"/>
      <c r="T3" s="2015"/>
      <c r="U3" s="2015"/>
      <c r="V3" s="2015"/>
      <c r="W3" s="2015"/>
      <c r="X3" s="2015"/>
      <c r="Y3" s="2015"/>
      <c r="Z3" s="2015"/>
      <c r="AA3" s="2015"/>
      <c r="AB3" s="2015"/>
      <c r="AC3" s="3212"/>
    </row>
    <row r="4" spans="1:29" ht="15">
      <c r="A4" s="506" t="s">
        <v>515</v>
      </c>
      <c r="B4" s="507"/>
      <c r="C4" s="3514" t="s">
        <v>516</v>
      </c>
      <c r="D4" s="3515"/>
      <c r="E4" s="3540" t="s">
        <v>517</v>
      </c>
      <c r="F4" s="3541"/>
      <c r="G4" s="3514" t="s">
        <v>518</v>
      </c>
      <c r="H4" s="3515"/>
      <c r="I4" s="3514" t="s">
        <v>519</v>
      </c>
      <c r="J4" s="3515"/>
      <c r="K4" s="508" t="s">
        <v>520</v>
      </c>
      <c r="L4" s="2016"/>
      <c r="M4" s="2017"/>
      <c r="N4" s="2017"/>
      <c r="O4" s="2017"/>
      <c r="P4" s="3596" t="s">
        <v>521</v>
      </c>
      <c r="Q4" s="3517"/>
      <c r="R4" s="3502" t="s">
        <v>517</v>
      </c>
      <c r="S4" s="3503"/>
      <c r="T4" s="3502" t="s">
        <v>518</v>
      </c>
      <c r="U4" s="3503"/>
      <c r="V4" s="3522" t="s">
        <v>519</v>
      </c>
      <c r="W4" s="3522"/>
      <c r="X4" s="1502"/>
      <c r="Y4" s="3502" t="s">
        <v>521</v>
      </c>
      <c r="Z4" s="3503"/>
      <c r="AA4" s="3497" t="s">
        <v>517</v>
      </c>
      <c r="AB4" s="3497" t="s">
        <v>518</v>
      </c>
      <c r="AC4" s="3497" t="s">
        <v>519</v>
      </c>
    </row>
    <row r="5" spans="1:29" ht="15">
      <c r="A5" s="509"/>
      <c r="B5" s="510"/>
      <c r="C5" s="3527" t="s">
        <v>2887</v>
      </c>
      <c r="D5" s="3526"/>
      <c r="E5" s="3542" t="s">
        <v>2888</v>
      </c>
      <c r="F5" s="3543"/>
      <c r="G5" s="3527" t="s">
        <v>2889</v>
      </c>
      <c r="H5" s="3526"/>
      <c r="I5" s="3527" t="s">
        <v>2890</v>
      </c>
      <c r="J5" s="3526"/>
      <c r="K5" s="508"/>
      <c r="L5" s="2016"/>
      <c r="M5" s="2017"/>
      <c r="N5" s="2017"/>
      <c r="O5" s="2017"/>
      <c r="P5" s="3597"/>
      <c r="Q5" s="3519"/>
      <c r="R5" s="3504"/>
      <c r="S5" s="3505"/>
      <c r="T5" s="3504"/>
      <c r="U5" s="3505"/>
      <c r="V5" s="3522"/>
      <c r="W5" s="3522"/>
      <c r="X5" s="1502"/>
      <c r="Y5" s="3504"/>
      <c r="Z5" s="3505"/>
      <c r="AA5" s="3498"/>
      <c r="AB5" s="3498"/>
      <c r="AC5" s="3498"/>
    </row>
    <row r="6" spans="1:29" ht="15.75" thickBot="1">
      <c r="A6" s="511"/>
      <c r="B6" s="512"/>
      <c r="C6" s="3544" t="s">
        <v>2891</v>
      </c>
      <c r="D6" s="3524"/>
      <c r="E6" s="3545" t="s">
        <v>2891</v>
      </c>
      <c r="F6" s="3546"/>
      <c r="G6" s="3544" t="s">
        <v>2891</v>
      </c>
      <c r="H6" s="3524"/>
      <c r="I6" s="3544" t="s">
        <v>2891</v>
      </c>
      <c r="J6" s="3524"/>
      <c r="K6" s="508" t="s">
        <v>522</v>
      </c>
      <c r="L6" s="2016"/>
      <c r="M6" s="2017"/>
      <c r="N6" s="2017"/>
      <c r="O6" s="2017"/>
      <c r="P6" s="3598"/>
      <c r="Q6" s="3521"/>
      <c r="R6" s="3504"/>
      <c r="S6" s="3505"/>
      <c r="T6" s="3506"/>
      <c r="U6" s="3507"/>
      <c r="V6" s="3522"/>
      <c r="W6" s="3522"/>
      <c r="X6" s="1502"/>
      <c r="Y6" s="3506"/>
      <c r="Z6" s="3507"/>
      <c r="AA6" s="3499"/>
      <c r="AB6" s="3499"/>
      <c r="AC6" s="3499"/>
    </row>
    <row r="7" spans="1:29" s="1203" customFormat="1" ht="15.75" thickBot="1">
      <c r="A7" s="2630"/>
      <c r="B7" s="2637" t="s">
        <v>523</v>
      </c>
      <c r="C7" s="513">
        <f>'数据-取费表'!B2</f>
        <v>44329</v>
      </c>
      <c r="D7" s="514">
        <v>100</v>
      </c>
      <c r="E7" s="515"/>
      <c r="F7" s="516">
        <f>SUMIF(59:59,YEAR(E7)&amp;"-"&amp;MONTH(E7),60:60)</f>
        <v>0</v>
      </c>
      <c r="G7" s="515"/>
      <c r="H7" s="514">
        <f>SUMIF(59:59,YEAR(G7)&amp;"-"&amp;MONTH(G7),60:60)</f>
        <v>0</v>
      </c>
      <c r="I7" s="515"/>
      <c r="J7" s="514">
        <f>SUMIF(59:59,YEAR(I7)&amp;"-"&amp;MONTH(I7),60:60)</f>
        <v>0</v>
      </c>
      <c r="K7" s="518"/>
      <c r="L7" s="2018"/>
      <c r="M7" s="2019"/>
      <c r="N7" s="2019"/>
      <c r="O7" s="2019"/>
      <c r="P7" s="3509" t="s">
        <v>524</v>
      </c>
      <c r="Q7" s="3509"/>
      <c r="R7" s="1503" t="s">
        <v>8</v>
      </c>
      <c r="S7" s="1504">
        <f t="shared" ref="S7:S15" si="0">F7</f>
        <v>0</v>
      </c>
      <c r="T7" s="1503" t="s">
        <v>8</v>
      </c>
      <c r="U7" s="1504">
        <f t="shared" ref="U7:U15" si="1">H7</f>
        <v>0</v>
      </c>
      <c r="V7" s="1503" t="s">
        <v>8</v>
      </c>
      <c r="W7" s="1504">
        <f t="shared" ref="W7:W15"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509" t="s">
        <v>527</v>
      </c>
      <c r="Q8" s="3501"/>
      <c r="R8" s="1503" t="s">
        <v>8</v>
      </c>
      <c r="S8" s="1504">
        <f t="shared" si="0"/>
        <v>0</v>
      </c>
      <c r="T8" s="1503" t="s">
        <v>8</v>
      </c>
      <c r="U8" s="1504">
        <f t="shared" si="1"/>
        <v>0</v>
      </c>
      <c r="V8" s="1503" t="s">
        <v>8</v>
      </c>
      <c r="W8" s="1504">
        <f t="shared" si="2"/>
        <v>0</v>
      </c>
      <c r="X8" s="1505"/>
      <c r="Y8" s="3500" t="s">
        <v>527</v>
      </c>
      <c r="Z8" s="3501"/>
      <c r="AA8" s="1506" t="e">
        <f t="shared" ref="AA8:AA47" si="3">D8/F8</f>
        <v>#DIV/0!</v>
      </c>
      <c r="AB8" s="1506" t="e">
        <f t="shared" ref="AB8:AB47" si="4">D8/H8</f>
        <v>#DIV/0!</v>
      </c>
      <c r="AC8" s="1506" t="e">
        <f t="shared" ref="AC8:AC47" si="5">D8/J8</f>
        <v>#DIV/0!</v>
      </c>
    </row>
    <row r="9" spans="1:29" s="1203" customFormat="1" ht="15">
      <c r="A9" s="2632"/>
      <c r="B9" s="2639" t="s">
        <v>2736</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508" t="s">
        <v>529</v>
      </c>
      <c r="Q9" s="1134" t="str">
        <f t="shared" ref="Q9:Q15" si="6">B9</f>
        <v>用途</v>
      </c>
      <c r="R9" s="1503" t="s">
        <v>8</v>
      </c>
      <c r="S9" s="1504">
        <f t="shared" si="0"/>
        <v>100</v>
      </c>
      <c r="T9" s="1503" t="s">
        <v>8</v>
      </c>
      <c r="U9" s="1504">
        <f t="shared" si="1"/>
        <v>100</v>
      </c>
      <c r="V9" s="1503" t="s">
        <v>8</v>
      </c>
      <c r="W9" s="1504">
        <f t="shared" si="2"/>
        <v>100</v>
      </c>
      <c r="X9" s="1505"/>
      <c r="Y9" s="3438"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508"/>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508"/>
      <c r="Q11" s="1134" t="str">
        <f t="shared" si="6"/>
        <v>容积率</v>
      </c>
      <c r="R11" s="1503" t="s">
        <v>8</v>
      </c>
      <c r="S11" s="1504" t="e">
        <f t="shared" si="0"/>
        <v>#N/A</v>
      </c>
      <c r="T11" s="1503" t="s">
        <v>8</v>
      </c>
      <c r="U11" s="1504" t="e">
        <f t="shared" si="1"/>
        <v>#N/A</v>
      </c>
      <c r="V11" s="1503" t="s">
        <v>8</v>
      </c>
      <c r="W11" s="1504" t="e">
        <f t="shared" si="2"/>
        <v>#N/A</v>
      </c>
      <c r="X11" s="1505"/>
      <c r="Y11" s="343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508"/>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508"/>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15.75"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508"/>
      <c r="Q14" s="1134">
        <f t="shared" si="6"/>
        <v>111</v>
      </c>
      <c r="R14" s="1503" t="s">
        <v>8</v>
      </c>
      <c r="S14" s="1504">
        <f t="shared" si="0"/>
        <v>100</v>
      </c>
      <c r="T14" s="1503" t="s">
        <v>8</v>
      </c>
      <c r="U14" s="1504">
        <f t="shared" si="1"/>
        <v>100</v>
      </c>
      <c r="V14" s="1503" t="s">
        <v>8</v>
      </c>
      <c r="W14" s="1504">
        <f t="shared" si="2"/>
        <v>100</v>
      </c>
      <c r="X14" s="1505"/>
      <c r="Y14" s="3438"/>
      <c r="Z14" s="1133">
        <f t="shared" si="7"/>
        <v>111</v>
      </c>
      <c r="AA14" s="1506">
        <f t="shared" si="3"/>
        <v>1</v>
      </c>
      <c r="AB14" s="1506">
        <f t="shared" si="4"/>
        <v>1</v>
      </c>
      <c r="AC14" s="1506">
        <f t="shared" si="5"/>
        <v>1</v>
      </c>
    </row>
    <row r="15" spans="1:29" ht="15">
      <c r="A15" s="2628" t="s">
        <v>2734</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510" t="s">
        <v>534</v>
      </c>
      <c r="Q15" s="1507" t="str">
        <f t="shared" si="6"/>
        <v>办公集聚程度</v>
      </c>
      <c r="R15" s="1508" t="s">
        <v>8</v>
      </c>
      <c r="S15" s="1509">
        <f t="shared" si="0"/>
        <v>100</v>
      </c>
      <c r="T15" s="1508" t="s">
        <v>8</v>
      </c>
      <c r="U15" s="1509">
        <f t="shared" si="1"/>
        <v>100</v>
      </c>
      <c r="V15" s="1508" t="s">
        <v>8</v>
      </c>
      <c r="W15" s="1509">
        <f t="shared" si="2"/>
        <v>100</v>
      </c>
      <c r="X15" s="1502"/>
      <c r="Y15" s="3510"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511"/>
      <c r="Q16" s="1507"/>
      <c r="R16" s="1508"/>
      <c r="S16" s="1509"/>
      <c r="T16" s="1508"/>
      <c r="U16" s="1509"/>
      <c r="V16" s="1508"/>
      <c r="W16" s="1509"/>
      <c r="X16" s="1502"/>
      <c r="Y16" s="3511"/>
      <c r="Z16" s="1510"/>
      <c r="AA16" s="1511">
        <v>1</v>
      </c>
      <c r="AB16" s="1511">
        <v>1</v>
      </c>
      <c r="AC16" s="1511">
        <v>1</v>
      </c>
    </row>
    <row r="17" spans="1:29" ht="15">
      <c r="A17" s="526"/>
      <c r="B17" s="554" t="s">
        <v>296</v>
      </c>
      <c r="C17" s="567">
        <f>估价对象房地状况!C6</f>
        <v>0</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511"/>
      <c r="Q17" s="1507" t="str">
        <f>B17</f>
        <v>交通便捷度</v>
      </c>
      <c r="R17" s="1508" t="s">
        <v>8</v>
      </c>
      <c r="S17" s="1509">
        <f>F17</f>
        <v>100</v>
      </c>
      <c r="T17" s="1508" t="s">
        <v>8</v>
      </c>
      <c r="U17" s="1509">
        <f>H17</f>
        <v>100</v>
      </c>
      <c r="V17" s="1508" t="s">
        <v>8</v>
      </c>
      <c r="W17" s="1509">
        <f>J17</f>
        <v>100</v>
      </c>
      <c r="X17" s="1502"/>
      <c r="Y17" s="3511"/>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511"/>
      <c r="Q18" s="1507"/>
      <c r="R18" s="1508"/>
      <c r="S18" s="1509"/>
      <c r="T18" s="1508"/>
      <c r="U18" s="1509"/>
      <c r="V18" s="1508"/>
      <c r="W18" s="1509"/>
      <c r="X18" s="1502"/>
      <c r="Y18" s="3511"/>
      <c r="Z18" s="1510"/>
      <c r="AA18" s="1511">
        <v>1</v>
      </c>
      <c r="AB18" s="1511">
        <v>1</v>
      </c>
      <c r="AC18" s="1511">
        <v>1</v>
      </c>
    </row>
    <row r="19" spans="1:29" ht="15">
      <c r="A19" s="526"/>
      <c r="B19" s="2448" t="s">
        <v>2527</v>
      </c>
      <c r="C19" s="567">
        <f>估价对象房地状况!C7</f>
        <v>0</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511"/>
      <c r="Q19" s="1507" t="str">
        <f>B19</f>
        <v>公共配套设施</v>
      </c>
      <c r="R19" s="1508" t="s">
        <v>8</v>
      </c>
      <c r="S19" s="1509">
        <f>F19</f>
        <v>100</v>
      </c>
      <c r="T19" s="1508" t="s">
        <v>8</v>
      </c>
      <c r="U19" s="1509">
        <f>H19</f>
        <v>100</v>
      </c>
      <c r="V19" s="1508" t="s">
        <v>8</v>
      </c>
      <c r="W19" s="1509">
        <f>J19</f>
        <v>100</v>
      </c>
      <c r="X19" s="1502"/>
      <c r="Y19" s="3511"/>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511"/>
      <c r="Q20" s="1507"/>
      <c r="R20" s="1508"/>
      <c r="S20" s="1509"/>
      <c r="T20" s="1508"/>
      <c r="U20" s="1509"/>
      <c r="V20" s="1508"/>
      <c r="W20" s="1509"/>
      <c r="X20" s="1502"/>
      <c r="Y20" s="3511"/>
      <c r="Z20" s="1510"/>
      <c r="AA20" s="1511">
        <v>1</v>
      </c>
      <c r="AB20" s="1511">
        <v>1</v>
      </c>
      <c r="AC20" s="1511">
        <v>1</v>
      </c>
    </row>
    <row r="21" spans="1:29" ht="15">
      <c r="A21" s="526"/>
      <c r="B21" s="2436" t="s">
        <v>2539</v>
      </c>
      <c r="C21" s="567">
        <f>估价对象房地状况!C8</f>
        <v>0</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511"/>
      <c r="Q21" s="2430" t="str">
        <f>B21</f>
        <v>基础设施水平</v>
      </c>
      <c r="R21" s="1508" t="s">
        <v>8</v>
      </c>
      <c r="S21" s="1509">
        <f>F21</f>
        <v>100</v>
      </c>
      <c r="T21" s="1508" t="s">
        <v>8</v>
      </c>
      <c r="U21" s="1509">
        <f>H21</f>
        <v>100</v>
      </c>
      <c r="V21" s="1508" t="s">
        <v>8</v>
      </c>
      <c r="W21" s="1509">
        <f>J21</f>
        <v>100</v>
      </c>
      <c r="X21" s="2432"/>
      <c r="Y21" s="3511"/>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511"/>
      <c r="Q22" s="2430"/>
      <c r="R22" s="1508"/>
      <c r="S22" s="1509"/>
      <c r="T22" s="1508"/>
      <c r="U22" s="1509"/>
      <c r="V22" s="1508"/>
      <c r="W22" s="1509"/>
      <c r="X22" s="2432"/>
      <c r="Y22" s="3511"/>
      <c r="Z22" s="2431"/>
      <c r="AA22" s="1511">
        <v>1</v>
      </c>
      <c r="AB22" s="1511">
        <v>1</v>
      </c>
      <c r="AC22" s="1511">
        <v>1</v>
      </c>
    </row>
    <row r="23" spans="1:29" ht="15">
      <c r="A23" s="526"/>
      <c r="B23" s="554" t="s">
        <v>772</v>
      </c>
      <c r="C23" s="567">
        <f>估价对象房地状况!C9</f>
        <v>0</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511"/>
      <c r="Q23" s="1507" t="str">
        <f>B23</f>
        <v>环境质量</v>
      </c>
      <c r="R23" s="1508" t="s">
        <v>8</v>
      </c>
      <c r="S23" s="1509">
        <f>F23</f>
        <v>100</v>
      </c>
      <c r="T23" s="1508" t="s">
        <v>8</v>
      </c>
      <c r="U23" s="1509">
        <f>H23</f>
        <v>100</v>
      </c>
      <c r="V23" s="1508" t="s">
        <v>8</v>
      </c>
      <c r="W23" s="1509">
        <f>J23</f>
        <v>100</v>
      </c>
      <c r="X23" s="1502"/>
      <c r="Y23" s="3511"/>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511"/>
      <c r="Q24" s="1507"/>
      <c r="R24" s="1508"/>
      <c r="S24" s="1509"/>
      <c r="T24" s="1508"/>
      <c r="U24" s="1509"/>
      <c r="V24" s="1508"/>
      <c r="W24" s="1509"/>
      <c r="X24" s="1502"/>
      <c r="Y24" s="3511"/>
      <c r="Z24" s="1510"/>
      <c r="AA24" s="1511">
        <v>1</v>
      </c>
      <c r="AB24" s="1511">
        <v>1</v>
      </c>
      <c r="AC24" s="1511">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511"/>
      <c r="Q25" s="1507" t="str">
        <f>B25</f>
        <v>毗邻道路的类型与等级</v>
      </c>
      <c r="R25" s="1508" t="s">
        <v>8</v>
      </c>
      <c r="S25" s="1509">
        <f>F25</f>
        <v>100</v>
      </c>
      <c r="T25" s="1508" t="s">
        <v>8</v>
      </c>
      <c r="U25" s="1509">
        <f>H25</f>
        <v>100</v>
      </c>
      <c r="V25" s="1508" t="s">
        <v>8</v>
      </c>
      <c r="W25" s="1509">
        <f>J25</f>
        <v>100</v>
      </c>
      <c r="X25" s="1502"/>
      <c r="Y25" s="3511"/>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511"/>
      <c r="Q26" s="1507"/>
      <c r="R26" s="1508"/>
      <c r="S26" s="1509"/>
      <c r="T26" s="1508"/>
      <c r="U26" s="1509"/>
      <c r="V26" s="1508"/>
      <c r="W26" s="1509"/>
      <c r="X26" s="1502"/>
      <c r="Y26" s="3511"/>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511"/>
      <c r="Q27" s="1507" t="str">
        <f t="shared" ref="Q27:Q47" si="11">B27</f>
        <v>楼层</v>
      </c>
      <c r="R27" s="1508" t="s">
        <v>8</v>
      </c>
      <c r="S27" s="1509">
        <f>F27</f>
        <v>100</v>
      </c>
      <c r="T27" s="1508" t="s">
        <v>8</v>
      </c>
      <c r="U27" s="1509">
        <f>H27</f>
        <v>100</v>
      </c>
      <c r="V27" s="1508" t="s">
        <v>8</v>
      </c>
      <c r="W27" s="1509">
        <f>J27</f>
        <v>100</v>
      </c>
      <c r="X27" s="1502"/>
      <c r="Y27" s="3511"/>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511"/>
      <c r="Q28" s="1134" t="str">
        <f t="shared" si="11"/>
        <v>朝向</v>
      </c>
      <c r="R28" s="1503" t="s">
        <v>8</v>
      </c>
      <c r="S28" s="1504">
        <f>F28</f>
        <v>100</v>
      </c>
      <c r="T28" s="1503" t="s">
        <v>8</v>
      </c>
      <c r="U28" s="1504">
        <f>H28</f>
        <v>100</v>
      </c>
      <c r="V28" s="1503" t="s">
        <v>8</v>
      </c>
      <c r="W28" s="1504">
        <f>J28</f>
        <v>100</v>
      </c>
      <c r="X28" s="1505"/>
      <c r="Y28" s="3511"/>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511"/>
      <c r="Q29" s="1507">
        <f t="shared" si="11"/>
        <v>111</v>
      </c>
      <c r="R29" s="1508" t="s">
        <v>8</v>
      </c>
      <c r="S29" s="1509">
        <f t="shared" ref="S29:S47" si="12">F29</f>
        <v>100</v>
      </c>
      <c r="T29" s="1508" t="s">
        <v>8</v>
      </c>
      <c r="U29" s="1509">
        <f t="shared" ref="U29:U47" si="13">H29</f>
        <v>100</v>
      </c>
      <c r="V29" s="1508" t="s">
        <v>8</v>
      </c>
      <c r="W29" s="1509">
        <f t="shared" ref="W29:W47" si="14">J29</f>
        <v>100</v>
      </c>
      <c r="X29" s="1502"/>
      <c r="Y29" s="3511"/>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511"/>
      <c r="Q30" s="1507">
        <f t="shared" si="11"/>
        <v>111</v>
      </c>
      <c r="R30" s="1508" t="s">
        <v>8</v>
      </c>
      <c r="S30" s="1509">
        <f t="shared" si="12"/>
        <v>100</v>
      </c>
      <c r="T30" s="1508" t="s">
        <v>8</v>
      </c>
      <c r="U30" s="1509">
        <f t="shared" si="13"/>
        <v>100</v>
      </c>
      <c r="V30" s="1508" t="s">
        <v>8</v>
      </c>
      <c r="W30" s="1509">
        <f t="shared" si="14"/>
        <v>100</v>
      </c>
      <c r="X30" s="1502"/>
      <c r="Y30" s="3511"/>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511"/>
      <c r="Q31" s="1507">
        <f t="shared" si="11"/>
        <v>111</v>
      </c>
      <c r="R31" s="1508" t="s">
        <v>8</v>
      </c>
      <c r="S31" s="1509">
        <f t="shared" si="12"/>
        <v>100</v>
      </c>
      <c r="T31" s="1508" t="s">
        <v>8</v>
      </c>
      <c r="U31" s="1509">
        <f t="shared" si="13"/>
        <v>100</v>
      </c>
      <c r="V31" s="1508" t="s">
        <v>8</v>
      </c>
      <c r="W31" s="1509">
        <f t="shared" si="14"/>
        <v>100</v>
      </c>
      <c r="X31" s="1502"/>
      <c r="Y31" s="3511"/>
      <c r="Z31" s="1510">
        <f t="shared" si="15"/>
        <v>111</v>
      </c>
      <c r="AA31" s="1511">
        <f t="shared" si="3"/>
        <v>1</v>
      </c>
      <c r="AB31" s="1511">
        <f t="shared" si="4"/>
        <v>1</v>
      </c>
      <c r="AC31" s="1511">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511"/>
      <c r="Q32" s="1507">
        <f t="shared" si="11"/>
        <v>111</v>
      </c>
      <c r="R32" s="1508" t="s">
        <v>8</v>
      </c>
      <c r="S32" s="1509">
        <f t="shared" si="12"/>
        <v>100</v>
      </c>
      <c r="T32" s="1508" t="s">
        <v>8</v>
      </c>
      <c r="U32" s="1509">
        <f t="shared" si="13"/>
        <v>100</v>
      </c>
      <c r="V32" s="1508" t="s">
        <v>8</v>
      </c>
      <c r="W32" s="1509">
        <f t="shared" si="14"/>
        <v>100</v>
      </c>
      <c r="X32" s="1502"/>
      <c r="Y32" s="3511"/>
      <c r="Z32" s="1510">
        <f t="shared" si="15"/>
        <v>111</v>
      </c>
      <c r="AA32" s="1511">
        <f t="shared" si="3"/>
        <v>1</v>
      </c>
      <c r="AB32" s="1511">
        <f t="shared" si="4"/>
        <v>1</v>
      </c>
      <c r="AC32" s="1511">
        <f t="shared" si="5"/>
        <v>1</v>
      </c>
    </row>
    <row r="33" spans="1:29" ht="15">
      <c r="A33" s="2625" t="s">
        <v>2735</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512" t="s">
        <v>544</v>
      </c>
      <c r="Q33" s="1507" t="str">
        <f t="shared" si="11"/>
        <v>建筑类型</v>
      </c>
      <c r="R33" s="1508" t="s">
        <v>8</v>
      </c>
      <c r="S33" s="1509">
        <f t="shared" si="12"/>
        <v>100</v>
      </c>
      <c r="T33" s="1508" t="s">
        <v>8</v>
      </c>
      <c r="U33" s="1509">
        <f t="shared" si="13"/>
        <v>100</v>
      </c>
      <c r="V33" s="1508" t="s">
        <v>8</v>
      </c>
      <c r="W33" s="1509">
        <f t="shared" si="14"/>
        <v>100</v>
      </c>
      <c r="X33" s="1502"/>
      <c r="Y33" s="3513"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513"/>
      <c r="Q34" s="1536" t="str">
        <f t="shared" si="11"/>
        <v>项目建筑规模</v>
      </c>
      <c r="R34" s="1512" t="s">
        <v>8</v>
      </c>
      <c r="S34" s="1513" t="e">
        <f t="shared" si="12"/>
        <v>#N/A</v>
      </c>
      <c r="T34" s="1512" t="s">
        <v>8</v>
      </c>
      <c r="U34" s="1513" t="e">
        <f t="shared" si="13"/>
        <v>#N/A</v>
      </c>
      <c r="V34" s="1512" t="s">
        <v>8</v>
      </c>
      <c r="W34" s="1513" t="e">
        <f t="shared" si="14"/>
        <v>#N/A</v>
      </c>
      <c r="X34" s="1514"/>
      <c r="Y34" s="3513"/>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513"/>
      <c r="Q35" s="1507" t="str">
        <f t="shared" si="11"/>
        <v>建筑结构</v>
      </c>
      <c r="R35" s="1508" t="s">
        <v>8</v>
      </c>
      <c r="S35" s="1509">
        <f t="shared" si="12"/>
        <v>100</v>
      </c>
      <c r="T35" s="1508" t="s">
        <v>8</v>
      </c>
      <c r="U35" s="1509">
        <f t="shared" si="13"/>
        <v>100</v>
      </c>
      <c r="V35" s="1508" t="s">
        <v>8</v>
      </c>
      <c r="W35" s="1509">
        <f t="shared" si="14"/>
        <v>100</v>
      </c>
      <c r="X35" s="1502"/>
      <c r="Y35" s="3513"/>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513"/>
      <c r="Q36" s="1507" t="str">
        <f t="shared" si="11"/>
        <v>公共部分装修</v>
      </c>
      <c r="R36" s="1508" t="s">
        <v>8</v>
      </c>
      <c r="S36" s="1509">
        <f t="shared" si="12"/>
        <v>100</v>
      </c>
      <c r="T36" s="1508" t="s">
        <v>8</v>
      </c>
      <c r="U36" s="1509">
        <f t="shared" si="13"/>
        <v>100</v>
      </c>
      <c r="V36" s="1508" t="s">
        <v>8</v>
      </c>
      <c r="W36" s="1509">
        <f t="shared" si="14"/>
        <v>100</v>
      </c>
      <c r="X36" s="1502"/>
      <c r="Y36" s="3513"/>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513"/>
      <c r="Q37" s="1507" t="str">
        <f t="shared" si="11"/>
        <v>成新度</v>
      </c>
      <c r="R37" s="1508" t="s">
        <v>8</v>
      </c>
      <c r="S37" s="1509" t="e">
        <f t="shared" si="12"/>
        <v>#N/A</v>
      </c>
      <c r="T37" s="1508" t="s">
        <v>8</v>
      </c>
      <c r="U37" s="1509" t="e">
        <f t="shared" si="13"/>
        <v>#N/A</v>
      </c>
      <c r="V37" s="1508" t="s">
        <v>8</v>
      </c>
      <c r="W37" s="1509" t="e">
        <f t="shared" si="14"/>
        <v>#N/A</v>
      </c>
      <c r="X37" s="1502"/>
      <c r="Y37" s="3513"/>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513"/>
      <c r="Q38" s="1134" t="str">
        <f t="shared" si="11"/>
        <v>写字楼等级</v>
      </c>
      <c r="R38" s="1503" t="s">
        <v>8</v>
      </c>
      <c r="S38" s="1504">
        <f t="shared" si="12"/>
        <v>100</v>
      </c>
      <c r="T38" s="1503" t="s">
        <v>8</v>
      </c>
      <c r="U38" s="1504">
        <f t="shared" si="13"/>
        <v>100</v>
      </c>
      <c r="V38" s="1503" t="s">
        <v>8</v>
      </c>
      <c r="W38" s="1504">
        <f t="shared" si="14"/>
        <v>100</v>
      </c>
      <c r="X38" s="1505"/>
      <c r="Y38" s="3513"/>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513" t="s">
        <v>544</v>
      </c>
      <c r="Q39" s="1507" t="str">
        <f t="shared" si="11"/>
        <v>物业管理</v>
      </c>
      <c r="R39" s="1508" t="s">
        <v>8</v>
      </c>
      <c r="S39" s="1509">
        <f t="shared" si="12"/>
        <v>100</v>
      </c>
      <c r="T39" s="1508" t="s">
        <v>8</v>
      </c>
      <c r="U39" s="1509">
        <f t="shared" si="13"/>
        <v>100</v>
      </c>
      <c r="V39" s="1508" t="s">
        <v>8</v>
      </c>
      <c r="W39" s="1509">
        <f t="shared" si="14"/>
        <v>100</v>
      </c>
      <c r="X39" s="1502"/>
      <c r="Y39" s="3513" t="s">
        <v>544</v>
      </c>
      <c r="Z39" s="1510" t="str">
        <f t="shared" si="15"/>
        <v>物业管理</v>
      </c>
      <c r="AA39" s="1511">
        <f t="shared" si="3"/>
        <v>1</v>
      </c>
      <c r="AB39" s="1511">
        <f t="shared" si="4"/>
        <v>1</v>
      </c>
      <c r="AC39" s="1511">
        <f t="shared" si="5"/>
        <v>1</v>
      </c>
    </row>
    <row r="40" spans="1:29" ht="15">
      <c r="A40" s="588"/>
      <c r="B40" s="1810"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513"/>
      <c r="Q40" s="1507" t="str">
        <f t="shared" si="11"/>
        <v>市政基础设施</v>
      </c>
      <c r="R40" s="1508" t="s">
        <v>8</v>
      </c>
      <c r="S40" s="1509">
        <f t="shared" si="12"/>
        <v>100</v>
      </c>
      <c r="T40" s="1508" t="s">
        <v>8</v>
      </c>
      <c r="U40" s="1509">
        <f t="shared" si="13"/>
        <v>100</v>
      </c>
      <c r="V40" s="1508" t="s">
        <v>8</v>
      </c>
      <c r="W40" s="1509">
        <f t="shared" si="14"/>
        <v>100</v>
      </c>
      <c r="X40" s="1502"/>
      <c r="Y40" s="3513"/>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513"/>
      <c r="Q41" s="1507" t="str">
        <f t="shared" si="11"/>
        <v>层高</v>
      </c>
      <c r="R41" s="1508" t="s">
        <v>8</v>
      </c>
      <c r="S41" s="1509">
        <f t="shared" si="12"/>
        <v>100</v>
      </c>
      <c r="T41" s="1508" t="s">
        <v>8</v>
      </c>
      <c r="U41" s="1509">
        <f t="shared" si="13"/>
        <v>100</v>
      </c>
      <c r="V41" s="1508" t="s">
        <v>8</v>
      </c>
      <c r="W41" s="1509">
        <f t="shared" si="14"/>
        <v>100</v>
      </c>
      <c r="X41" s="1502"/>
      <c r="Y41" s="3513"/>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513"/>
      <c r="Q42" s="1536" t="str">
        <f t="shared" si="11"/>
        <v>单套建筑面积</v>
      </c>
      <c r="R42" s="1512" t="s">
        <v>8</v>
      </c>
      <c r="S42" s="1513">
        <f t="shared" si="12"/>
        <v>100</v>
      </c>
      <c r="T42" s="1512" t="s">
        <v>8</v>
      </c>
      <c r="U42" s="1513">
        <f t="shared" si="13"/>
        <v>100</v>
      </c>
      <c r="V42" s="1512" t="s">
        <v>8</v>
      </c>
      <c r="W42" s="1513">
        <f t="shared" si="14"/>
        <v>100</v>
      </c>
      <c r="X42" s="1514"/>
      <c r="Y42" s="3513"/>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513"/>
      <c r="Q43" s="1507" t="str">
        <f t="shared" si="11"/>
        <v>内部装修</v>
      </c>
      <c r="R43" s="1508" t="s">
        <v>8</v>
      </c>
      <c r="S43" s="1509">
        <f t="shared" si="12"/>
        <v>100</v>
      </c>
      <c r="T43" s="1508" t="s">
        <v>8</v>
      </c>
      <c r="U43" s="1509">
        <f t="shared" si="13"/>
        <v>100</v>
      </c>
      <c r="V43" s="1508" t="s">
        <v>8</v>
      </c>
      <c r="W43" s="1509">
        <f t="shared" si="14"/>
        <v>100</v>
      </c>
      <c r="X43" s="1502"/>
      <c r="Y43" s="3513"/>
      <c r="Z43" s="1510" t="str">
        <f t="shared" si="15"/>
        <v>内部装修</v>
      </c>
      <c r="AA43" s="1511">
        <f t="shared" si="3"/>
        <v>1</v>
      </c>
      <c r="AB43" s="1511">
        <f t="shared" si="4"/>
        <v>1</v>
      </c>
      <c r="AC43" s="1511">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513"/>
      <c r="Q44" s="1507" t="str">
        <f t="shared" si="11"/>
        <v>内部装修维护情况</v>
      </c>
      <c r="R44" s="1508" t="s">
        <v>8</v>
      </c>
      <c r="S44" s="1509">
        <f t="shared" si="12"/>
        <v>100</v>
      </c>
      <c r="T44" s="1508" t="s">
        <v>8</v>
      </c>
      <c r="U44" s="1509">
        <f t="shared" si="13"/>
        <v>100</v>
      </c>
      <c r="V44" s="1508" t="s">
        <v>8</v>
      </c>
      <c r="W44" s="1509">
        <f t="shared" si="14"/>
        <v>100</v>
      </c>
      <c r="X44" s="1502"/>
      <c r="Y44" s="3513"/>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513"/>
      <c r="Q45" s="1134">
        <f t="shared" si="11"/>
        <v>111</v>
      </c>
      <c r="R45" s="1503" t="s">
        <v>8</v>
      </c>
      <c r="S45" s="1504">
        <f t="shared" si="12"/>
        <v>100</v>
      </c>
      <c r="T45" s="1503" t="s">
        <v>8</v>
      </c>
      <c r="U45" s="1504">
        <f t="shared" si="13"/>
        <v>100</v>
      </c>
      <c r="V45" s="1503" t="s">
        <v>8</v>
      </c>
      <c r="W45" s="1504">
        <f t="shared" si="14"/>
        <v>100</v>
      </c>
      <c r="X45" s="1505"/>
      <c r="Y45" s="3513"/>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513"/>
      <c r="Q46" s="1507">
        <f t="shared" si="11"/>
        <v>111</v>
      </c>
      <c r="R46" s="1508" t="s">
        <v>8</v>
      </c>
      <c r="S46" s="1509">
        <f t="shared" si="12"/>
        <v>100</v>
      </c>
      <c r="T46" s="1508" t="s">
        <v>8</v>
      </c>
      <c r="U46" s="1509">
        <f t="shared" si="13"/>
        <v>100</v>
      </c>
      <c r="V46" s="1508" t="s">
        <v>8</v>
      </c>
      <c r="W46" s="1509">
        <f t="shared" si="14"/>
        <v>100</v>
      </c>
      <c r="X46" s="1502"/>
      <c r="Y46" s="3513"/>
      <c r="Z46" s="1510">
        <f t="shared" si="15"/>
        <v>111</v>
      </c>
      <c r="AA46" s="1511">
        <f t="shared" si="3"/>
        <v>1</v>
      </c>
      <c r="AB46" s="1511">
        <f t="shared" si="4"/>
        <v>1</v>
      </c>
      <c r="AC46" s="1511">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595"/>
      <c r="Q47" s="1507">
        <f t="shared" si="11"/>
        <v>111</v>
      </c>
      <c r="R47" s="1508" t="s">
        <v>8</v>
      </c>
      <c r="S47" s="1509">
        <f t="shared" si="12"/>
        <v>100</v>
      </c>
      <c r="T47" s="1508" t="s">
        <v>8</v>
      </c>
      <c r="U47" s="1509">
        <f t="shared" si="13"/>
        <v>100</v>
      </c>
      <c r="V47" s="1508" t="s">
        <v>8</v>
      </c>
      <c r="W47" s="1509">
        <f t="shared" si="14"/>
        <v>100</v>
      </c>
      <c r="X47" s="1502"/>
      <c r="Y47" s="3595"/>
      <c r="Z47" s="1510">
        <f t="shared" si="15"/>
        <v>111</v>
      </c>
      <c r="AA47" s="1511">
        <f t="shared" si="3"/>
        <v>1</v>
      </c>
      <c r="AB47" s="1511">
        <f t="shared" si="4"/>
        <v>1</v>
      </c>
      <c r="AC47" s="1511">
        <f t="shared" si="5"/>
        <v>1</v>
      </c>
    </row>
    <row r="48" spans="1:29" ht="15">
      <c r="A48" s="601" t="s">
        <v>730</v>
      </c>
      <c r="B48" s="876"/>
      <c r="C48" s="2471" t="s">
        <v>1</v>
      </c>
      <c r="D48" s="2472"/>
      <c r="E48" s="2473"/>
      <c r="F48" s="2474"/>
      <c r="G48" s="2475"/>
      <c r="H48" s="2476"/>
      <c r="I48" s="2473"/>
      <c r="J48" s="2476"/>
      <c r="K48" s="1541"/>
      <c r="L48" s="2027"/>
      <c r="M48" s="2017"/>
      <c r="N48" s="2017"/>
      <c r="O48" s="2017"/>
      <c r="P48" s="3531" t="str">
        <f>A48</f>
        <v>成交单价（元/平方米）</v>
      </c>
      <c r="Q48" s="3508"/>
      <c r="R48" s="3594">
        <f>E48</f>
        <v>0</v>
      </c>
      <c r="S48" s="3594"/>
      <c r="T48" s="3594">
        <f>G48</f>
        <v>0</v>
      </c>
      <c r="U48" s="3594"/>
      <c r="V48" s="3594">
        <f>I48</f>
        <v>0</v>
      </c>
      <c r="W48" s="3594"/>
      <c r="X48" s="1497"/>
      <c r="Y48" s="1516"/>
      <c r="Z48" s="1497"/>
      <c r="AA48" s="1497"/>
      <c r="AB48" s="1497"/>
      <c r="AC48" s="1497"/>
    </row>
    <row r="49" spans="1:29" ht="15.75" thickBot="1">
      <c r="A49" s="609" t="s">
        <v>2740</v>
      </c>
      <c r="B49" s="877"/>
      <c r="C49" s="2477" t="e">
        <f>R50</f>
        <v>#DIV/0!</v>
      </c>
      <c r="D49" s="3014" t="s">
        <v>2960</v>
      </c>
      <c r="E49" s="2478" t="e">
        <f>R49</f>
        <v>#DIV/0!</v>
      </c>
      <c r="F49" s="3015"/>
      <c r="G49" s="2477" t="e">
        <f>T49</f>
        <v>#DIV/0!</v>
      </c>
      <c r="H49" s="3015"/>
      <c r="I49" s="2478" t="e">
        <f>V49</f>
        <v>#DIV/0!</v>
      </c>
      <c r="J49" s="3015"/>
      <c r="K49" s="3023">
        <f>F49+H49+J49</f>
        <v>0</v>
      </c>
      <c r="L49" s="2027"/>
      <c r="M49" s="2017"/>
      <c r="N49" s="2017"/>
      <c r="O49" s="2017"/>
      <c r="P49" s="3531" t="str">
        <f>A49</f>
        <v>比较价格（元/平方米）</v>
      </c>
      <c r="Q49" s="3508"/>
      <c r="R49" s="3594" t="e">
        <f>IF(F1="售价",ROUND(PRODUCT(R48,AA7:AA47),0),ROUND(PRODUCT(R48,AA7:AA47),1))</f>
        <v>#DIV/0!</v>
      </c>
      <c r="S49" s="3594"/>
      <c r="T49" s="3594" t="e">
        <f>IF(F1="售价",ROUND(PRODUCT(T48,AB7:AB47),0),ROUND(PRODUCT(T48,AB7:AB47),1))</f>
        <v>#DIV/0!</v>
      </c>
      <c r="U49" s="3594"/>
      <c r="V49" s="3594" t="e">
        <f>IF(F1="售价",ROUND(PRODUCT(V48,AC7:AC47),0),ROUND(PRODUCT(V48,AC7:AC47),1))</f>
        <v>#DIV/0!</v>
      </c>
      <c r="W49" s="3594"/>
      <c r="X49" s="1497"/>
      <c r="Y49" s="1497"/>
      <c r="Z49" s="1497"/>
      <c r="AA49" s="1497"/>
      <c r="AB49" s="1497"/>
      <c r="AC49" s="1497"/>
    </row>
    <row r="50" spans="1:29" ht="15.75" thickBot="1">
      <c r="A50" s="613" t="s">
        <v>2893</v>
      </c>
      <c r="B50" s="614"/>
      <c r="C50" s="2479" t="e">
        <f>R50</f>
        <v>#DIV/0!</v>
      </c>
      <c r="D50" s="2479"/>
      <c r="E50" s="2479"/>
      <c r="F50" s="2479"/>
      <c r="G50" s="2479"/>
      <c r="H50" s="2479"/>
      <c r="I50" s="2479"/>
      <c r="J50" s="2479"/>
      <c r="K50" s="1542"/>
      <c r="L50" s="2027"/>
      <c r="M50" s="2017"/>
      <c r="N50" s="2017"/>
      <c r="O50" s="2017"/>
      <c r="P50" s="3599" t="str">
        <f>A50</f>
        <v>估价对象XX用房的比较价格（楼面单价，元/平方米）</v>
      </c>
      <c r="Q50" s="3531"/>
      <c r="R50" s="3593" t="e">
        <f>IF(F1="售价",ROUND(IF(D49="简单平均",AVERAGE(R49:V49),R49*F49+T49*H49+V49*J49),0),ROUND(IF(D49="简单平均",AVERAGE(R49:V49),R49*F49+T49*H49+V49*J49),1))</f>
        <v>#DIV/0!</v>
      </c>
      <c r="S50" s="3593"/>
      <c r="T50" s="3593"/>
      <c r="U50" s="3593"/>
      <c r="V50" s="3593"/>
      <c r="W50" s="3593"/>
      <c r="X50" s="1497"/>
      <c r="Y50" s="1497"/>
      <c r="Z50" s="1497"/>
      <c r="AA50" s="1497"/>
      <c r="AB50" s="1497"/>
      <c r="AC50" s="1497"/>
    </row>
    <row r="51" spans="1:29">
      <c r="A51" s="3214"/>
      <c r="B51" s="3214"/>
      <c r="C51" s="3214"/>
      <c r="D51" s="3214"/>
      <c r="E51" s="3214"/>
      <c r="F51" s="3214"/>
      <c r="G51" s="3216"/>
      <c r="H51" s="3214"/>
      <c r="I51" s="3214"/>
      <c r="J51" s="3214"/>
      <c r="K51" s="3217"/>
      <c r="L51" s="2032"/>
      <c r="M51" s="2028"/>
      <c r="N51" s="2028"/>
      <c r="O51" s="2028"/>
      <c r="P51" s="2089"/>
      <c r="Q51" s="2028"/>
      <c r="R51" s="2028"/>
      <c r="S51" s="2028"/>
      <c r="T51" s="2028"/>
      <c r="U51" s="2028"/>
      <c r="V51" s="2028"/>
      <c r="W51" s="2028"/>
      <c r="X51" s="2028"/>
      <c r="Y51" s="2028"/>
      <c r="Z51" s="2028"/>
      <c r="AA51" s="2028"/>
      <c r="AB51" s="2028"/>
      <c r="AC51" s="2028"/>
    </row>
    <row r="52" spans="1:29">
      <c r="A52" s="3214"/>
      <c r="B52" s="3214"/>
      <c r="C52" s="3214"/>
      <c r="D52" s="3214"/>
      <c r="E52" s="3214"/>
      <c r="F52" s="3214"/>
      <c r="G52" s="3214"/>
      <c r="H52" s="3214"/>
      <c r="I52" s="3214"/>
      <c r="J52" s="3214"/>
      <c r="K52" s="3217"/>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1.75"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5">
      <c r="A59" s="637" t="s">
        <v>523</v>
      </c>
      <c r="B59" s="638"/>
      <c r="C59" s="2520" t="str">
        <f>YEAR(C7)&amp;"-"&amp;MONTH(C7)</f>
        <v>2021-5</v>
      </c>
      <c r="D59" s="2522">
        <f>EDATE(C59,-1)</f>
        <v>44287</v>
      </c>
      <c r="E59" s="2522">
        <f t="shared" ref="E59:O59" si="16">EDATE(D59,-1)</f>
        <v>44256</v>
      </c>
      <c r="F59" s="2522">
        <f t="shared" si="16"/>
        <v>44228</v>
      </c>
      <c r="G59" s="2522">
        <f t="shared" si="16"/>
        <v>44197</v>
      </c>
      <c r="H59" s="2522">
        <f t="shared" si="16"/>
        <v>44166</v>
      </c>
      <c r="I59" s="2522">
        <f t="shared" si="16"/>
        <v>44136</v>
      </c>
      <c r="J59" s="2522">
        <f t="shared" si="16"/>
        <v>44105</v>
      </c>
      <c r="K59" s="2522">
        <f t="shared" si="16"/>
        <v>44075</v>
      </c>
      <c r="L59" s="2522">
        <f t="shared" si="16"/>
        <v>44044</v>
      </c>
      <c r="M59" s="2522">
        <f t="shared" si="16"/>
        <v>44013</v>
      </c>
      <c r="N59" s="2522">
        <f t="shared" si="16"/>
        <v>43983</v>
      </c>
      <c r="O59" s="2522">
        <f t="shared" si="16"/>
        <v>43952</v>
      </c>
      <c r="P59" s="2092"/>
      <c r="Q59" s="2043"/>
      <c r="R59" s="2043"/>
      <c r="S59" s="2043"/>
      <c r="T59" s="2043"/>
      <c r="U59" s="2043"/>
      <c r="V59" s="2043"/>
      <c r="W59" s="2043"/>
      <c r="X59" s="2043"/>
      <c r="Y59" s="2043"/>
      <c r="Z59" s="2043"/>
      <c r="AA59" s="2043"/>
      <c r="AB59" s="2043"/>
      <c r="AC59" s="2043"/>
    </row>
    <row r="60" spans="1:29" s="1203" customFormat="1" ht="15">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7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5">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5.75"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5.75"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ht="15">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5.75"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5.75"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5.75"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5.75"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5.75"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5.75"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7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75" thickTop="1">
      <c r="A81" s="661"/>
      <c r="B81" s="1811" t="s">
        <v>2538</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75" thickTop="1">
      <c r="A83" s="661"/>
      <c r="B83" s="2442" t="s">
        <v>2539</v>
      </c>
      <c r="C83" s="2443" t="s">
        <v>2540</v>
      </c>
      <c r="D83" s="2443" t="s">
        <v>2541</v>
      </c>
      <c r="E83" s="2443" t="s">
        <v>2542</v>
      </c>
      <c r="F83" s="2443" t="s">
        <v>2543</v>
      </c>
      <c r="G83" s="2443" t="s">
        <v>2544</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7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7.75"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5.75"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5.75"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5.75"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5.75"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5.75"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5.75"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5.75"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5.75"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5.75"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5.75"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2537</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5.75"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5"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5.75"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5"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5.75"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5"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5.75"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0"/>
      <c r="M1" s="3211"/>
      <c r="N1" s="3211"/>
      <c r="O1" s="3211"/>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515</v>
      </c>
      <c r="B4" s="507"/>
      <c r="C4" s="3514" t="s">
        <v>516</v>
      </c>
      <c r="D4" s="3515"/>
      <c r="E4" s="3540" t="s">
        <v>517</v>
      </c>
      <c r="F4" s="3541"/>
      <c r="G4" s="3514" t="s">
        <v>518</v>
      </c>
      <c r="H4" s="3515"/>
      <c r="I4" s="3514" t="s">
        <v>519</v>
      </c>
      <c r="J4" s="3515"/>
      <c r="K4" s="508" t="s">
        <v>520</v>
      </c>
      <c r="L4" s="2016"/>
      <c r="M4" s="2017"/>
      <c r="N4" s="2017"/>
      <c r="O4" s="2017"/>
      <c r="P4" s="3516" t="s">
        <v>521</v>
      </c>
      <c r="Q4" s="3517"/>
      <c r="R4" s="3502" t="s">
        <v>517</v>
      </c>
      <c r="S4" s="3503"/>
      <c r="T4" s="3502" t="s">
        <v>518</v>
      </c>
      <c r="U4" s="3503"/>
      <c r="V4" s="3522" t="s">
        <v>519</v>
      </c>
      <c r="W4" s="3522"/>
      <c r="X4" s="1502"/>
      <c r="Y4" s="3502" t="s">
        <v>521</v>
      </c>
      <c r="Z4" s="3503"/>
      <c r="AA4" s="3497" t="s">
        <v>517</v>
      </c>
      <c r="AB4" s="3498" t="s">
        <v>518</v>
      </c>
      <c r="AC4" s="3497" t="s">
        <v>519</v>
      </c>
    </row>
    <row r="5" spans="1:29" ht="15">
      <c r="A5" s="509"/>
      <c r="B5" s="510"/>
      <c r="C5" s="3527" t="s">
        <v>2887</v>
      </c>
      <c r="D5" s="3526"/>
      <c r="E5" s="3542" t="s">
        <v>2888</v>
      </c>
      <c r="F5" s="3543"/>
      <c r="G5" s="3527" t="s">
        <v>2889</v>
      </c>
      <c r="H5" s="3526"/>
      <c r="I5" s="3527" t="s">
        <v>2890</v>
      </c>
      <c r="J5" s="3526"/>
      <c r="K5" s="508"/>
      <c r="L5" s="2016"/>
      <c r="M5" s="2017"/>
      <c r="N5" s="2017"/>
      <c r="O5" s="2017"/>
      <c r="P5" s="3518"/>
      <c r="Q5" s="3519"/>
      <c r="R5" s="3504"/>
      <c r="S5" s="3505"/>
      <c r="T5" s="3504"/>
      <c r="U5" s="3505"/>
      <c r="V5" s="3522"/>
      <c r="W5" s="3522"/>
      <c r="X5" s="1502"/>
      <c r="Y5" s="3504"/>
      <c r="Z5" s="3505"/>
      <c r="AA5" s="3498"/>
      <c r="AB5" s="3498"/>
      <c r="AC5" s="3498"/>
    </row>
    <row r="6" spans="1:29" ht="15.75" thickBot="1">
      <c r="A6" s="511"/>
      <c r="B6" s="512"/>
      <c r="C6" s="3544" t="s">
        <v>2891</v>
      </c>
      <c r="D6" s="3524"/>
      <c r="E6" s="3545" t="s">
        <v>2891</v>
      </c>
      <c r="F6" s="3546"/>
      <c r="G6" s="3544" t="s">
        <v>2891</v>
      </c>
      <c r="H6" s="3524"/>
      <c r="I6" s="3544" t="s">
        <v>2891</v>
      </c>
      <c r="J6" s="3524"/>
      <c r="K6" s="508" t="s">
        <v>522</v>
      </c>
      <c r="L6" s="2016"/>
      <c r="M6" s="2017"/>
      <c r="N6" s="2017"/>
      <c r="O6" s="2017"/>
      <c r="P6" s="3520"/>
      <c r="Q6" s="3521"/>
      <c r="R6" s="3504"/>
      <c r="S6" s="3505"/>
      <c r="T6" s="3506"/>
      <c r="U6" s="3507"/>
      <c r="V6" s="3522"/>
      <c r="W6" s="3522"/>
      <c r="X6" s="1502"/>
      <c r="Y6" s="3506"/>
      <c r="Z6" s="3507"/>
      <c r="AA6" s="3499"/>
      <c r="AB6" s="3499"/>
      <c r="AC6" s="3499"/>
    </row>
    <row r="7" spans="1:29" s="1203" customFormat="1" ht="15.75" thickBot="1">
      <c r="A7" s="2630"/>
      <c r="B7" s="2637" t="s">
        <v>523</v>
      </c>
      <c r="C7" s="513">
        <f>'数据-取费表'!B2</f>
        <v>44329</v>
      </c>
      <c r="D7" s="514">
        <v>100</v>
      </c>
      <c r="E7" s="515"/>
      <c r="F7" s="516">
        <f>SUMIF(52:52,YEAR(E7)&amp;"-"&amp;MONTH(E7),53:53)</f>
        <v>0</v>
      </c>
      <c r="G7" s="515"/>
      <c r="H7" s="514">
        <f>SUMIF(52:52,YEAR(G7)&amp;"-"&amp;MONTH(G7),53:53)</f>
        <v>0</v>
      </c>
      <c r="I7" s="515"/>
      <c r="J7" s="514">
        <f>SUMIF(52:52,YEAR(I7)&amp;"-"&amp;MONTH(I7),53:53)</f>
        <v>0</v>
      </c>
      <c r="K7" s="518"/>
      <c r="L7" s="2018"/>
      <c r="M7" s="2019"/>
      <c r="N7" s="2019"/>
      <c r="O7" s="2019"/>
      <c r="P7" s="3500" t="s">
        <v>524</v>
      </c>
      <c r="Q7" s="3509"/>
      <c r="R7" s="1503" t="s">
        <v>8</v>
      </c>
      <c r="S7" s="1504">
        <f t="shared" ref="S7:S15" si="0">F7</f>
        <v>0</v>
      </c>
      <c r="T7" s="1503" t="s">
        <v>8</v>
      </c>
      <c r="U7" s="1504">
        <f t="shared" ref="U7:U15" si="1">H7</f>
        <v>0</v>
      </c>
      <c r="V7" s="1503" t="s">
        <v>8</v>
      </c>
      <c r="W7" s="1504">
        <f t="shared" ref="W7:W15"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500" t="s">
        <v>527</v>
      </c>
      <c r="Q8" s="3501"/>
      <c r="R8" s="1503" t="s">
        <v>8</v>
      </c>
      <c r="S8" s="1504">
        <f t="shared" si="0"/>
        <v>0</v>
      </c>
      <c r="T8" s="1503" t="s">
        <v>8</v>
      </c>
      <c r="U8" s="1504">
        <f t="shared" si="1"/>
        <v>0</v>
      </c>
      <c r="V8" s="1503" t="s">
        <v>8</v>
      </c>
      <c r="W8" s="1504">
        <f t="shared" si="2"/>
        <v>0</v>
      </c>
      <c r="X8" s="1505"/>
      <c r="Y8" s="3500" t="s">
        <v>527</v>
      </c>
      <c r="Z8" s="3501"/>
      <c r="AA8" s="1506" t="e">
        <f t="shared" ref="AA8:AA40" si="3">D8/F8</f>
        <v>#DIV/0!</v>
      </c>
      <c r="AB8" s="1506" t="e">
        <f t="shared" ref="AB8:AB40" si="4">D8/H8</f>
        <v>#DIV/0!</v>
      </c>
      <c r="AC8" s="1506" t="e">
        <f t="shared" ref="AC8:AC40" si="5">D8/J8</f>
        <v>#DIV/0!</v>
      </c>
    </row>
    <row r="9" spans="1:29" s="1203" customFormat="1" ht="15">
      <c r="A9" s="2632"/>
      <c r="B9" s="2639" t="s">
        <v>2736</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508" t="s">
        <v>529</v>
      </c>
      <c r="Q9" s="1134" t="str">
        <f t="shared" ref="Q9:Q15" si="6">B9</f>
        <v>用途</v>
      </c>
      <c r="R9" s="1503" t="s">
        <v>8</v>
      </c>
      <c r="S9" s="1504">
        <f t="shared" si="0"/>
        <v>100</v>
      </c>
      <c r="T9" s="1503" t="s">
        <v>8</v>
      </c>
      <c r="U9" s="1504">
        <f t="shared" si="1"/>
        <v>100</v>
      </c>
      <c r="V9" s="1503" t="s">
        <v>8</v>
      </c>
      <c r="W9" s="1504">
        <f t="shared" si="2"/>
        <v>100</v>
      </c>
      <c r="X9" s="1505"/>
      <c r="Y9" s="3438" t="s">
        <v>530</v>
      </c>
      <c r="Z9" s="1133" t="str">
        <f t="shared" ref="Z9:Z15" si="7">Q9</f>
        <v>用途</v>
      </c>
      <c r="AA9" s="1506">
        <f t="shared" si="3"/>
        <v>1</v>
      </c>
      <c r="AB9" s="1506">
        <f t="shared" si="4"/>
        <v>1</v>
      </c>
      <c r="AC9" s="1506">
        <f t="shared" si="5"/>
        <v>1</v>
      </c>
    </row>
    <row r="10" spans="1:29" s="1292" customFormat="1" ht="27">
      <c r="A10" s="2633"/>
      <c r="B10" s="2638" t="s">
        <v>2737</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508"/>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5">
      <c r="A11" s="2634"/>
      <c r="B11" s="2638"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508"/>
      <c r="Q11" s="1134" t="str">
        <f t="shared" si="6"/>
        <v>容积率</v>
      </c>
      <c r="R11" s="1503" t="s">
        <v>8</v>
      </c>
      <c r="S11" s="1504" t="e">
        <f t="shared" si="0"/>
        <v>#N/A</v>
      </c>
      <c r="T11" s="1503" t="s">
        <v>8</v>
      </c>
      <c r="U11" s="1504" t="e">
        <f t="shared" si="1"/>
        <v>#N/A</v>
      </c>
      <c r="V11" s="1503" t="s">
        <v>8</v>
      </c>
      <c r="W11" s="1504" t="e">
        <f t="shared" si="2"/>
        <v>#N/A</v>
      </c>
      <c r="X11" s="1505"/>
      <c r="Y11" s="3438"/>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508"/>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508"/>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15.75"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508"/>
      <c r="Q14" s="1134">
        <f t="shared" si="6"/>
        <v>111</v>
      </c>
      <c r="R14" s="1503" t="s">
        <v>8</v>
      </c>
      <c r="S14" s="1504">
        <f t="shared" si="0"/>
        <v>100</v>
      </c>
      <c r="T14" s="1503" t="s">
        <v>8</v>
      </c>
      <c r="U14" s="1504">
        <f t="shared" si="1"/>
        <v>100</v>
      </c>
      <c r="V14" s="1503" t="s">
        <v>8</v>
      </c>
      <c r="W14" s="1504">
        <f t="shared" si="2"/>
        <v>100</v>
      </c>
      <c r="X14" s="1505"/>
      <c r="Y14" s="3438"/>
      <c r="Z14" s="1133">
        <f t="shared" si="7"/>
        <v>111</v>
      </c>
      <c r="AA14" s="1506">
        <f t="shared" si="3"/>
        <v>1</v>
      </c>
      <c r="AB14" s="1506">
        <f t="shared" si="4"/>
        <v>1</v>
      </c>
      <c r="AC14" s="1506">
        <f t="shared" si="5"/>
        <v>1</v>
      </c>
    </row>
    <row r="15" spans="1:29" ht="15">
      <c r="A15" s="2628" t="s">
        <v>2734</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510" t="s">
        <v>534</v>
      </c>
      <c r="Q15" s="1507" t="str">
        <f t="shared" si="6"/>
        <v>产业集聚程度</v>
      </c>
      <c r="R15" s="1508" t="s">
        <v>8</v>
      </c>
      <c r="S15" s="1509">
        <f t="shared" si="0"/>
        <v>100</v>
      </c>
      <c r="T15" s="1508" t="s">
        <v>8</v>
      </c>
      <c r="U15" s="1509">
        <f t="shared" si="1"/>
        <v>100</v>
      </c>
      <c r="V15" s="1508" t="s">
        <v>8</v>
      </c>
      <c r="W15" s="1509">
        <f t="shared" si="2"/>
        <v>100</v>
      </c>
      <c r="X15" s="1502"/>
      <c r="Y15" s="3510"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511"/>
      <c r="Q16" s="1507"/>
      <c r="R16" s="1508"/>
      <c r="S16" s="1509"/>
      <c r="T16" s="1508"/>
      <c r="U16" s="1509"/>
      <c r="V16" s="1508"/>
      <c r="W16" s="1509"/>
      <c r="X16" s="1502"/>
      <c r="Y16" s="3511"/>
      <c r="Z16" s="1510"/>
      <c r="AA16" s="1511">
        <v>1</v>
      </c>
      <c r="AB16" s="1511">
        <v>1</v>
      </c>
      <c r="AC16" s="1511">
        <v>1</v>
      </c>
    </row>
    <row r="17" spans="1:29" ht="1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511"/>
      <c r="Q17" s="1507" t="str">
        <f>B17</f>
        <v>交通便捷度</v>
      </c>
      <c r="R17" s="1508" t="s">
        <v>8</v>
      </c>
      <c r="S17" s="1509">
        <f>F17</f>
        <v>100</v>
      </c>
      <c r="T17" s="1508" t="s">
        <v>8</v>
      </c>
      <c r="U17" s="1509">
        <f>H17</f>
        <v>100</v>
      </c>
      <c r="V17" s="1508" t="s">
        <v>8</v>
      </c>
      <c r="W17" s="1509">
        <f>J17</f>
        <v>100</v>
      </c>
      <c r="X17" s="1502"/>
      <c r="Y17" s="3511"/>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511"/>
      <c r="Q18" s="1507"/>
      <c r="R18" s="1508"/>
      <c r="S18" s="1509"/>
      <c r="T18" s="1508"/>
      <c r="U18" s="1509"/>
      <c r="V18" s="1508"/>
      <c r="W18" s="1509"/>
      <c r="X18" s="1502"/>
      <c r="Y18" s="3511"/>
      <c r="Z18" s="1510"/>
      <c r="AA18" s="1511">
        <v>1</v>
      </c>
      <c r="AB18" s="1511">
        <v>1</v>
      </c>
      <c r="AC18" s="1511">
        <v>1</v>
      </c>
    </row>
    <row r="19" spans="1:29" ht="15">
      <c r="A19" s="526"/>
      <c r="B19" s="2448" t="s">
        <v>2527</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511"/>
      <c r="Q19" s="1507" t="str">
        <f>B19</f>
        <v>公共配套设施</v>
      </c>
      <c r="R19" s="1508" t="s">
        <v>8</v>
      </c>
      <c r="S19" s="1509">
        <f>F19</f>
        <v>100</v>
      </c>
      <c r="T19" s="1508" t="s">
        <v>8</v>
      </c>
      <c r="U19" s="1509">
        <f>H19</f>
        <v>100</v>
      </c>
      <c r="V19" s="1508" t="s">
        <v>8</v>
      </c>
      <c r="W19" s="1509">
        <f>J19</f>
        <v>100</v>
      </c>
      <c r="X19" s="1502"/>
      <c r="Y19" s="3511"/>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511"/>
      <c r="Q20" s="1507"/>
      <c r="R20" s="1508"/>
      <c r="S20" s="1509"/>
      <c r="T20" s="1508"/>
      <c r="U20" s="1509"/>
      <c r="V20" s="1508"/>
      <c r="W20" s="1509"/>
      <c r="X20" s="1502"/>
      <c r="Y20" s="3511"/>
      <c r="Z20" s="1510"/>
      <c r="AA20" s="1511">
        <v>1</v>
      </c>
      <c r="AB20" s="1511">
        <v>1</v>
      </c>
      <c r="AC20" s="1511">
        <v>1</v>
      </c>
    </row>
    <row r="21" spans="1:29" ht="15">
      <c r="A21" s="526"/>
      <c r="B21" s="2436" t="s">
        <v>2539</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511"/>
      <c r="Q21" s="2430" t="str">
        <f>B21</f>
        <v>基础设施水平</v>
      </c>
      <c r="R21" s="1508" t="s">
        <v>8</v>
      </c>
      <c r="S21" s="1509">
        <f>F21</f>
        <v>100</v>
      </c>
      <c r="T21" s="1508" t="s">
        <v>8</v>
      </c>
      <c r="U21" s="1509">
        <f>H21</f>
        <v>100</v>
      </c>
      <c r="V21" s="1508" t="s">
        <v>8</v>
      </c>
      <c r="W21" s="1509">
        <f>J21</f>
        <v>100</v>
      </c>
      <c r="X21" s="2432"/>
      <c r="Y21" s="3511"/>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511"/>
      <c r="Q22" s="2430"/>
      <c r="R22" s="1508"/>
      <c r="S22" s="1509"/>
      <c r="T22" s="1508"/>
      <c r="U22" s="1509"/>
      <c r="V22" s="1508"/>
      <c r="W22" s="1509"/>
      <c r="X22" s="2432"/>
      <c r="Y22" s="3511"/>
      <c r="Z22" s="2431"/>
      <c r="AA22" s="1511">
        <v>1</v>
      </c>
      <c r="AB22" s="1511">
        <v>1</v>
      </c>
      <c r="AC22" s="1511">
        <v>1</v>
      </c>
    </row>
    <row r="23" spans="1:29" ht="1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511"/>
      <c r="Q23" s="1507" t="str">
        <f>B23</f>
        <v>环境质量</v>
      </c>
      <c r="R23" s="1508" t="s">
        <v>8</v>
      </c>
      <c r="S23" s="1509">
        <f>F23</f>
        <v>100</v>
      </c>
      <c r="T23" s="1508" t="s">
        <v>8</v>
      </c>
      <c r="U23" s="1509">
        <f>H23</f>
        <v>100</v>
      </c>
      <c r="V23" s="1508" t="s">
        <v>8</v>
      </c>
      <c r="W23" s="1509">
        <f>J23</f>
        <v>100</v>
      </c>
      <c r="X23" s="1502"/>
      <c r="Y23" s="3511"/>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511"/>
      <c r="Q24" s="1507"/>
      <c r="R24" s="1508"/>
      <c r="S24" s="1509"/>
      <c r="T24" s="1508"/>
      <c r="U24" s="1509"/>
      <c r="V24" s="1508"/>
      <c r="W24" s="1509"/>
      <c r="X24" s="1502"/>
      <c r="Y24" s="3511"/>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511"/>
      <c r="Q25" s="1507">
        <f>B25</f>
        <v>111</v>
      </c>
      <c r="R25" s="1508" t="s">
        <v>8</v>
      </c>
      <c r="S25" s="1509">
        <f>F25</f>
        <v>100</v>
      </c>
      <c r="T25" s="1508" t="s">
        <v>8</v>
      </c>
      <c r="U25" s="1509">
        <f>H25</f>
        <v>100</v>
      </c>
      <c r="V25" s="1508" t="s">
        <v>8</v>
      </c>
      <c r="W25" s="1509">
        <f>J25</f>
        <v>100</v>
      </c>
      <c r="X25" s="1502"/>
      <c r="Y25" s="3511"/>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511"/>
      <c r="Q26" s="1507">
        <f t="shared" ref="Q26:Q40" si="11">B26</f>
        <v>111</v>
      </c>
      <c r="R26" s="1508" t="s">
        <v>8</v>
      </c>
      <c r="S26" s="1509">
        <f>F26</f>
        <v>100</v>
      </c>
      <c r="T26" s="1508" t="s">
        <v>8</v>
      </c>
      <c r="U26" s="1509">
        <f>H26</f>
        <v>100</v>
      </c>
      <c r="V26" s="1508" t="s">
        <v>8</v>
      </c>
      <c r="W26" s="1509">
        <f>J26</f>
        <v>100</v>
      </c>
      <c r="X26" s="1502"/>
      <c r="Y26" s="3511"/>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511"/>
      <c r="Q27" s="1134">
        <f t="shared" si="11"/>
        <v>111</v>
      </c>
      <c r="R27" s="1503" t="s">
        <v>8</v>
      </c>
      <c r="S27" s="1504">
        <f>F27</f>
        <v>100</v>
      </c>
      <c r="T27" s="1503" t="s">
        <v>8</v>
      </c>
      <c r="U27" s="1504">
        <f>H27</f>
        <v>100</v>
      </c>
      <c r="V27" s="1503" t="s">
        <v>8</v>
      </c>
      <c r="W27" s="1504">
        <f>J27</f>
        <v>100</v>
      </c>
      <c r="X27" s="1505"/>
      <c r="Y27" s="3511"/>
      <c r="Z27" s="1133">
        <f>Q27</f>
        <v>111</v>
      </c>
      <c r="AA27" s="1511">
        <f>D27/F27</f>
        <v>1</v>
      </c>
      <c r="AB27" s="1511">
        <f>D27/H27</f>
        <v>1</v>
      </c>
      <c r="AC27" s="1511">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511"/>
      <c r="Q28" s="1507">
        <f t="shared" si="11"/>
        <v>111</v>
      </c>
      <c r="R28" s="1508" t="s">
        <v>8</v>
      </c>
      <c r="S28" s="1509">
        <f t="shared" ref="S28:S40" si="12">F28</f>
        <v>100</v>
      </c>
      <c r="T28" s="1508" t="s">
        <v>8</v>
      </c>
      <c r="U28" s="1509">
        <f t="shared" ref="U28:U40" si="13">H28</f>
        <v>100</v>
      </c>
      <c r="V28" s="1508" t="s">
        <v>8</v>
      </c>
      <c r="W28" s="1509">
        <f t="shared" ref="W28:W40" si="14">J28</f>
        <v>100</v>
      </c>
      <c r="X28" s="1502"/>
      <c r="Y28" s="3511"/>
      <c r="Z28" s="1510">
        <f t="shared" ref="Z28:Z40" si="15">Q28</f>
        <v>111</v>
      </c>
      <c r="AA28" s="1511">
        <f t="shared" si="3"/>
        <v>1</v>
      </c>
      <c r="AB28" s="1511">
        <f t="shared" si="4"/>
        <v>1</v>
      </c>
      <c r="AC28" s="1511">
        <f t="shared" si="5"/>
        <v>1</v>
      </c>
    </row>
    <row r="29" spans="1:29" ht="15">
      <c r="A29" s="2625" t="s">
        <v>2735</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512" t="s">
        <v>544</v>
      </c>
      <c r="Q29" s="1507" t="str">
        <f t="shared" si="11"/>
        <v>建筑类型</v>
      </c>
      <c r="R29" s="1508" t="s">
        <v>8</v>
      </c>
      <c r="S29" s="1509">
        <f t="shared" si="12"/>
        <v>100</v>
      </c>
      <c r="T29" s="1508" t="s">
        <v>8</v>
      </c>
      <c r="U29" s="1509">
        <f t="shared" si="13"/>
        <v>100</v>
      </c>
      <c r="V29" s="1508" t="s">
        <v>8</v>
      </c>
      <c r="W29" s="1509">
        <f t="shared" si="14"/>
        <v>100</v>
      </c>
      <c r="X29" s="1502"/>
      <c r="Y29" s="3513"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513"/>
      <c r="Q30" s="1536" t="str">
        <f t="shared" si="11"/>
        <v>项目建筑规模</v>
      </c>
      <c r="R30" s="1512" t="s">
        <v>8</v>
      </c>
      <c r="S30" s="1513" t="e">
        <f t="shared" si="12"/>
        <v>#N/A</v>
      </c>
      <c r="T30" s="1512" t="s">
        <v>8</v>
      </c>
      <c r="U30" s="1513" t="e">
        <f t="shared" si="13"/>
        <v>#N/A</v>
      </c>
      <c r="V30" s="1512" t="s">
        <v>8</v>
      </c>
      <c r="W30" s="1513" t="e">
        <f t="shared" si="14"/>
        <v>#N/A</v>
      </c>
      <c r="X30" s="1514"/>
      <c r="Y30" s="3513"/>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513"/>
      <c r="Q31" s="1507" t="str">
        <f t="shared" si="11"/>
        <v>建筑结构</v>
      </c>
      <c r="R31" s="1508" t="s">
        <v>8</v>
      </c>
      <c r="S31" s="1509">
        <f t="shared" si="12"/>
        <v>100</v>
      </c>
      <c r="T31" s="1508" t="s">
        <v>8</v>
      </c>
      <c r="U31" s="1509">
        <f t="shared" si="13"/>
        <v>100</v>
      </c>
      <c r="V31" s="1508" t="s">
        <v>8</v>
      </c>
      <c r="W31" s="1509">
        <f t="shared" si="14"/>
        <v>100</v>
      </c>
      <c r="X31" s="1502"/>
      <c r="Y31" s="3513"/>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513"/>
      <c r="Q32" s="1507" t="str">
        <f t="shared" si="11"/>
        <v>公共部分装修</v>
      </c>
      <c r="R32" s="1508" t="s">
        <v>8</v>
      </c>
      <c r="S32" s="1509">
        <f t="shared" si="12"/>
        <v>100</v>
      </c>
      <c r="T32" s="1508" t="s">
        <v>8</v>
      </c>
      <c r="U32" s="1509">
        <f t="shared" si="13"/>
        <v>100</v>
      </c>
      <c r="V32" s="1508" t="s">
        <v>8</v>
      </c>
      <c r="W32" s="1509">
        <f t="shared" si="14"/>
        <v>100</v>
      </c>
      <c r="X32" s="1502"/>
      <c r="Y32" s="3513"/>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513"/>
      <c r="Q33" s="1507" t="str">
        <f t="shared" si="11"/>
        <v>成新度</v>
      </c>
      <c r="R33" s="1508" t="s">
        <v>8</v>
      </c>
      <c r="S33" s="1509" t="e">
        <f t="shared" si="12"/>
        <v>#N/A</v>
      </c>
      <c r="T33" s="1508" t="s">
        <v>8</v>
      </c>
      <c r="U33" s="1509" t="e">
        <f t="shared" si="13"/>
        <v>#N/A</v>
      </c>
      <c r="V33" s="1508" t="s">
        <v>8</v>
      </c>
      <c r="W33" s="1509" t="e">
        <f t="shared" si="14"/>
        <v>#N/A</v>
      </c>
      <c r="X33" s="1502"/>
      <c r="Y33" s="3513"/>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513"/>
      <c r="Q34" s="1134" t="str">
        <f t="shared" si="11"/>
        <v>物业管理</v>
      </c>
      <c r="R34" s="1503" t="s">
        <v>8</v>
      </c>
      <c r="S34" s="1504">
        <f t="shared" si="12"/>
        <v>100</v>
      </c>
      <c r="T34" s="1503" t="s">
        <v>8</v>
      </c>
      <c r="U34" s="1504">
        <f t="shared" si="13"/>
        <v>100</v>
      </c>
      <c r="V34" s="1503" t="s">
        <v>8</v>
      </c>
      <c r="W34" s="1504">
        <f t="shared" si="14"/>
        <v>100</v>
      </c>
      <c r="X34" s="1505"/>
      <c r="Y34" s="3513"/>
      <c r="Z34" s="1133" t="str">
        <f t="shared" si="15"/>
        <v>物业管理</v>
      </c>
      <c r="AA34" s="1506">
        <f t="shared" si="3"/>
        <v>1</v>
      </c>
      <c r="AB34" s="1506">
        <f t="shared" si="4"/>
        <v>1</v>
      </c>
      <c r="AC34" s="1506">
        <f t="shared" si="5"/>
        <v>1</v>
      </c>
    </row>
    <row r="35" spans="1:29" ht="15">
      <c r="A35" s="588"/>
      <c r="B35" s="1810"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513" t="s">
        <v>544</v>
      </c>
      <c r="Q35" s="1507" t="str">
        <f t="shared" si="11"/>
        <v>市政基础设施</v>
      </c>
      <c r="R35" s="1508" t="s">
        <v>8</v>
      </c>
      <c r="S35" s="1509">
        <f t="shared" si="12"/>
        <v>100</v>
      </c>
      <c r="T35" s="1508" t="s">
        <v>8</v>
      </c>
      <c r="U35" s="1509">
        <f t="shared" si="13"/>
        <v>100</v>
      </c>
      <c r="V35" s="1508" t="s">
        <v>8</v>
      </c>
      <c r="W35" s="1509">
        <f t="shared" si="14"/>
        <v>100</v>
      </c>
      <c r="X35" s="1502"/>
      <c r="Y35" s="3513"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513"/>
      <c r="Q36" s="1507" t="str">
        <f t="shared" si="11"/>
        <v>内部装修</v>
      </c>
      <c r="R36" s="1508" t="s">
        <v>8</v>
      </c>
      <c r="S36" s="1509">
        <f t="shared" si="12"/>
        <v>100</v>
      </c>
      <c r="T36" s="1508" t="s">
        <v>8</v>
      </c>
      <c r="U36" s="1509">
        <f t="shared" si="13"/>
        <v>100</v>
      </c>
      <c r="V36" s="1508" t="s">
        <v>8</v>
      </c>
      <c r="W36" s="1509">
        <f t="shared" si="14"/>
        <v>100</v>
      </c>
      <c r="X36" s="1502"/>
      <c r="Y36" s="3513"/>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513"/>
      <c r="Q37" s="1507" t="str">
        <f t="shared" si="11"/>
        <v>内部装修状况</v>
      </c>
      <c r="R37" s="1508" t="s">
        <v>8</v>
      </c>
      <c r="S37" s="1509">
        <f t="shared" si="12"/>
        <v>100</v>
      </c>
      <c r="T37" s="1508" t="s">
        <v>8</v>
      </c>
      <c r="U37" s="1509">
        <f t="shared" si="13"/>
        <v>100</v>
      </c>
      <c r="V37" s="1508" t="s">
        <v>8</v>
      </c>
      <c r="W37" s="1509">
        <f t="shared" si="14"/>
        <v>100</v>
      </c>
      <c r="X37" s="1502"/>
      <c r="Y37" s="3513"/>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513"/>
      <c r="Q38" s="1536">
        <f t="shared" si="11"/>
        <v>111</v>
      </c>
      <c r="R38" s="1512" t="s">
        <v>8</v>
      </c>
      <c r="S38" s="1513">
        <f t="shared" si="12"/>
        <v>100</v>
      </c>
      <c r="T38" s="1512" t="s">
        <v>8</v>
      </c>
      <c r="U38" s="1513">
        <f t="shared" si="13"/>
        <v>100</v>
      </c>
      <c r="V38" s="1512" t="s">
        <v>8</v>
      </c>
      <c r="W38" s="1513">
        <f t="shared" si="14"/>
        <v>100</v>
      </c>
      <c r="X38" s="1514"/>
      <c r="Y38" s="3513"/>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513"/>
      <c r="Q39" s="1507">
        <f t="shared" si="11"/>
        <v>111</v>
      </c>
      <c r="R39" s="1508" t="s">
        <v>8</v>
      </c>
      <c r="S39" s="1509">
        <f t="shared" si="12"/>
        <v>100</v>
      </c>
      <c r="T39" s="1508" t="s">
        <v>8</v>
      </c>
      <c r="U39" s="1509">
        <f t="shared" si="13"/>
        <v>100</v>
      </c>
      <c r="V39" s="1508" t="s">
        <v>8</v>
      </c>
      <c r="W39" s="1509">
        <f t="shared" si="14"/>
        <v>100</v>
      </c>
      <c r="X39" s="1502"/>
      <c r="Y39" s="3513"/>
      <c r="Z39" s="1510">
        <f t="shared" si="15"/>
        <v>111</v>
      </c>
      <c r="AA39" s="1511">
        <f t="shared" si="3"/>
        <v>1</v>
      </c>
      <c r="AB39" s="1511">
        <f t="shared" si="4"/>
        <v>1</v>
      </c>
      <c r="AC39" s="1511">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595"/>
      <c r="Q40" s="1507">
        <f t="shared" si="11"/>
        <v>111</v>
      </c>
      <c r="R40" s="1508" t="s">
        <v>8</v>
      </c>
      <c r="S40" s="1509">
        <f t="shared" si="12"/>
        <v>100</v>
      </c>
      <c r="T40" s="1508" t="s">
        <v>8</v>
      </c>
      <c r="U40" s="1509">
        <f t="shared" si="13"/>
        <v>100</v>
      </c>
      <c r="V40" s="1508" t="s">
        <v>8</v>
      </c>
      <c r="W40" s="1509">
        <f t="shared" si="14"/>
        <v>100</v>
      </c>
      <c r="X40" s="1502"/>
      <c r="Y40" s="3595"/>
      <c r="Z40" s="1510">
        <f t="shared" si="15"/>
        <v>111</v>
      </c>
      <c r="AA40" s="1511">
        <f t="shared" si="3"/>
        <v>1</v>
      </c>
      <c r="AB40" s="1511">
        <f t="shared" si="4"/>
        <v>1</v>
      </c>
      <c r="AC40" s="1511">
        <f t="shared" si="5"/>
        <v>1</v>
      </c>
    </row>
    <row r="41" spans="1:29" ht="15">
      <c r="A41" s="601" t="s">
        <v>730</v>
      </c>
      <c r="B41" s="876"/>
      <c r="C41" s="2471" t="s">
        <v>1</v>
      </c>
      <c r="D41" s="2472"/>
      <c r="E41" s="2473"/>
      <c r="F41" s="2474"/>
      <c r="G41" s="2475"/>
      <c r="H41" s="2476"/>
      <c r="I41" s="2473"/>
      <c r="J41" s="2476"/>
      <c r="K41" s="1541"/>
      <c r="L41" s="2027"/>
      <c r="M41" s="2028"/>
      <c r="N41" s="2017"/>
      <c r="O41" s="2028"/>
      <c r="P41" s="3508" t="str">
        <f>A41</f>
        <v>成交单价（元/平方米）</v>
      </c>
      <c r="Q41" s="3508"/>
      <c r="R41" s="3594">
        <f>E41</f>
        <v>0</v>
      </c>
      <c r="S41" s="3594"/>
      <c r="T41" s="3594">
        <f>G41</f>
        <v>0</v>
      </c>
      <c r="U41" s="3594"/>
      <c r="V41" s="3594">
        <f>I41</f>
        <v>0</v>
      </c>
      <c r="W41" s="3594"/>
      <c r="X41" s="1497"/>
      <c r="Y41" s="1516"/>
      <c r="Z41" s="1497"/>
      <c r="AA41" s="1497"/>
      <c r="AB41" s="1497"/>
      <c r="AC41" s="1497"/>
    </row>
    <row r="42" spans="1:29" ht="15.75" thickBot="1">
      <c r="A42" s="609" t="s">
        <v>2740</v>
      </c>
      <c r="B42" s="877"/>
      <c r="C42" s="2477" t="e">
        <f>R43</f>
        <v>#DIV/0!</v>
      </c>
      <c r="D42" s="3014" t="s">
        <v>2960</v>
      </c>
      <c r="E42" s="2478" t="e">
        <f>R42</f>
        <v>#DIV/0!</v>
      </c>
      <c r="F42" s="3015"/>
      <c r="G42" s="2477" t="e">
        <f>T42</f>
        <v>#DIV/0!</v>
      </c>
      <c r="H42" s="3015"/>
      <c r="I42" s="2478" t="e">
        <f>V42</f>
        <v>#DIV/0!</v>
      </c>
      <c r="J42" s="3015"/>
      <c r="K42" s="3023">
        <f>F42+H42+J42</f>
        <v>0</v>
      </c>
      <c r="L42" s="2027"/>
      <c r="M42" s="2028"/>
      <c r="N42" s="2017"/>
      <c r="O42" s="2028"/>
      <c r="P42" s="3508" t="str">
        <f>A42</f>
        <v>比较价格（元/平方米）</v>
      </c>
      <c r="Q42" s="3508"/>
      <c r="R42" s="3594" t="e">
        <f>IF(F1="售价",ROUND(PRODUCT(R41,AA7:AA40),0),ROUND(PRODUCT(R41,AA7:AA40),1))</f>
        <v>#DIV/0!</v>
      </c>
      <c r="S42" s="3594"/>
      <c r="T42" s="3594" t="e">
        <f>IF(F1="售价",ROUND(PRODUCT(T41,AB7:AB40),0),ROUND(PRODUCT(T41,AB7:AB40),1))</f>
        <v>#DIV/0!</v>
      </c>
      <c r="U42" s="3594"/>
      <c r="V42" s="3594" t="e">
        <f>IF(F1="售价",ROUND(PRODUCT(V41,AC7:AC40),0),ROUND(PRODUCT(V41,AC7:AC40),1))</f>
        <v>#DIV/0!</v>
      </c>
      <c r="W42" s="3594"/>
      <c r="X42" s="1497"/>
      <c r="Y42" s="1497"/>
      <c r="Z42" s="1497"/>
      <c r="AA42" s="1497"/>
      <c r="AB42" s="1497"/>
      <c r="AC42" s="1497"/>
    </row>
    <row r="43" spans="1:29" ht="15.75" thickBot="1">
      <c r="A43" s="613" t="s">
        <v>2893</v>
      </c>
      <c r="B43" s="614"/>
      <c r="C43" s="2479" t="e">
        <f>R43</f>
        <v>#DIV/0!</v>
      </c>
      <c r="D43" s="2479"/>
      <c r="E43" s="2479"/>
      <c r="F43" s="2479"/>
      <c r="G43" s="2479"/>
      <c r="H43" s="2479"/>
      <c r="I43" s="2479"/>
      <c r="J43" s="2479"/>
      <c r="K43" s="1542"/>
      <c r="L43" s="2027"/>
      <c r="M43" s="2028"/>
      <c r="N43" s="2028"/>
      <c r="O43" s="2028"/>
      <c r="P43" s="3530" t="str">
        <f>A43</f>
        <v>估价对象XX用房的比较价格（楼面单价，元/平方米）</v>
      </c>
      <c r="Q43" s="3531"/>
      <c r="R43" s="3593" t="e">
        <f>IF(F1="售价",ROUND(IF(D42="简单平均",AVERAGE(R42:V42),R42*F42+T42*H42+V42*J42),0),ROUND(IF(D42="简单平均",AVERAGE(R42:V42),R42*F42+T42*H42+V42*J42),1))</f>
        <v>#DIV/0!</v>
      </c>
      <c r="S43" s="3593"/>
      <c r="T43" s="3593"/>
      <c r="U43" s="3593"/>
      <c r="V43" s="3593"/>
      <c r="W43" s="3593"/>
      <c r="X43" s="1497"/>
      <c r="Y43" s="1497"/>
      <c r="Z43" s="1497"/>
      <c r="AA43" s="1497"/>
      <c r="AB43" s="1497"/>
      <c r="AC43" s="1497"/>
    </row>
    <row r="44" spans="1:29">
      <c r="A44" s="3214"/>
      <c r="B44" s="3214"/>
      <c r="C44" s="3214"/>
      <c r="D44" s="3214"/>
      <c r="E44" s="3214"/>
      <c r="F44" s="3214"/>
      <c r="G44" s="3216"/>
      <c r="H44" s="3214"/>
      <c r="I44" s="3214"/>
      <c r="J44" s="3214"/>
      <c r="K44" s="3217"/>
      <c r="L44" s="2032"/>
      <c r="M44" s="2028"/>
      <c r="N44" s="2028"/>
      <c r="O44" s="2028"/>
      <c r="P44" s="2028"/>
      <c r="Q44" s="2028"/>
      <c r="R44" s="2028"/>
      <c r="S44" s="2028"/>
      <c r="T44" s="2028"/>
      <c r="U44" s="2028"/>
      <c r="V44" s="2028"/>
      <c r="W44" s="2028"/>
      <c r="X44" s="2028"/>
      <c r="Y44" s="2028"/>
      <c r="Z44" s="2028"/>
      <c r="AA44" s="2028"/>
      <c r="AB44" s="2028"/>
      <c r="AC44" s="2028"/>
    </row>
    <row r="45" spans="1:29">
      <c r="A45" s="3214"/>
      <c r="B45" s="3214"/>
      <c r="C45" s="3214"/>
      <c r="D45" s="3214"/>
      <c r="E45" s="3214"/>
      <c r="F45" s="3214"/>
      <c r="G45" s="3214"/>
      <c r="H45" s="3214"/>
      <c r="I45" s="3214"/>
      <c r="J45" s="3214"/>
      <c r="K45" s="3217"/>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1.75"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5">
      <c r="A52" s="637" t="s">
        <v>523</v>
      </c>
      <c r="B52" s="638"/>
      <c r="C52" s="2520" t="str">
        <f>YEAR(C7)&amp;"-"&amp;MONTH(C7)</f>
        <v>2021-5</v>
      </c>
      <c r="D52" s="2522">
        <f>EDATE(C52,-1)</f>
        <v>44287</v>
      </c>
      <c r="E52" s="2522">
        <f t="shared" ref="E52:O52" si="16">EDATE(D52,-1)</f>
        <v>44256</v>
      </c>
      <c r="F52" s="2522">
        <f t="shared" si="16"/>
        <v>44228</v>
      </c>
      <c r="G52" s="2522">
        <f t="shared" si="16"/>
        <v>44197</v>
      </c>
      <c r="H52" s="2522">
        <f t="shared" si="16"/>
        <v>44166</v>
      </c>
      <c r="I52" s="2522">
        <f t="shared" si="16"/>
        <v>44136</v>
      </c>
      <c r="J52" s="2522">
        <f t="shared" si="16"/>
        <v>44105</v>
      </c>
      <c r="K52" s="2522">
        <f t="shared" si="16"/>
        <v>44075</v>
      </c>
      <c r="L52" s="2522">
        <f t="shared" si="16"/>
        <v>44044</v>
      </c>
      <c r="M52" s="2522">
        <f t="shared" si="16"/>
        <v>44013</v>
      </c>
      <c r="N52" s="2522">
        <f t="shared" si="16"/>
        <v>43983</v>
      </c>
      <c r="O52" s="2522">
        <f t="shared" si="16"/>
        <v>43952</v>
      </c>
      <c r="P52" s="2042"/>
      <c r="Q52" s="2043"/>
      <c r="R52" s="2043"/>
      <c r="S52" s="2043"/>
      <c r="T52" s="2043"/>
      <c r="U52" s="2043"/>
      <c r="V52" s="2043"/>
      <c r="W52" s="2043"/>
      <c r="X52" s="2043"/>
      <c r="Y52" s="2043"/>
      <c r="Z52" s="2043"/>
      <c r="AA52" s="2043"/>
      <c r="AB52" s="2043"/>
      <c r="AC52" s="2043"/>
    </row>
    <row r="53" spans="1:29" s="1203" customFormat="1" ht="15">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7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5">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5.75"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ht="15">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5.75"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5.75"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5.75"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5.75"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5.75"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5.75"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7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75" thickTop="1">
      <c r="A74" s="661"/>
      <c r="B74" s="1811" t="s">
        <v>2538</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75" thickTop="1">
      <c r="A76" s="661"/>
      <c r="B76" s="2442" t="s">
        <v>2539</v>
      </c>
      <c r="C76" s="2443" t="s">
        <v>2540</v>
      </c>
      <c r="D76" s="2443" t="s">
        <v>2541</v>
      </c>
      <c r="E76" s="2443" t="s">
        <v>2542</v>
      </c>
      <c r="F76" s="2443" t="s">
        <v>2543</v>
      </c>
      <c r="G76" s="2443" t="s">
        <v>2544</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7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5.75"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5.75"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5.75"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5.75"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5.75"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5.75"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5.75"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5.75"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2537</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5"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5.75"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5"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5.75"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5"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5.75"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IF(B37="元/平方米",C39,ROUND(B2*10000/D3,0))</f>
        <v>#DIV/0!</v>
      </c>
      <c r="C3" s="841" t="s">
        <v>790</v>
      </c>
      <c r="D3" s="840">
        <f>SUMIF('数据-汇总表'!$C19:$C33,D1,'数据-汇总表'!$E19:$E33)</f>
        <v>0</v>
      </c>
      <c r="E3" s="1763" t="s">
        <v>2065</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14" t="s">
        <v>792</v>
      </c>
      <c r="D4" s="3515"/>
      <c r="E4" s="3514" t="s">
        <v>793</v>
      </c>
      <c r="F4" s="3515"/>
      <c r="G4" s="3514" t="s">
        <v>794</v>
      </c>
      <c r="H4" s="3515"/>
      <c r="I4" s="3514" t="s">
        <v>795</v>
      </c>
      <c r="J4" s="3515"/>
      <c r="K4" s="508" t="s">
        <v>796</v>
      </c>
      <c r="L4" s="2016"/>
      <c r="M4" s="2017"/>
      <c r="N4" s="2017"/>
      <c r="O4" s="2017"/>
      <c r="P4" s="3516" t="s">
        <v>797</v>
      </c>
      <c r="Q4" s="3517"/>
      <c r="R4" s="3502" t="s">
        <v>793</v>
      </c>
      <c r="S4" s="3503"/>
      <c r="T4" s="3502" t="s">
        <v>794</v>
      </c>
      <c r="U4" s="3503"/>
      <c r="V4" s="3522" t="s">
        <v>795</v>
      </c>
      <c r="W4" s="3522"/>
      <c r="X4" s="1502"/>
      <c r="Y4" s="3502" t="s">
        <v>797</v>
      </c>
      <c r="Z4" s="3503"/>
      <c r="AA4" s="3497" t="s">
        <v>793</v>
      </c>
      <c r="AB4" s="3498" t="s">
        <v>794</v>
      </c>
      <c r="AC4" s="3497" t="s">
        <v>795</v>
      </c>
    </row>
    <row r="5" spans="1:29" ht="15">
      <c r="A5" s="509"/>
      <c r="B5" s="510"/>
      <c r="C5" s="3527" t="s">
        <v>2887</v>
      </c>
      <c r="D5" s="3526"/>
      <c r="E5" s="3527" t="s">
        <v>2888</v>
      </c>
      <c r="F5" s="3526"/>
      <c r="G5" s="3527" t="s">
        <v>2889</v>
      </c>
      <c r="H5" s="3526"/>
      <c r="I5" s="3527" t="s">
        <v>2890</v>
      </c>
      <c r="J5" s="3526"/>
      <c r="K5" s="508"/>
      <c r="L5" s="2016"/>
      <c r="M5" s="2017"/>
      <c r="N5" s="2017"/>
      <c r="O5" s="2017"/>
      <c r="P5" s="3518"/>
      <c r="Q5" s="3519"/>
      <c r="R5" s="3504"/>
      <c r="S5" s="3505"/>
      <c r="T5" s="3504"/>
      <c r="U5" s="3505"/>
      <c r="V5" s="3522"/>
      <c r="W5" s="3522"/>
      <c r="X5" s="1502"/>
      <c r="Y5" s="3504"/>
      <c r="Z5" s="3505"/>
      <c r="AA5" s="3498"/>
      <c r="AB5" s="3498"/>
      <c r="AC5" s="3498"/>
    </row>
    <row r="6" spans="1:29" ht="15.75" thickBot="1">
      <c r="A6" s="511"/>
      <c r="B6" s="512"/>
      <c r="C6" s="3544" t="s">
        <v>2891</v>
      </c>
      <c r="D6" s="3524"/>
      <c r="E6" s="3600" t="s">
        <v>2891</v>
      </c>
      <c r="F6" s="3529"/>
      <c r="G6" s="3544" t="s">
        <v>2891</v>
      </c>
      <c r="H6" s="3524"/>
      <c r="I6" s="3544" t="s">
        <v>2891</v>
      </c>
      <c r="J6" s="3524"/>
      <c r="K6" s="508" t="s">
        <v>522</v>
      </c>
      <c r="L6" s="2016"/>
      <c r="M6" s="2017"/>
      <c r="N6" s="2017"/>
      <c r="O6" s="2017"/>
      <c r="P6" s="3520"/>
      <c r="Q6" s="3521"/>
      <c r="R6" s="3504"/>
      <c r="S6" s="3505"/>
      <c r="T6" s="3506"/>
      <c r="U6" s="3507"/>
      <c r="V6" s="3522"/>
      <c r="W6" s="3522"/>
      <c r="X6" s="1502"/>
      <c r="Y6" s="3506"/>
      <c r="Z6" s="3507"/>
      <c r="AA6" s="3499"/>
      <c r="AB6" s="3499"/>
      <c r="AC6" s="3499"/>
    </row>
    <row r="7" spans="1:29" s="1203" customFormat="1" ht="15.75" thickBot="1">
      <c r="A7" s="2630"/>
      <c r="B7" s="2637" t="s">
        <v>523</v>
      </c>
      <c r="C7" s="513">
        <f>'数据-取费表'!B2</f>
        <v>44329</v>
      </c>
      <c r="D7" s="514">
        <v>100</v>
      </c>
      <c r="E7" s="515"/>
      <c r="F7" s="516">
        <f>SUMIF(48:48,YEAR(E7)&amp;"-"&amp;MONTH(E7),49:49)</f>
        <v>0</v>
      </c>
      <c r="G7" s="517"/>
      <c r="H7" s="514">
        <f>SUMIF(48:48,YEAR(G7)&amp;"-"&amp;MONTH(G7),49:49)</f>
        <v>0</v>
      </c>
      <c r="I7" s="517"/>
      <c r="J7" s="514">
        <f>SUMIF(48:48,YEAR(I7)&amp;"-"&amp;MONTH(I7),49:49)</f>
        <v>0</v>
      </c>
      <c r="K7" s="518"/>
      <c r="L7" s="2018"/>
      <c r="M7" s="2019"/>
      <c r="N7" s="2019"/>
      <c r="O7" s="2019"/>
      <c r="P7" s="3500" t="s">
        <v>524</v>
      </c>
      <c r="Q7" s="3509"/>
      <c r="R7" s="1503" t="s">
        <v>8</v>
      </c>
      <c r="S7" s="1504">
        <f t="shared" ref="S7:S14" si="0">F7</f>
        <v>0</v>
      </c>
      <c r="T7" s="1503" t="s">
        <v>8</v>
      </c>
      <c r="U7" s="1504">
        <f t="shared" ref="U7:U14" si="1">H7</f>
        <v>0</v>
      </c>
      <c r="V7" s="1503" t="s">
        <v>8</v>
      </c>
      <c r="W7" s="1504">
        <f t="shared" ref="W7:W14"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500" t="s">
        <v>527</v>
      </c>
      <c r="Q8" s="3501"/>
      <c r="R8" s="1503" t="s">
        <v>8</v>
      </c>
      <c r="S8" s="1504">
        <f t="shared" si="0"/>
        <v>0</v>
      </c>
      <c r="T8" s="1503" t="s">
        <v>8</v>
      </c>
      <c r="U8" s="1504">
        <f t="shared" si="1"/>
        <v>0</v>
      </c>
      <c r="V8" s="1503" t="s">
        <v>8</v>
      </c>
      <c r="W8" s="1504">
        <f t="shared" si="2"/>
        <v>0</v>
      </c>
      <c r="X8" s="1505"/>
      <c r="Y8" s="3500" t="s">
        <v>527</v>
      </c>
      <c r="Z8" s="3501"/>
      <c r="AA8" s="1506" t="e">
        <f t="shared" ref="AA8:AA36" si="3">D8/F8</f>
        <v>#DIV/0!</v>
      </c>
      <c r="AB8" s="1506" t="e">
        <f t="shared" ref="AB8:AB36" si="4">D8/H8</f>
        <v>#DIV/0!</v>
      </c>
      <c r="AC8" s="1506" t="e">
        <f t="shared" ref="AC8:AC36" si="5">D8/J8</f>
        <v>#DIV/0!</v>
      </c>
    </row>
    <row r="9" spans="1:29" s="1203" customFormat="1" ht="15">
      <c r="A9" s="2632"/>
      <c r="B9" s="2639" t="s">
        <v>2736</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508" t="s">
        <v>529</v>
      </c>
      <c r="Q9" s="1134" t="str">
        <f t="shared" ref="Q9:Q14" si="6">B9</f>
        <v>用途</v>
      </c>
      <c r="R9" s="1503" t="s">
        <v>8</v>
      </c>
      <c r="S9" s="1504">
        <f t="shared" si="0"/>
        <v>100</v>
      </c>
      <c r="T9" s="1503" t="s">
        <v>8</v>
      </c>
      <c r="U9" s="1504">
        <f t="shared" si="1"/>
        <v>100</v>
      </c>
      <c r="V9" s="1503" t="s">
        <v>8</v>
      </c>
      <c r="W9" s="1504">
        <f t="shared" si="2"/>
        <v>100</v>
      </c>
      <c r="X9" s="1505"/>
      <c r="Y9" s="3438"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508"/>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508"/>
      <c r="Q11" s="1134">
        <f t="shared" si="6"/>
        <v>111</v>
      </c>
      <c r="R11" s="1503" t="s">
        <v>8</v>
      </c>
      <c r="S11" s="1504">
        <f t="shared" si="0"/>
        <v>100</v>
      </c>
      <c r="T11" s="1503" t="s">
        <v>8</v>
      </c>
      <c r="U11" s="1504">
        <f t="shared" si="1"/>
        <v>100</v>
      </c>
      <c r="V11" s="1503" t="s">
        <v>8</v>
      </c>
      <c r="W11" s="1504">
        <f t="shared" si="2"/>
        <v>100</v>
      </c>
      <c r="X11" s="1505"/>
      <c r="Y11" s="3438"/>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508"/>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5.75"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508"/>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15">
      <c r="A14" s="2628" t="s">
        <v>2734</v>
      </c>
      <c r="B14" s="541" t="s">
        <v>537</v>
      </c>
      <c r="C14" s="910">
        <f>IF(B1="工业",估价对象房地状况!G4,估价对象房地状况!C6)</f>
        <v>0</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510" t="s">
        <v>534</v>
      </c>
      <c r="Q14" s="1507" t="str">
        <f t="shared" si="6"/>
        <v>交通便捷度</v>
      </c>
      <c r="R14" s="1508" t="s">
        <v>8</v>
      </c>
      <c r="S14" s="1509">
        <f t="shared" si="0"/>
        <v>100</v>
      </c>
      <c r="T14" s="1508" t="s">
        <v>8</v>
      </c>
      <c r="U14" s="1509">
        <f t="shared" si="1"/>
        <v>100</v>
      </c>
      <c r="V14" s="1508" t="s">
        <v>8</v>
      </c>
      <c r="W14" s="1509">
        <f t="shared" si="2"/>
        <v>100</v>
      </c>
      <c r="X14" s="1502"/>
      <c r="Y14" s="3510"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511"/>
      <c r="Q15" s="1507"/>
      <c r="R15" s="1508"/>
      <c r="S15" s="1509"/>
      <c r="T15" s="1508"/>
      <c r="U15" s="1509"/>
      <c r="V15" s="1508"/>
      <c r="W15" s="1509"/>
      <c r="X15" s="1502"/>
      <c r="Y15" s="3511"/>
      <c r="Z15" s="1510"/>
      <c r="AA15" s="1511">
        <v>1</v>
      </c>
      <c r="AB15" s="1511">
        <v>1</v>
      </c>
      <c r="AC15" s="1511">
        <v>1</v>
      </c>
    </row>
    <row r="16" spans="1:29" ht="15">
      <c r="A16" s="509"/>
      <c r="B16" s="2448" t="s">
        <v>2527</v>
      </c>
      <c r="C16" s="861">
        <f>IF(B1="工业",估价对象房地状况!G5,估价对象房地状况!C7)</f>
        <v>0</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511"/>
      <c r="Q16" s="1507" t="str">
        <f>B16</f>
        <v>公共配套设施</v>
      </c>
      <c r="R16" s="1508" t="s">
        <v>8</v>
      </c>
      <c r="S16" s="1509">
        <f>F16</f>
        <v>100</v>
      </c>
      <c r="T16" s="1508" t="s">
        <v>8</v>
      </c>
      <c r="U16" s="1509">
        <f>H16</f>
        <v>100</v>
      </c>
      <c r="V16" s="1508" t="s">
        <v>8</v>
      </c>
      <c r="W16" s="1509">
        <f>J16</f>
        <v>100</v>
      </c>
      <c r="X16" s="1502"/>
      <c r="Y16" s="3511"/>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511"/>
      <c r="Q17" s="1507"/>
      <c r="R17" s="1508"/>
      <c r="S17" s="1509"/>
      <c r="T17" s="1508"/>
      <c r="U17" s="1509"/>
      <c r="V17" s="1508"/>
      <c r="W17" s="1509"/>
      <c r="X17" s="1502"/>
      <c r="Y17" s="3511"/>
      <c r="Z17" s="1510"/>
      <c r="AA17" s="1511">
        <v>1</v>
      </c>
      <c r="AB17" s="1511">
        <v>1</v>
      </c>
      <c r="AC17" s="1511">
        <v>1</v>
      </c>
    </row>
    <row r="18" spans="1:29" ht="15">
      <c r="A18" s="509"/>
      <c r="B18" s="2436" t="s">
        <v>2539</v>
      </c>
      <c r="C18" s="861">
        <f>IF(B1="工业",估价对象房地状况!G6,估价对象房地状况!C8)</f>
        <v>0</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511"/>
      <c r="Q18" s="2430" t="str">
        <f>B18</f>
        <v>基础设施水平</v>
      </c>
      <c r="R18" s="1508" t="s">
        <v>8</v>
      </c>
      <c r="S18" s="1509">
        <f>F18</f>
        <v>100</v>
      </c>
      <c r="T18" s="1508" t="s">
        <v>8</v>
      </c>
      <c r="U18" s="1509">
        <f>H18</f>
        <v>100</v>
      </c>
      <c r="V18" s="1508" t="s">
        <v>8</v>
      </c>
      <c r="W18" s="1509">
        <f>J18</f>
        <v>100</v>
      </c>
      <c r="X18" s="2432"/>
      <c r="Y18" s="3511"/>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511"/>
      <c r="Q19" s="2430"/>
      <c r="R19" s="1508"/>
      <c r="S19" s="1509"/>
      <c r="T19" s="1508"/>
      <c r="U19" s="1509"/>
      <c r="V19" s="1508"/>
      <c r="W19" s="1509"/>
      <c r="X19" s="2432"/>
      <c r="Y19" s="3511"/>
      <c r="Z19" s="2431"/>
      <c r="AA19" s="1511">
        <v>1</v>
      </c>
      <c r="AB19" s="1511">
        <v>1</v>
      </c>
      <c r="AC19" s="1511">
        <v>1</v>
      </c>
    </row>
    <row r="20" spans="1:29" ht="15">
      <c r="A20" s="509"/>
      <c r="B20" s="554" t="s">
        <v>798</v>
      </c>
      <c r="C20" s="861">
        <f>IF(B1="工业",估价对象房地状况!G7,估价对象房地状况!C9)</f>
        <v>0</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511"/>
      <c r="Q20" s="1507" t="str">
        <f>B20</f>
        <v>自然及人文环境</v>
      </c>
      <c r="R20" s="1508" t="s">
        <v>8</v>
      </c>
      <c r="S20" s="1509">
        <f>F20</f>
        <v>100</v>
      </c>
      <c r="T20" s="1508" t="s">
        <v>8</v>
      </c>
      <c r="U20" s="1509">
        <f>H20</f>
        <v>100</v>
      </c>
      <c r="V20" s="1508" t="s">
        <v>8</v>
      </c>
      <c r="W20" s="1509">
        <f>J20</f>
        <v>100</v>
      </c>
      <c r="X20" s="1502"/>
      <c r="Y20" s="3511"/>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511"/>
      <c r="Q21" s="1507"/>
      <c r="R21" s="1508"/>
      <c r="S21" s="1509"/>
      <c r="T21" s="1508"/>
      <c r="U21" s="1509"/>
      <c r="V21" s="1508"/>
      <c r="W21" s="1509"/>
      <c r="X21" s="1502"/>
      <c r="Y21" s="3511"/>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511"/>
      <c r="Q22" s="1507" t="str">
        <f>B22</f>
        <v>楼层</v>
      </c>
      <c r="R22" s="1508" t="s">
        <v>8</v>
      </c>
      <c r="S22" s="1509">
        <f>F22</f>
        <v>100</v>
      </c>
      <c r="T22" s="1508" t="s">
        <v>8</v>
      </c>
      <c r="U22" s="1509">
        <f>H22</f>
        <v>100</v>
      </c>
      <c r="V22" s="1508" t="s">
        <v>8</v>
      </c>
      <c r="W22" s="1509">
        <f>J22</f>
        <v>100</v>
      </c>
      <c r="X22" s="1502"/>
      <c r="Y22" s="3511"/>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511"/>
      <c r="Q23" s="1507">
        <f>B23</f>
        <v>111</v>
      </c>
      <c r="R23" s="1508" t="s">
        <v>8</v>
      </c>
      <c r="S23" s="1509">
        <f>F23</f>
        <v>100</v>
      </c>
      <c r="T23" s="1508" t="s">
        <v>8</v>
      </c>
      <c r="U23" s="1509">
        <f>H23</f>
        <v>100</v>
      </c>
      <c r="V23" s="1508" t="s">
        <v>8</v>
      </c>
      <c r="W23" s="1509">
        <f>J23</f>
        <v>100</v>
      </c>
      <c r="X23" s="1502"/>
      <c r="Y23" s="3511"/>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511"/>
      <c r="Q24" s="1507">
        <f t="shared" ref="Q24:Q36" si="11">B24</f>
        <v>111</v>
      </c>
      <c r="R24" s="1508" t="s">
        <v>8</v>
      </c>
      <c r="S24" s="1509">
        <f>F24</f>
        <v>100</v>
      </c>
      <c r="T24" s="1508" t="s">
        <v>8</v>
      </c>
      <c r="U24" s="1509">
        <f>H24</f>
        <v>100</v>
      </c>
      <c r="V24" s="1508" t="s">
        <v>8</v>
      </c>
      <c r="W24" s="1509">
        <f>J24</f>
        <v>100</v>
      </c>
      <c r="X24" s="1502"/>
      <c r="Y24" s="3511"/>
      <c r="Z24" s="1510">
        <f>Q24</f>
        <v>111</v>
      </c>
      <c r="AA24" s="1511">
        <f t="shared" si="3"/>
        <v>1</v>
      </c>
      <c r="AB24" s="1511">
        <f t="shared" si="4"/>
        <v>1</v>
      </c>
      <c r="AC24" s="1511">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511"/>
      <c r="Q25" s="1134">
        <f t="shared" si="11"/>
        <v>111</v>
      </c>
      <c r="R25" s="1503" t="s">
        <v>8</v>
      </c>
      <c r="S25" s="1504">
        <f>F25</f>
        <v>100</v>
      </c>
      <c r="T25" s="1503" t="s">
        <v>8</v>
      </c>
      <c r="U25" s="1504">
        <f>H25</f>
        <v>100</v>
      </c>
      <c r="V25" s="1503" t="s">
        <v>8</v>
      </c>
      <c r="W25" s="1504">
        <f>J25</f>
        <v>100</v>
      </c>
      <c r="X25" s="1505"/>
      <c r="Y25" s="3511"/>
      <c r="Z25" s="1133">
        <f>Q25</f>
        <v>111</v>
      </c>
      <c r="AA25" s="1511">
        <f>D25/F25</f>
        <v>1</v>
      </c>
      <c r="AB25" s="1511">
        <f>D25/H25</f>
        <v>1</v>
      </c>
      <c r="AC25" s="1511">
        <f>D25/J25</f>
        <v>1</v>
      </c>
    </row>
    <row r="26" spans="1:29" ht="15">
      <c r="A26" s="2625" t="s">
        <v>2735</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512"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513"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513"/>
      <c r="Q27" s="1536" t="str">
        <f t="shared" si="11"/>
        <v>项目停车位配比</v>
      </c>
      <c r="R27" s="1512" t="s">
        <v>8</v>
      </c>
      <c r="S27" s="1513">
        <f t="shared" si="12"/>
        <v>100</v>
      </c>
      <c r="T27" s="1512" t="s">
        <v>8</v>
      </c>
      <c r="U27" s="1513">
        <f t="shared" si="13"/>
        <v>100</v>
      </c>
      <c r="V27" s="1512" t="s">
        <v>8</v>
      </c>
      <c r="W27" s="1513">
        <f t="shared" si="14"/>
        <v>100</v>
      </c>
      <c r="X27" s="1514"/>
      <c r="Y27" s="3513"/>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513"/>
      <c r="Q28" s="1507" t="str">
        <f t="shared" si="11"/>
        <v>公共部分装修</v>
      </c>
      <c r="R28" s="1508" t="s">
        <v>8</v>
      </c>
      <c r="S28" s="1509">
        <f t="shared" si="12"/>
        <v>100</v>
      </c>
      <c r="T28" s="1508" t="s">
        <v>8</v>
      </c>
      <c r="U28" s="1509">
        <f t="shared" si="13"/>
        <v>100</v>
      </c>
      <c r="V28" s="1508" t="s">
        <v>8</v>
      </c>
      <c r="W28" s="1509">
        <f t="shared" si="14"/>
        <v>100</v>
      </c>
      <c r="X28" s="1502"/>
      <c r="Y28" s="3513"/>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513"/>
      <c r="Q29" s="1507" t="str">
        <f t="shared" si="11"/>
        <v>成新率</v>
      </c>
      <c r="R29" s="1508" t="s">
        <v>8</v>
      </c>
      <c r="S29" s="1509" t="e">
        <f t="shared" si="12"/>
        <v>#N/A</v>
      </c>
      <c r="T29" s="1508" t="s">
        <v>8</v>
      </c>
      <c r="U29" s="1509" t="e">
        <f t="shared" si="13"/>
        <v>#N/A</v>
      </c>
      <c r="V29" s="1508" t="s">
        <v>8</v>
      </c>
      <c r="W29" s="1509" t="e">
        <f t="shared" si="14"/>
        <v>#N/A</v>
      </c>
      <c r="X29" s="1502"/>
      <c r="Y29" s="3513"/>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513"/>
      <c r="Q30" s="1507" t="str">
        <f t="shared" si="11"/>
        <v>物业等级</v>
      </c>
      <c r="R30" s="1508" t="s">
        <v>8</v>
      </c>
      <c r="S30" s="1509">
        <f t="shared" si="12"/>
        <v>100</v>
      </c>
      <c r="T30" s="1508" t="s">
        <v>8</v>
      </c>
      <c r="U30" s="1509">
        <f t="shared" si="13"/>
        <v>100</v>
      </c>
      <c r="V30" s="1508" t="s">
        <v>8</v>
      </c>
      <c r="W30" s="1509">
        <f t="shared" si="14"/>
        <v>100</v>
      </c>
      <c r="X30" s="1502"/>
      <c r="Y30" s="3513"/>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513"/>
      <c r="Q31" s="1134" t="str">
        <f t="shared" si="11"/>
        <v>停车位面积</v>
      </c>
      <c r="R31" s="1503" t="s">
        <v>8</v>
      </c>
      <c r="S31" s="1504" t="e">
        <f t="shared" si="12"/>
        <v>#N/A</v>
      </c>
      <c r="T31" s="1503" t="s">
        <v>8</v>
      </c>
      <c r="U31" s="1504" t="e">
        <f t="shared" si="13"/>
        <v>#N/A</v>
      </c>
      <c r="V31" s="1503" t="s">
        <v>8</v>
      </c>
      <c r="W31" s="1504" t="e">
        <f t="shared" si="14"/>
        <v>#N/A</v>
      </c>
      <c r="X31" s="1505"/>
      <c r="Y31" s="3513"/>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513" t="s">
        <v>544</v>
      </c>
      <c r="Q32" s="1507" t="str">
        <f t="shared" si="11"/>
        <v>车位类型</v>
      </c>
      <c r="R32" s="1508" t="s">
        <v>8</v>
      </c>
      <c r="S32" s="1509">
        <f t="shared" si="12"/>
        <v>100</v>
      </c>
      <c r="T32" s="1508" t="s">
        <v>8</v>
      </c>
      <c r="U32" s="1509">
        <f t="shared" si="13"/>
        <v>100</v>
      </c>
      <c r="V32" s="1508" t="s">
        <v>8</v>
      </c>
      <c r="W32" s="1509">
        <f t="shared" si="14"/>
        <v>100</v>
      </c>
      <c r="X32" s="1502"/>
      <c r="Y32" s="3513"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513"/>
      <c r="Q33" s="1507" t="str">
        <f t="shared" si="11"/>
        <v>是否直接入户</v>
      </c>
      <c r="R33" s="1508" t="s">
        <v>8</v>
      </c>
      <c r="S33" s="1509">
        <f t="shared" si="12"/>
        <v>100</v>
      </c>
      <c r="T33" s="1508" t="s">
        <v>8</v>
      </c>
      <c r="U33" s="1509">
        <f t="shared" si="13"/>
        <v>100</v>
      </c>
      <c r="V33" s="1508" t="s">
        <v>8</v>
      </c>
      <c r="W33" s="1509">
        <f t="shared" si="14"/>
        <v>100</v>
      </c>
      <c r="X33" s="1502"/>
      <c r="Y33" s="3513"/>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513"/>
      <c r="Q34" s="1507">
        <f t="shared" si="11"/>
        <v>111</v>
      </c>
      <c r="R34" s="1508" t="s">
        <v>8</v>
      </c>
      <c r="S34" s="1509">
        <f t="shared" si="12"/>
        <v>100</v>
      </c>
      <c r="T34" s="1508" t="s">
        <v>8</v>
      </c>
      <c r="U34" s="1509">
        <f t="shared" si="13"/>
        <v>100</v>
      </c>
      <c r="V34" s="1508" t="s">
        <v>8</v>
      </c>
      <c r="W34" s="1509">
        <f t="shared" si="14"/>
        <v>100</v>
      </c>
      <c r="X34" s="1502"/>
      <c r="Y34" s="3513"/>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513"/>
      <c r="Q35" s="1536">
        <f t="shared" si="11"/>
        <v>111</v>
      </c>
      <c r="R35" s="1512" t="s">
        <v>8</v>
      </c>
      <c r="S35" s="1513">
        <f t="shared" si="12"/>
        <v>100</v>
      </c>
      <c r="T35" s="1512" t="s">
        <v>8</v>
      </c>
      <c r="U35" s="1513">
        <f t="shared" si="13"/>
        <v>100</v>
      </c>
      <c r="V35" s="1512" t="s">
        <v>8</v>
      </c>
      <c r="W35" s="1513">
        <f t="shared" si="14"/>
        <v>100</v>
      </c>
      <c r="X35" s="1514"/>
      <c r="Y35" s="3513"/>
      <c r="Z35" s="1515">
        <f t="shared" si="15"/>
        <v>111</v>
      </c>
      <c r="AA35" s="1511">
        <f t="shared" si="3"/>
        <v>1</v>
      </c>
      <c r="AB35" s="1511">
        <f t="shared" si="4"/>
        <v>1</v>
      </c>
      <c r="AC35" s="1511">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513"/>
      <c r="Q36" s="1507">
        <f t="shared" si="11"/>
        <v>111</v>
      </c>
      <c r="R36" s="1508" t="s">
        <v>8</v>
      </c>
      <c r="S36" s="1509">
        <f t="shared" si="12"/>
        <v>100</v>
      </c>
      <c r="T36" s="1508" t="s">
        <v>8</v>
      </c>
      <c r="U36" s="1509">
        <f t="shared" si="13"/>
        <v>100</v>
      </c>
      <c r="V36" s="1508" t="s">
        <v>8</v>
      </c>
      <c r="W36" s="1509">
        <f t="shared" si="14"/>
        <v>100</v>
      </c>
      <c r="X36" s="1502"/>
      <c r="Y36" s="3513"/>
      <c r="Z36" s="1510">
        <f t="shared" si="15"/>
        <v>111</v>
      </c>
      <c r="AA36" s="1511">
        <f t="shared" si="3"/>
        <v>1</v>
      </c>
      <c r="AB36" s="1511">
        <f t="shared" si="4"/>
        <v>1</v>
      </c>
      <c r="AC36" s="1511">
        <f t="shared" si="5"/>
        <v>1</v>
      </c>
    </row>
    <row r="37" spans="1:29" ht="15">
      <c r="A37" s="1761" t="s">
        <v>2066</v>
      </c>
      <c r="B37" s="1762" t="s">
        <v>2067</v>
      </c>
      <c r="C37" s="2471" t="s">
        <v>1</v>
      </c>
      <c r="D37" s="2472"/>
      <c r="E37" s="2473"/>
      <c r="F37" s="2474"/>
      <c r="G37" s="2475"/>
      <c r="H37" s="2476"/>
      <c r="I37" s="2473"/>
      <c r="J37" s="2476"/>
      <c r="K37" s="1541"/>
      <c r="L37" s="2027"/>
      <c r="M37" s="2028"/>
      <c r="N37" s="2017"/>
      <c r="O37" s="2028"/>
      <c r="P37" s="3508" t="str">
        <f>A37</f>
        <v>成交单价</v>
      </c>
      <c r="Q37" s="3508"/>
      <c r="R37" s="3594">
        <f>E37</f>
        <v>0</v>
      </c>
      <c r="S37" s="3594"/>
      <c r="T37" s="3594">
        <f>G37</f>
        <v>0</v>
      </c>
      <c r="U37" s="3594"/>
      <c r="V37" s="3594">
        <f>I37</f>
        <v>0</v>
      </c>
      <c r="W37" s="3594"/>
      <c r="X37" s="1497"/>
      <c r="Y37" s="1516"/>
      <c r="Z37" s="1497"/>
      <c r="AA37" s="1497"/>
      <c r="AB37" s="1497"/>
      <c r="AC37" s="1497"/>
    </row>
    <row r="38" spans="1:29" ht="15.75" thickBot="1">
      <c r="A38" s="609" t="s">
        <v>2740</v>
      </c>
      <c r="B38" s="877"/>
      <c r="C38" s="2477" t="e">
        <f>R39</f>
        <v>#DIV/0!</v>
      </c>
      <c r="D38" s="3014" t="s">
        <v>2960</v>
      </c>
      <c r="E38" s="2478" t="e">
        <f>R38</f>
        <v>#DIV/0!</v>
      </c>
      <c r="F38" s="3015"/>
      <c r="G38" s="2477" t="e">
        <f>T38</f>
        <v>#DIV/0!</v>
      </c>
      <c r="H38" s="3015"/>
      <c r="I38" s="2478" t="e">
        <f>V38</f>
        <v>#DIV/0!</v>
      </c>
      <c r="J38" s="3015"/>
      <c r="K38" s="3023">
        <f>F38+H38+J38</f>
        <v>0</v>
      </c>
      <c r="L38" s="2027"/>
      <c r="M38" s="2028"/>
      <c r="N38" s="2028"/>
      <c r="O38" s="2028"/>
      <c r="P38" s="3508" t="str">
        <f>A38</f>
        <v>比较价格（元/平方米）</v>
      </c>
      <c r="Q38" s="3508"/>
      <c r="R38" s="3594" t="e">
        <f>IF(F1="售价",ROUND(PRODUCT(R37,AA7:AA36),0),ROUND(PRODUCT(R37,AA7:AA36),1))</f>
        <v>#DIV/0!</v>
      </c>
      <c r="S38" s="3594"/>
      <c r="T38" s="3594" t="e">
        <f>IF(F1="售价",ROUND(PRODUCT(T37,AB7:AB36),0),ROUND(PRODUCT(T37,AB7:AB36),1))</f>
        <v>#DIV/0!</v>
      </c>
      <c r="U38" s="3594"/>
      <c r="V38" s="3594" t="e">
        <f>IF(F1="售价",ROUND(PRODUCT(V37,AC7:AC36),0),ROUND(PRODUCT(V37,AC7:AC36),1))</f>
        <v>#DIV/0!</v>
      </c>
      <c r="W38" s="3594"/>
      <c r="X38" s="1497"/>
      <c r="Y38" s="1497"/>
      <c r="Z38" s="1497"/>
      <c r="AA38" s="1497"/>
      <c r="AB38" s="1497"/>
      <c r="AC38" s="1497"/>
    </row>
    <row r="39" spans="1:29" ht="15.75" thickBot="1">
      <c r="A39" s="613" t="s">
        <v>2893</v>
      </c>
      <c r="B39" s="614"/>
      <c r="C39" s="2479" t="e">
        <f>R39</f>
        <v>#DIV/0!</v>
      </c>
      <c r="D39" s="2479"/>
      <c r="E39" s="2479"/>
      <c r="F39" s="2479"/>
      <c r="G39" s="2479"/>
      <c r="H39" s="2479"/>
      <c r="I39" s="2479"/>
      <c r="J39" s="2479"/>
      <c r="K39" s="1542"/>
      <c r="L39" s="2027"/>
      <c r="M39" s="2028"/>
      <c r="N39" s="2028"/>
      <c r="O39" s="2028"/>
      <c r="P39" s="3530" t="str">
        <f>A39</f>
        <v>估价对象XX用房的比较价格（楼面单价，元/平方米）</v>
      </c>
      <c r="Q39" s="3531"/>
      <c r="R39" s="3593" t="e">
        <f>IF(F1="售价",ROUND(IF(D38="简单平均",AVERAGE(R38:W38),R38*F38+T38*H38+V38*J38),0),ROUND(IF(D38="简单平均",AVERAGE(R38:V38),R38*F38+T38*H38+V38*J38),1))</f>
        <v>#DIV/0!</v>
      </c>
      <c r="S39" s="3593"/>
      <c r="T39" s="3593"/>
      <c r="U39" s="3593"/>
      <c r="V39" s="3593"/>
      <c r="W39" s="3593"/>
      <c r="X39" s="1497"/>
      <c r="Y39" s="1497"/>
      <c r="Z39" s="1497"/>
      <c r="AA39" s="1497"/>
      <c r="AB39" s="1497"/>
      <c r="AC39" s="1497"/>
    </row>
    <row r="40" spans="1:29">
      <c r="A40" s="3214"/>
      <c r="B40" s="3214"/>
      <c r="C40" s="3214"/>
      <c r="D40" s="3214"/>
      <c r="E40" s="3214"/>
      <c r="F40" s="3214"/>
      <c r="G40" s="3216"/>
      <c r="H40" s="3214"/>
      <c r="I40" s="3214"/>
      <c r="J40" s="3214"/>
      <c r="K40" s="3217"/>
      <c r="L40" s="2032"/>
      <c r="M40" s="2028"/>
      <c r="N40" s="2028"/>
      <c r="O40" s="2028"/>
      <c r="P40" s="2028"/>
      <c r="Q40" s="2028"/>
      <c r="R40" s="2028"/>
      <c r="S40" s="2028"/>
      <c r="T40" s="2028"/>
      <c r="U40" s="2028"/>
      <c r="V40" s="2028"/>
      <c r="W40" s="2028"/>
      <c r="X40" s="2028"/>
      <c r="Y40" s="2028"/>
      <c r="Z40" s="2028"/>
      <c r="AA40" s="2028"/>
      <c r="AB40" s="2028"/>
      <c r="AC40" s="2028"/>
    </row>
    <row r="41" spans="1:29">
      <c r="A41" s="3214"/>
      <c r="B41" s="3214"/>
      <c r="C41" s="3214"/>
      <c r="D41" s="3214"/>
      <c r="E41" s="3214"/>
      <c r="F41" s="3214"/>
      <c r="G41" s="3214"/>
      <c r="H41" s="3214"/>
      <c r="I41" s="3214"/>
      <c r="J41" s="3214"/>
      <c r="K41" s="3217"/>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1.75"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5">
      <c r="A48" s="637" t="s">
        <v>523</v>
      </c>
      <c r="B48" s="638"/>
      <c r="C48" s="2520" t="str">
        <f>YEAR(C7)&amp;"-"&amp;MONTH(C7)</f>
        <v>2021-5</v>
      </c>
      <c r="D48" s="2522">
        <f>EDATE(C48,-1)</f>
        <v>44287</v>
      </c>
      <c r="E48" s="2522">
        <f t="shared" ref="E48:O48" si="16">EDATE(D48,-1)</f>
        <v>44256</v>
      </c>
      <c r="F48" s="2522">
        <f t="shared" si="16"/>
        <v>44228</v>
      </c>
      <c r="G48" s="2522">
        <f t="shared" si="16"/>
        <v>44197</v>
      </c>
      <c r="H48" s="2522">
        <f t="shared" si="16"/>
        <v>44166</v>
      </c>
      <c r="I48" s="2522">
        <f t="shared" si="16"/>
        <v>44136</v>
      </c>
      <c r="J48" s="2522">
        <f t="shared" si="16"/>
        <v>44105</v>
      </c>
      <c r="K48" s="2522">
        <f t="shared" si="16"/>
        <v>44075</v>
      </c>
      <c r="L48" s="2522">
        <f t="shared" si="16"/>
        <v>44044</v>
      </c>
      <c r="M48" s="2522">
        <f t="shared" si="16"/>
        <v>44013</v>
      </c>
      <c r="N48" s="2522">
        <f t="shared" si="16"/>
        <v>43983</v>
      </c>
      <c r="O48" s="2522">
        <f t="shared" si="16"/>
        <v>43952</v>
      </c>
      <c r="P48" s="2042"/>
      <c r="Q48" s="2043"/>
      <c r="R48" s="2043"/>
      <c r="S48" s="2043"/>
      <c r="T48" s="2043"/>
      <c r="U48" s="2043"/>
      <c r="V48" s="2043"/>
      <c r="W48" s="2043"/>
      <c r="X48" s="2043"/>
      <c r="Y48" s="2043"/>
      <c r="Z48" s="2043"/>
      <c r="AA48" s="2043"/>
      <c r="AB48" s="2043"/>
      <c r="AC48" s="2043"/>
    </row>
    <row r="49" spans="1:29" s="1203" customFormat="1" ht="15">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7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5">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5.75"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5.75"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5.75"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5.75"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5.75"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5.75"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5.75"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5.75"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1811" t="s">
        <v>2538</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75" thickTop="1">
      <c r="A67" s="661"/>
      <c r="B67" s="2442" t="s">
        <v>2539</v>
      </c>
      <c r="C67" s="2443" t="s">
        <v>2540</v>
      </c>
      <c r="D67" s="2443" t="s">
        <v>2541</v>
      </c>
      <c r="E67" s="2443" t="s">
        <v>2542</v>
      </c>
      <c r="F67" s="2443" t="s">
        <v>2543</v>
      </c>
      <c r="G67" s="2443" t="s">
        <v>2544</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7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5.75"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5.75"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5.75"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5.75"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5.75"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7.75"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7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5.75"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5.75"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5"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5.75"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5"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5.75"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5"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5.75"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5"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W41" sqref="W41"/>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0"/>
      <c r="M1" s="3211"/>
      <c r="N1" s="3211"/>
      <c r="O1" s="3211"/>
      <c r="P1" s="2015"/>
      <c r="Q1" s="2015"/>
      <c r="R1" s="2015"/>
      <c r="S1" s="2015"/>
      <c r="T1" s="2015"/>
      <c r="U1" s="2015"/>
      <c r="V1" s="2015"/>
      <c r="W1" s="2015"/>
      <c r="X1" s="2015"/>
      <c r="Y1" s="2015"/>
      <c r="Z1" s="2015"/>
      <c r="AA1" s="2015"/>
      <c r="AB1" s="2015"/>
      <c r="AC1" s="3212"/>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2"/>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3"/>
      <c r="AC3" s="1945"/>
    </row>
    <row r="4" spans="1:29" ht="15">
      <c r="A4" s="506" t="s">
        <v>791</v>
      </c>
      <c r="B4" s="507"/>
      <c r="C4" s="3514" t="s">
        <v>792</v>
      </c>
      <c r="D4" s="3515"/>
      <c r="E4" s="3540" t="s">
        <v>793</v>
      </c>
      <c r="F4" s="3541"/>
      <c r="G4" s="3514" t="s">
        <v>794</v>
      </c>
      <c r="H4" s="3515"/>
      <c r="I4" s="3514" t="s">
        <v>795</v>
      </c>
      <c r="J4" s="3515"/>
      <c r="K4" s="508" t="s">
        <v>796</v>
      </c>
      <c r="L4" s="2016"/>
      <c r="M4" s="2017"/>
      <c r="N4" s="2017"/>
      <c r="O4" s="2017"/>
      <c r="P4" s="3516" t="s">
        <v>797</v>
      </c>
      <c r="Q4" s="3517"/>
      <c r="R4" s="3502" t="s">
        <v>793</v>
      </c>
      <c r="S4" s="3503"/>
      <c r="T4" s="3502" t="s">
        <v>794</v>
      </c>
      <c r="U4" s="3503"/>
      <c r="V4" s="3522" t="s">
        <v>795</v>
      </c>
      <c r="W4" s="3522"/>
      <c r="X4" s="1502"/>
      <c r="Y4" s="3502" t="s">
        <v>797</v>
      </c>
      <c r="Z4" s="3503"/>
      <c r="AA4" s="3497" t="s">
        <v>793</v>
      </c>
      <c r="AB4" s="3498" t="s">
        <v>794</v>
      </c>
      <c r="AC4" s="3497" t="s">
        <v>795</v>
      </c>
    </row>
    <row r="5" spans="1:29" ht="15">
      <c r="A5" s="509"/>
      <c r="B5" s="510"/>
      <c r="C5" s="3527" t="s">
        <v>2887</v>
      </c>
      <c r="D5" s="3526"/>
      <c r="E5" s="3542" t="s">
        <v>2888</v>
      </c>
      <c r="F5" s="3543"/>
      <c r="G5" s="3527" t="s">
        <v>2889</v>
      </c>
      <c r="H5" s="3526"/>
      <c r="I5" s="3527" t="s">
        <v>2890</v>
      </c>
      <c r="J5" s="3526"/>
      <c r="K5" s="508"/>
      <c r="L5" s="2016"/>
      <c r="M5" s="2017"/>
      <c r="N5" s="2017"/>
      <c r="O5" s="2017"/>
      <c r="P5" s="3518"/>
      <c r="Q5" s="3519"/>
      <c r="R5" s="3504"/>
      <c r="S5" s="3505"/>
      <c r="T5" s="3504"/>
      <c r="U5" s="3505"/>
      <c r="V5" s="3522"/>
      <c r="W5" s="3522"/>
      <c r="X5" s="1502"/>
      <c r="Y5" s="3504"/>
      <c r="Z5" s="3505"/>
      <c r="AA5" s="3498"/>
      <c r="AB5" s="3498"/>
      <c r="AC5" s="3498"/>
    </row>
    <row r="6" spans="1:29" ht="15.75" thickBot="1">
      <c r="A6" s="511"/>
      <c r="B6" s="512"/>
      <c r="C6" s="3544" t="s">
        <v>2891</v>
      </c>
      <c r="D6" s="3524"/>
      <c r="E6" s="3545" t="s">
        <v>2891</v>
      </c>
      <c r="F6" s="3546"/>
      <c r="G6" s="3544" t="s">
        <v>2891</v>
      </c>
      <c r="H6" s="3524"/>
      <c r="I6" s="3544" t="s">
        <v>2891</v>
      </c>
      <c r="J6" s="3524"/>
      <c r="K6" s="508" t="s">
        <v>522</v>
      </c>
      <c r="L6" s="2016"/>
      <c r="M6" s="2017"/>
      <c r="N6" s="2017"/>
      <c r="O6" s="2017"/>
      <c r="P6" s="3520"/>
      <c r="Q6" s="3521"/>
      <c r="R6" s="3504"/>
      <c r="S6" s="3505"/>
      <c r="T6" s="3506"/>
      <c r="U6" s="3507"/>
      <c r="V6" s="3522"/>
      <c r="W6" s="3522"/>
      <c r="X6" s="1502"/>
      <c r="Y6" s="3506"/>
      <c r="Z6" s="3507"/>
      <c r="AA6" s="3499"/>
      <c r="AB6" s="3499"/>
      <c r="AC6" s="3499"/>
    </row>
    <row r="7" spans="1:29" s="1203" customFormat="1" ht="15.75" thickBot="1">
      <c r="A7" s="2630"/>
      <c r="B7" s="2637" t="s">
        <v>523</v>
      </c>
      <c r="C7" s="513">
        <f>'数据-取费表'!B2</f>
        <v>44329</v>
      </c>
      <c r="D7" s="514">
        <v>100</v>
      </c>
      <c r="E7" s="515"/>
      <c r="F7" s="516">
        <f>SUMIF(46:46,YEAR(E7)&amp;"-"&amp;MONTH(E7),47:47)</f>
        <v>0</v>
      </c>
      <c r="G7" s="517"/>
      <c r="H7" s="514">
        <f>SUMIF(46:46,YEAR(G7)&amp;"-"&amp;MONTH(G7),47:47)</f>
        <v>0</v>
      </c>
      <c r="I7" s="517"/>
      <c r="J7" s="514">
        <f>SUMIF(46:46,YEAR(I7)&amp;"-"&amp;MONTH(I7),47:47)</f>
        <v>0</v>
      </c>
      <c r="K7" s="518"/>
      <c r="L7" s="2018"/>
      <c r="M7" s="2019"/>
      <c r="N7" s="2019"/>
      <c r="O7" s="2019"/>
      <c r="P7" s="3500" t="s">
        <v>524</v>
      </c>
      <c r="Q7" s="3509"/>
      <c r="R7" s="1503" t="s">
        <v>8</v>
      </c>
      <c r="S7" s="1504">
        <f t="shared" ref="S7:S14" si="0">F7</f>
        <v>0</v>
      </c>
      <c r="T7" s="1503" t="s">
        <v>8</v>
      </c>
      <c r="U7" s="1504">
        <f t="shared" ref="U7:U14" si="1">H7</f>
        <v>0</v>
      </c>
      <c r="V7" s="1503" t="s">
        <v>8</v>
      </c>
      <c r="W7" s="1504">
        <f t="shared" ref="W7:W14" si="2">J7</f>
        <v>0</v>
      </c>
      <c r="X7" s="1505"/>
      <c r="Y7" s="3500" t="s">
        <v>524</v>
      </c>
      <c r="Z7" s="3501"/>
      <c r="AA7" s="1506" t="e">
        <f>D7/F7</f>
        <v>#DIV/0!</v>
      </c>
      <c r="AB7" s="1506" t="e">
        <f>D7/H7</f>
        <v>#DIV/0!</v>
      </c>
      <c r="AC7" s="1506" t="e">
        <f>D7/J7</f>
        <v>#DIV/0!</v>
      </c>
    </row>
    <row r="8" spans="1:29" s="1203" customFormat="1" ht="15.7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500" t="s">
        <v>527</v>
      </c>
      <c r="Q8" s="3501"/>
      <c r="R8" s="1503" t="s">
        <v>8</v>
      </c>
      <c r="S8" s="1504">
        <f t="shared" si="0"/>
        <v>0</v>
      </c>
      <c r="T8" s="1503" t="s">
        <v>8</v>
      </c>
      <c r="U8" s="1504">
        <f t="shared" si="1"/>
        <v>0</v>
      </c>
      <c r="V8" s="1503" t="s">
        <v>8</v>
      </c>
      <c r="W8" s="1504">
        <f t="shared" si="2"/>
        <v>0</v>
      </c>
      <c r="X8" s="1505"/>
      <c r="Y8" s="3500" t="s">
        <v>527</v>
      </c>
      <c r="Z8" s="3501"/>
      <c r="AA8" s="1506" t="e">
        <f t="shared" ref="AA8:AA34" si="3">D8/F8</f>
        <v>#DIV/0!</v>
      </c>
      <c r="AB8" s="1506" t="e">
        <f t="shared" ref="AB8:AB34" si="4">D8/H8</f>
        <v>#DIV/0!</v>
      </c>
      <c r="AC8" s="1506" t="e">
        <f t="shared" ref="AC8:AC34" si="5">D8/J8</f>
        <v>#DIV/0!</v>
      </c>
    </row>
    <row r="9" spans="1:29" s="1203" customFormat="1" ht="15">
      <c r="A9" s="2632"/>
      <c r="B9" s="2639" t="s">
        <v>2736</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508" t="s">
        <v>529</v>
      </c>
      <c r="Q9" s="1134" t="str">
        <f t="shared" ref="Q9:Q14" si="6">B9</f>
        <v>用途</v>
      </c>
      <c r="R9" s="1503" t="s">
        <v>8</v>
      </c>
      <c r="S9" s="1504">
        <f t="shared" si="0"/>
        <v>100</v>
      </c>
      <c r="T9" s="1503" t="s">
        <v>8</v>
      </c>
      <c r="U9" s="1504">
        <f t="shared" si="1"/>
        <v>100</v>
      </c>
      <c r="V9" s="1503" t="s">
        <v>8</v>
      </c>
      <c r="W9" s="1504">
        <f t="shared" si="2"/>
        <v>100</v>
      </c>
      <c r="X9" s="1505"/>
      <c r="Y9" s="3438" t="s">
        <v>530</v>
      </c>
      <c r="Z9" s="1133" t="str">
        <f t="shared" ref="Z9:Z14" si="7">Q9</f>
        <v>用途</v>
      </c>
      <c r="AA9" s="1506">
        <f t="shared" si="3"/>
        <v>1</v>
      </c>
      <c r="AB9" s="1506">
        <f t="shared" si="4"/>
        <v>1</v>
      </c>
      <c r="AC9" s="1506">
        <f t="shared" si="5"/>
        <v>1</v>
      </c>
    </row>
    <row r="10" spans="1:29" s="1292" customFormat="1" ht="27">
      <c r="A10" s="2633"/>
      <c r="B10" s="2638" t="s">
        <v>2737</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508"/>
      <c r="Q10" s="1134" t="str">
        <f t="shared" si="6"/>
        <v>土地使用年限（年）</v>
      </c>
      <c r="R10" s="1503" t="s">
        <v>8</v>
      </c>
      <c r="S10" s="1504">
        <f t="shared" si="0"/>
        <v>100</v>
      </c>
      <c r="T10" s="1503" t="s">
        <v>8</v>
      </c>
      <c r="U10" s="1504">
        <f t="shared" si="1"/>
        <v>100</v>
      </c>
      <c r="V10" s="1503" t="s">
        <v>8</v>
      </c>
      <c r="W10" s="1504">
        <f t="shared" si="2"/>
        <v>100</v>
      </c>
      <c r="X10" s="1505"/>
      <c r="Y10" s="3438"/>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508"/>
      <c r="Q11" s="1134">
        <f t="shared" si="6"/>
        <v>111</v>
      </c>
      <c r="R11" s="1503" t="s">
        <v>8</v>
      </c>
      <c r="S11" s="1504">
        <f t="shared" si="0"/>
        <v>100</v>
      </c>
      <c r="T11" s="1503" t="s">
        <v>8</v>
      </c>
      <c r="U11" s="1504">
        <f t="shared" si="1"/>
        <v>100</v>
      </c>
      <c r="V11" s="1503" t="s">
        <v>8</v>
      </c>
      <c r="W11" s="1504">
        <f t="shared" si="2"/>
        <v>100</v>
      </c>
      <c r="X11" s="1505"/>
      <c r="Y11" s="3438"/>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508"/>
      <c r="Q12" s="1134">
        <f t="shared" si="6"/>
        <v>111</v>
      </c>
      <c r="R12" s="1503" t="s">
        <v>8</v>
      </c>
      <c r="S12" s="1504">
        <f t="shared" si="0"/>
        <v>100</v>
      </c>
      <c r="T12" s="1503" t="s">
        <v>8</v>
      </c>
      <c r="U12" s="1504">
        <f t="shared" si="1"/>
        <v>100</v>
      </c>
      <c r="V12" s="1503" t="s">
        <v>8</v>
      </c>
      <c r="W12" s="1504">
        <f t="shared" si="2"/>
        <v>100</v>
      </c>
      <c r="X12" s="1505"/>
      <c r="Y12" s="3438"/>
      <c r="Z12" s="1133">
        <f t="shared" si="7"/>
        <v>111</v>
      </c>
      <c r="AA12" s="1506">
        <f>D12/F12</f>
        <v>1</v>
      </c>
      <c r="AB12" s="1506">
        <f>D12/H12</f>
        <v>1</v>
      </c>
      <c r="AC12" s="1506">
        <f>D12/J12</f>
        <v>1</v>
      </c>
    </row>
    <row r="13" spans="1:29" ht="15.75"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508"/>
      <c r="Q13" s="1134">
        <f t="shared" si="6"/>
        <v>111</v>
      </c>
      <c r="R13" s="1503" t="s">
        <v>8</v>
      </c>
      <c r="S13" s="1504">
        <f t="shared" si="0"/>
        <v>100</v>
      </c>
      <c r="T13" s="1503" t="s">
        <v>8</v>
      </c>
      <c r="U13" s="1504">
        <f t="shared" si="1"/>
        <v>100</v>
      </c>
      <c r="V13" s="1503" t="s">
        <v>8</v>
      </c>
      <c r="W13" s="1504">
        <f t="shared" si="2"/>
        <v>100</v>
      </c>
      <c r="X13" s="1505"/>
      <c r="Y13" s="3438"/>
      <c r="Z13" s="1133">
        <f t="shared" si="7"/>
        <v>111</v>
      </c>
      <c r="AA13" s="1506">
        <f t="shared" si="3"/>
        <v>1</v>
      </c>
      <c r="AB13" s="1506">
        <f t="shared" si="4"/>
        <v>1</v>
      </c>
      <c r="AC13" s="1506">
        <f t="shared" si="5"/>
        <v>1</v>
      </c>
    </row>
    <row r="14" spans="1:29" ht="15">
      <c r="A14" s="2628" t="s">
        <v>2734</v>
      </c>
      <c r="B14" s="164" t="s">
        <v>537</v>
      </c>
      <c r="C14" s="910">
        <f>IF(B1="工业",估价对象房地状况!G4,估价对象房地状况!C6)</f>
        <v>0</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510" t="s">
        <v>534</v>
      </c>
      <c r="Q14" s="1507" t="str">
        <f t="shared" si="6"/>
        <v>交通便捷度</v>
      </c>
      <c r="R14" s="1508" t="s">
        <v>8</v>
      </c>
      <c r="S14" s="1509">
        <f t="shared" si="0"/>
        <v>100</v>
      </c>
      <c r="T14" s="1508" t="s">
        <v>8</v>
      </c>
      <c r="U14" s="1509">
        <f t="shared" si="1"/>
        <v>100</v>
      </c>
      <c r="V14" s="1508" t="s">
        <v>8</v>
      </c>
      <c r="W14" s="1509">
        <f t="shared" si="2"/>
        <v>100</v>
      </c>
      <c r="X14" s="1502"/>
      <c r="Y14" s="3510"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511"/>
      <c r="Q15" s="1507"/>
      <c r="R15" s="1508"/>
      <c r="S15" s="1509"/>
      <c r="T15" s="1508"/>
      <c r="U15" s="1509"/>
      <c r="V15" s="1508"/>
      <c r="W15" s="1509"/>
      <c r="X15" s="1502"/>
      <c r="Y15" s="3511"/>
      <c r="Z15" s="1510"/>
      <c r="AA15" s="1511">
        <v>1</v>
      </c>
      <c r="AB15" s="1511">
        <v>1</v>
      </c>
      <c r="AC15" s="1511">
        <v>1</v>
      </c>
    </row>
    <row r="16" spans="1:29" ht="15">
      <c r="A16" s="526"/>
      <c r="B16" s="2448" t="s">
        <v>2527</v>
      </c>
      <c r="C16" s="861">
        <f>IF(B1="工业",估价对象房地状况!G5,估价对象房地状况!C7)</f>
        <v>0</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511"/>
      <c r="Q16" s="1507" t="str">
        <f>B16</f>
        <v>公共配套设施</v>
      </c>
      <c r="R16" s="1508" t="s">
        <v>8</v>
      </c>
      <c r="S16" s="1509">
        <f>F16</f>
        <v>100</v>
      </c>
      <c r="T16" s="1508" t="s">
        <v>8</v>
      </c>
      <c r="U16" s="1509">
        <f>H16</f>
        <v>100</v>
      </c>
      <c r="V16" s="1508" t="s">
        <v>8</v>
      </c>
      <c r="W16" s="1509">
        <f>J16</f>
        <v>100</v>
      </c>
      <c r="X16" s="1502"/>
      <c r="Y16" s="3511"/>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511"/>
      <c r="Q17" s="1507"/>
      <c r="R17" s="1508"/>
      <c r="S17" s="1509"/>
      <c r="T17" s="1508"/>
      <c r="U17" s="1509"/>
      <c r="V17" s="1508"/>
      <c r="W17" s="1509"/>
      <c r="X17" s="1502"/>
      <c r="Y17" s="3511"/>
      <c r="Z17" s="1510"/>
      <c r="AA17" s="1511">
        <v>1</v>
      </c>
      <c r="AB17" s="1511">
        <v>1</v>
      </c>
      <c r="AC17" s="1511">
        <v>1</v>
      </c>
    </row>
    <row r="18" spans="1:29" ht="15">
      <c r="A18" s="526"/>
      <c r="B18" s="2436" t="s">
        <v>2539</v>
      </c>
      <c r="C18" s="861">
        <f>IF(B1="工业",估价对象房地状况!G6,估价对象房地状况!C8)</f>
        <v>0</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511"/>
      <c r="Q18" s="2430" t="str">
        <f>B18</f>
        <v>基础设施水平</v>
      </c>
      <c r="R18" s="1508" t="s">
        <v>8</v>
      </c>
      <c r="S18" s="1509">
        <f>F18</f>
        <v>100</v>
      </c>
      <c r="T18" s="1508" t="s">
        <v>8</v>
      </c>
      <c r="U18" s="1509">
        <f>H18</f>
        <v>100</v>
      </c>
      <c r="V18" s="1508" t="s">
        <v>8</v>
      </c>
      <c r="W18" s="1509">
        <f>J18</f>
        <v>100</v>
      </c>
      <c r="X18" s="2432"/>
      <c r="Y18" s="3511"/>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511"/>
      <c r="Q19" s="2430"/>
      <c r="R19" s="1508"/>
      <c r="S19" s="1509"/>
      <c r="T19" s="1508"/>
      <c r="U19" s="1509"/>
      <c r="V19" s="1508"/>
      <c r="W19" s="1509"/>
      <c r="X19" s="2432"/>
      <c r="Y19" s="3511"/>
      <c r="Z19" s="2431"/>
      <c r="AA19" s="1511">
        <v>1</v>
      </c>
      <c r="AB19" s="1511">
        <v>1</v>
      </c>
      <c r="AC19" s="1511">
        <v>1</v>
      </c>
    </row>
    <row r="20" spans="1:29" ht="15">
      <c r="A20" s="526"/>
      <c r="B20" s="860" t="s">
        <v>798</v>
      </c>
      <c r="C20" s="861">
        <f>IF(B1="工业",估价对象房地状况!G7,估价对象房地状况!C9)</f>
        <v>0</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511"/>
      <c r="Q20" s="1507" t="str">
        <f>B20</f>
        <v>自然及人文环境</v>
      </c>
      <c r="R20" s="1508" t="s">
        <v>8</v>
      </c>
      <c r="S20" s="1509">
        <f>F20</f>
        <v>100</v>
      </c>
      <c r="T20" s="1508" t="s">
        <v>8</v>
      </c>
      <c r="U20" s="1509">
        <f>H20</f>
        <v>100</v>
      </c>
      <c r="V20" s="1508" t="s">
        <v>8</v>
      </c>
      <c r="W20" s="1509">
        <f>J20</f>
        <v>100</v>
      </c>
      <c r="X20" s="1502"/>
      <c r="Y20" s="3511"/>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511"/>
      <c r="Q21" s="1507"/>
      <c r="R21" s="1508"/>
      <c r="S21" s="1509"/>
      <c r="T21" s="1508"/>
      <c r="U21" s="1509"/>
      <c r="V21" s="1508"/>
      <c r="W21" s="1509"/>
      <c r="X21" s="1502"/>
      <c r="Y21" s="3511"/>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511"/>
      <c r="Q22" s="1507" t="str">
        <f>B22</f>
        <v>楼层</v>
      </c>
      <c r="R22" s="1508" t="s">
        <v>8</v>
      </c>
      <c r="S22" s="1509">
        <f>F22</f>
        <v>100</v>
      </c>
      <c r="T22" s="1508" t="s">
        <v>8</v>
      </c>
      <c r="U22" s="1509">
        <f>H22</f>
        <v>100</v>
      </c>
      <c r="V22" s="1508" t="s">
        <v>8</v>
      </c>
      <c r="W22" s="1509">
        <f>J22</f>
        <v>100</v>
      </c>
      <c r="X22" s="1502"/>
      <c r="Y22" s="3511"/>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511"/>
      <c r="Q23" s="1507">
        <f>B23</f>
        <v>111</v>
      </c>
      <c r="R23" s="1508" t="s">
        <v>8</v>
      </c>
      <c r="S23" s="1509">
        <f>F23</f>
        <v>100</v>
      </c>
      <c r="T23" s="1508" t="s">
        <v>8</v>
      </c>
      <c r="U23" s="1509">
        <f>H23</f>
        <v>100</v>
      </c>
      <c r="V23" s="1508" t="s">
        <v>8</v>
      </c>
      <c r="W23" s="1509">
        <f>J23</f>
        <v>100</v>
      </c>
      <c r="X23" s="1502"/>
      <c r="Y23" s="3511"/>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511"/>
      <c r="Q24" s="1507">
        <f t="shared" ref="Q24:Q34" si="11">B24</f>
        <v>111</v>
      </c>
      <c r="R24" s="1508" t="s">
        <v>8</v>
      </c>
      <c r="S24" s="1509">
        <f>F24</f>
        <v>100</v>
      </c>
      <c r="T24" s="1508" t="s">
        <v>8</v>
      </c>
      <c r="U24" s="1509">
        <f>H24</f>
        <v>100</v>
      </c>
      <c r="V24" s="1508" t="s">
        <v>8</v>
      </c>
      <c r="W24" s="1509">
        <f>J24</f>
        <v>100</v>
      </c>
      <c r="X24" s="1502"/>
      <c r="Y24" s="3511"/>
      <c r="Z24" s="1510">
        <f>Q24</f>
        <v>111</v>
      </c>
      <c r="AA24" s="1511">
        <f t="shared" si="3"/>
        <v>1</v>
      </c>
      <c r="AB24" s="1511">
        <f t="shared" si="4"/>
        <v>1</v>
      </c>
      <c r="AC24" s="1511">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511"/>
      <c r="Q25" s="1134">
        <f t="shared" si="11"/>
        <v>111</v>
      </c>
      <c r="R25" s="1503" t="s">
        <v>8</v>
      </c>
      <c r="S25" s="1504">
        <f>F25</f>
        <v>100</v>
      </c>
      <c r="T25" s="1503" t="s">
        <v>8</v>
      </c>
      <c r="U25" s="1504">
        <f>H25</f>
        <v>100</v>
      </c>
      <c r="V25" s="1503" t="s">
        <v>8</v>
      </c>
      <c r="W25" s="1504">
        <f>J25</f>
        <v>100</v>
      </c>
      <c r="X25" s="1505"/>
      <c r="Y25" s="3511"/>
      <c r="Z25" s="1133">
        <f>Q25</f>
        <v>111</v>
      </c>
      <c r="AA25" s="1511">
        <f>D25/F25</f>
        <v>1</v>
      </c>
      <c r="AB25" s="1511">
        <f>D25/H25</f>
        <v>1</v>
      </c>
      <c r="AC25" s="1511">
        <f>D25/J25</f>
        <v>1</v>
      </c>
    </row>
    <row r="26" spans="1:29" ht="15">
      <c r="A26" s="2625" t="s">
        <v>2735</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512"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513"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513"/>
      <c r="Q27" s="1536" t="str">
        <f t="shared" si="11"/>
        <v>成新率</v>
      </c>
      <c r="R27" s="1512" t="s">
        <v>8</v>
      </c>
      <c r="S27" s="1513" t="e">
        <f t="shared" si="12"/>
        <v>#N/A</v>
      </c>
      <c r="T27" s="1512" t="s">
        <v>8</v>
      </c>
      <c r="U27" s="1513" t="e">
        <f t="shared" si="13"/>
        <v>#N/A</v>
      </c>
      <c r="V27" s="1512" t="s">
        <v>8</v>
      </c>
      <c r="W27" s="1513" t="e">
        <f t="shared" si="14"/>
        <v>#N/A</v>
      </c>
      <c r="X27" s="1514"/>
      <c r="Y27" s="3513"/>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513"/>
      <c r="Q28" s="1507" t="str">
        <f t="shared" si="11"/>
        <v>物业等级</v>
      </c>
      <c r="R28" s="1508" t="s">
        <v>8</v>
      </c>
      <c r="S28" s="1509">
        <f t="shared" si="12"/>
        <v>100</v>
      </c>
      <c r="T28" s="1508" t="s">
        <v>8</v>
      </c>
      <c r="U28" s="1509">
        <f t="shared" si="13"/>
        <v>100</v>
      </c>
      <c r="V28" s="1508" t="s">
        <v>8</v>
      </c>
      <c r="W28" s="1509">
        <f t="shared" si="14"/>
        <v>100</v>
      </c>
      <c r="X28" s="1502"/>
      <c r="Y28" s="3513"/>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513"/>
      <c r="Q29" s="1507" t="str">
        <f t="shared" si="11"/>
        <v>有无电梯</v>
      </c>
      <c r="R29" s="1508" t="s">
        <v>8</v>
      </c>
      <c r="S29" s="1509">
        <f t="shared" si="12"/>
        <v>100</v>
      </c>
      <c r="T29" s="1508" t="s">
        <v>8</v>
      </c>
      <c r="U29" s="1509">
        <f t="shared" si="13"/>
        <v>100</v>
      </c>
      <c r="V29" s="1508" t="s">
        <v>8</v>
      </c>
      <c r="W29" s="1509">
        <f t="shared" si="14"/>
        <v>100</v>
      </c>
      <c r="X29" s="1502"/>
      <c r="Y29" s="3513"/>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513"/>
      <c r="Q30" s="1507" t="str">
        <f t="shared" si="11"/>
        <v>建筑面积</v>
      </c>
      <c r="R30" s="1508" t="s">
        <v>8</v>
      </c>
      <c r="S30" s="1509" t="e">
        <f t="shared" si="12"/>
        <v>#N/A</v>
      </c>
      <c r="T30" s="1508" t="s">
        <v>8</v>
      </c>
      <c r="U30" s="1509" t="e">
        <f t="shared" si="13"/>
        <v>#N/A</v>
      </c>
      <c r="V30" s="1508" t="s">
        <v>8</v>
      </c>
      <c r="W30" s="1509" t="e">
        <f t="shared" si="14"/>
        <v>#N/A</v>
      </c>
      <c r="X30" s="1502"/>
      <c r="Y30" s="3513"/>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513"/>
      <c r="Q31" s="1134" t="str">
        <f t="shared" si="11"/>
        <v>是否封闭</v>
      </c>
      <c r="R31" s="1503" t="s">
        <v>8</v>
      </c>
      <c r="S31" s="1504">
        <f t="shared" si="12"/>
        <v>100</v>
      </c>
      <c r="T31" s="1503" t="s">
        <v>8</v>
      </c>
      <c r="U31" s="1504">
        <f t="shared" si="13"/>
        <v>100</v>
      </c>
      <c r="V31" s="1503" t="s">
        <v>8</v>
      </c>
      <c r="W31" s="1504">
        <f t="shared" si="14"/>
        <v>100</v>
      </c>
      <c r="X31" s="1505"/>
      <c r="Y31" s="3513"/>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513" t="s">
        <v>544</v>
      </c>
      <c r="Q32" s="1507">
        <f t="shared" si="11"/>
        <v>111</v>
      </c>
      <c r="R32" s="1508" t="s">
        <v>8</v>
      </c>
      <c r="S32" s="1509">
        <f t="shared" si="12"/>
        <v>100</v>
      </c>
      <c r="T32" s="1508" t="s">
        <v>8</v>
      </c>
      <c r="U32" s="1509">
        <f t="shared" si="13"/>
        <v>100</v>
      </c>
      <c r="V32" s="1508" t="s">
        <v>8</v>
      </c>
      <c r="W32" s="1509">
        <f t="shared" si="14"/>
        <v>100</v>
      </c>
      <c r="X32" s="1502"/>
      <c r="Y32" s="3513"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513"/>
      <c r="Q33" s="1507">
        <f t="shared" si="11"/>
        <v>111</v>
      </c>
      <c r="R33" s="1508" t="s">
        <v>8</v>
      </c>
      <c r="S33" s="1509">
        <f t="shared" si="12"/>
        <v>100</v>
      </c>
      <c r="T33" s="1508" t="s">
        <v>8</v>
      </c>
      <c r="U33" s="1509">
        <f t="shared" si="13"/>
        <v>100</v>
      </c>
      <c r="V33" s="1508" t="s">
        <v>8</v>
      </c>
      <c r="W33" s="1509">
        <f t="shared" si="14"/>
        <v>100</v>
      </c>
      <c r="X33" s="1502"/>
      <c r="Y33" s="3513"/>
      <c r="Z33" s="1510">
        <f t="shared" si="15"/>
        <v>111</v>
      </c>
      <c r="AA33" s="1511">
        <f t="shared" si="3"/>
        <v>1</v>
      </c>
      <c r="AB33" s="1511">
        <f t="shared" si="4"/>
        <v>1</v>
      </c>
      <c r="AC33" s="1511">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513"/>
      <c r="Q34" s="1507">
        <f t="shared" si="11"/>
        <v>111</v>
      </c>
      <c r="R34" s="1508" t="s">
        <v>8</v>
      </c>
      <c r="S34" s="1509">
        <f t="shared" si="12"/>
        <v>100</v>
      </c>
      <c r="T34" s="1508" t="s">
        <v>8</v>
      </c>
      <c r="U34" s="1509">
        <f t="shared" si="13"/>
        <v>100</v>
      </c>
      <c r="V34" s="1508" t="s">
        <v>8</v>
      </c>
      <c r="W34" s="1509">
        <f t="shared" si="14"/>
        <v>100</v>
      </c>
      <c r="X34" s="1502"/>
      <c r="Y34" s="3513"/>
      <c r="Z34" s="1510">
        <f t="shared" si="15"/>
        <v>111</v>
      </c>
      <c r="AA34" s="1511">
        <f t="shared" si="3"/>
        <v>1</v>
      </c>
      <c r="AB34" s="1511">
        <f t="shared" si="4"/>
        <v>1</v>
      </c>
      <c r="AC34" s="1511">
        <f t="shared" si="5"/>
        <v>1</v>
      </c>
    </row>
    <row r="35" spans="1:29" ht="15">
      <c r="A35" s="601" t="s">
        <v>730</v>
      </c>
      <c r="B35" s="876"/>
      <c r="C35" s="2471" t="s">
        <v>1</v>
      </c>
      <c r="D35" s="2472"/>
      <c r="E35" s="2473"/>
      <c r="F35" s="2474"/>
      <c r="G35" s="2475"/>
      <c r="H35" s="2476"/>
      <c r="I35" s="2473"/>
      <c r="J35" s="2476"/>
      <c r="K35" s="1541"/>
      <c r="L35" s="2027"/>
      <c r="M35" s="2028"/>
      <c r="N35" s="2017"/>
      <c r="O35" s="2028"/>
      <c r="P35" s="3508" t="str">
        <f>A35</f>
        <v>成交单价（元/平方米）</v>
      </c>
      <c r="Q35" s="3508"/>
      <c r="R35" s="3594">
        <f>E35</f>
        <v>0</v>
      </c>
      <c r="S35" s="3594"/>
      <c r="T35" s="3594">
        <f>G35</f>
        <v>0</v>
      </c>
      <c r="U35" s="3594"/>
      <c r="V35" s="3594">
        <f>I35</f>
        <v>0</v>
      </c>
      <c r="W35" s="3594"/>
      <c r="X35" s="1497"/>
      <c r="Y35" s="1516"/>
      <c r="Z35" s="1497"/>
      <c r="AA35" s="1497"/>
      <c r="AB35" s="1497"/>
      <c r="AC35" s="1497"/>
    </row>
    <row r="36" spans="1:29" ht="15.75" thickBot="1">
      <c r="A36" s="609" t="s">
        <v>2740</v>
      </c>
      <c r="B36" s="877"/>
      <c r="C36" s="2477" t="e">
        <f>R37</f>
        <v>#DIV/0!</v>
      </c>
      <c r="D36" s="3014" t="s">
        <v>2961</v>
      </c>
      <c r="E36" s="2478" t="e">
        <f>R36</f>
        <v>#DIV/0!</v>
      </c>
      <c r="F36" s="3015"/>
      <c r="G36" s="2477" t="e">
        <f>T36</f>
        <v>#DIV/0!</v>
      </c>
      <c r="H36" s="3015"/>
      <c r="I36" s="2478" t="e">
        <f>V36</f>
        <v>#DIV/0!</v>
      </c>
      <c r="J36" s="3015"/>
      <c r="K36" s="3023">
        <f>F36+H36+J36</f>
        <v>0</v>
      </c>
      <c r="L36" s="2027"/>
      <c r="M36" s="2028"/>
      <c r="N36" s="2017"/>
      <c r="O36" s="2028"/>
      <c r="P36" s="3508" t="str">
        <f>A36</f>
        <v>比较价格（元/平方米）</v>
      </c>
      <c r="Q36" s="3508"/>
      <c r="R36" s="3594" t="e">
        <f>IF(F1="售价",ROUND(PRODUCT(R35,AA7:AA34),0),ROUND(PRODUCT(R35,AA7:AA34),1))</f>
        <v>#DIV/0!</v>
      </c>
      <c r="S36" s="3594"/>
      <c r="T36" s="3594" t="e">
        <f>IF(F1="售价",ROUND(PRODUCT(T35,AB7:AB34),0),ROUND(PRODUCT(T35,AB7:AB34),1))</f>
        <v>#DIV/0!</v>
      </c>
      <c r="U36" s="3594"/>
      <c r="V36" s="3594" t="e">
        <f>IF(F1="售价",ROUND(PRODUCT(V35,AC7:AC34),0),ROUND(PRODUCT(V35,AC7:AC34),1))</f>
        <v>#DIV/0!</v>
      </c>
      <c r="W36" s="3594"/>
      <c r="X36" s="1497"/>
      <c r="Y36" s="1497"/>
      <c r="Z36" s="1497"/>
      <c r="AA36" s="1497"/>
      <c r="AB36" s="1497"/>
      <c r="AC36" s="1497"/>
    </row>
    <row r="37" spans="1:29" ht="15.75" thickBot="1">
      <c r="A37" s="613" t="s">
        <v>2893</v>
      </c>
      <c r="B37" s="614"/>
      <c r="C37" s="2479" t="e">
        <f>R37</f>
        <v>#DIV/0!</v>
      </c>
      <c r="D37" s="2479"/>
      <c r="E37" s="2479"/>
      <c r="F37" s="2479"/>
      <c r="G37" s="2479"/>
      <c r="H37" s="2479"/>
      <c r="I37" s="2479"/>
      <c r="J37" s="2479"/>
      <c r="K37" s="1542"/>
      <c r="L37" s="2027"/>
      <c r="M37" s="2028"/>
      <c r="N37" s="2028"/>
      <c r="O37" s="2028"/>
      <c r="P37" s="3530" t="str">
        <f>A37</f>
        <v>估价对象XX用房的比较价格（楼面单价，元/平方米）</v>
      </c>
      <c r="Q37" s="3531"/>
      <c r="R37" s="3593" t="e">
        <f>IF(F1="售价",ROUND(IF(D36="简单平均",AVERAGE(R36:W36),R36*F36+T36*H36+V36*J36),0),ROUND(IF(D36="简单平均",AVERAGE(R36:V36),R36*F36+T36*H36+V36*J36),1))</f>
        <v>#DIV/0!</v>
      </c>
      <c r="S37" s="3593"/>
      <c r="T37" s="3593"/>
      <c r="U37" s="3593"/>
      <c r="V37" s="3593"/>
      <c r="W37" s="3593"/>
      <c r="X37" s="1497"/>
      <c r="Y37" s="1497"/>
      <c r="Z37" s="1497"/>
      <c r="AA37" s="1497"/>
      <c r="AB37" s="1497"/>
      <c r="AC37" s="1497"/>
    </row>
    <row r="38" spans="1:29">
      <c r="A38" s="3214"/>
      <c r="B38" s="3214"/>
      <c r="C38" s="3214"/>
      <c r="D38" s="3214"/>
      <c r="E38" s="3214"/>
      <c r="F38" s="3214"/>
      <c r="G38" s="3216"/>
      <c r="H38" s="3214"/>
      <c r="I38" s="3214"/>
      <c r="J38" s="3214"/>
      <c r="K38" s="3217"/>
      <c r="L38" s="2032"/>
      <c r="M38" s="2028"/>
      <c r="N38" s="2028"/>
      <c r="O38" s="2028"/>
      <c r="P38" s="2028"/>
      <c r="Q38" s="2028"/>
      <c r="R38" s="2028"/>
      <c r="S38" s="2028"/>
      <c r="T38" s="2028"/>
      <c r="U38" s="2028"/>
      <c r="V38" s="2028"/>
      <c r="W38" s="2028"/>
      <c r="X38" s="2028"/>
      <c r="Y38" s="2028"/>
      <c r="Z38" s="2028"/>
      <c r="AA38" s="2028"/>
      <c r="AB38" s="2028"/>
      <c r="AC38" s="2028"/>
    </row>
    <row r="39" spans="1:29">
      <c r="A39" s="3214"/>
      <c r="B39" s="3214"/>
      <c r="C39" s="3214"/>
      <c r="D39" s="3214"/>
      <c r="E39" s="3214"/>
      <c r="F39" s="3214"/>
      <c r="G39" s="3214"/>
      <c r="H39" s="3214"/>
      <c r="I39" s="3214"/>
      <c r="J39" s="3214"/>
      <c r="K39" s="3217"/>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1.75"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5">
      <c r="A46" s="637" t="s">
        <v>523</v>
      </c>
      <c r="B46" s="638"/>
      <c r="C46" s="2520" t="str">
        <f>YEAR(C7)&amp;"-"&amp;MONTH(C7)</f>
        <v>2021-5</v>
      </c>
      <c r="D46" s="2522">
        <f>EDATE(C46,-1)</f>
        <v>44287</v>
      </c>
      <c r="E46" s="2522">
        <f t="shared" ref="E46:O46" si="16">EDATE(D46,-1)</f>
        <v>44256</v>
      </c>
      <c r="F46" s="2522">
        <f t="shared" si="16"/>
        <v>44228</v>
      </c>
      <c r="G46" s="2522">
        <f t="shared" si="16"/>
        <v>44197</v>
      </c>
      <c r="H46" s="2522">
        <f t="shared" si="16"/>
        <v>44166</v>
      </c>
      <c r="I46" s="2522">
        <f t="shared" si="16"/>
        <v>44136</v>
      </c>
      <c r="J46" s="2522">
        <f t="shared" si="16"/>
        <v>44105</v>
      </c>
      <c r="K46" s="2522">
        <f t="shared" si="16"/>
        <v>44075</v>
      </c>
      <c r="L46" s="2522">
        <f t="shared" si="16"/>
        <v>44044</v>
      </c>
      <c r="M46" s="2522">
        <f t="shared" si="16"/>
        <v>44013</v>
      </c>
      <c r="N46" s="2522">
        <f t="shared" si="16"/>
        <v>43983</v>
      </c>
      <c r="O46" s="2522">
        <f t="shared" si="16"/>
        <v>43952</v>
      </c>
      <c r="P46" s="2042"/>
      <c r="Q46" s="2043"/>
      <c r="R46" s="2043"/>
      <c r="S46" s="2043"/>
      <c r="T46" s="2043"/>
      <c r="U46" s="2043"/>
      <c r="V46" s="2043"/>
      <c r="W46" s="2043"/>
      <c r="X46" s="2043"/>
      <c r="Y46" s="2043"/>
      <c r="Z46" s="2043"/>
      <c r="AA46" s="2043"/>
      <c r="AB46" s="2043"/>
      <c r="AC46" s="2043"/>
    </row>
    <row r="47" spans="1:29" s="1203" customFormat="1" ht="15">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7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5">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5.75"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5.75"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5.75"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5.75"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5.75"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5.75"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5.75"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5.75"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75" thickTop="1">
      <c r="A63" s="661"/>
      <c r="B63" s="1811" t="s">
        <v>2538</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75" thickTop="1">
      <c r="A65" s="661"/>
      <c r="B65" s="2442" t="s">
        <v>2539</v>
      </c>
      <c r="C65" s="2443" t="s">
        <v>2540</v>
      </c>
      <c r="D65" s="2443" t="s">
        <v>2541</v>
      </c>
      <c r="E65" s="2443" t="s">
        <v>2542</v>
      </c>
      <c r="F65" s="2443" t="s">
        <v>2543</v>
      </c>
      <c r="G65" s="2443" t="s">
        <v>2544</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7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7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5.75"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5.75"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5.75"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5.75"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5.75"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5.75"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5.75"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ht="15">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5.75"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5.75"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5"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5.75"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5"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5.75"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5"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5.75"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5"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W41" sqref="W41"/>
      <selection pane="bottomLeft" activeCell="W41" sqref="W41"/>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35" width="9" style="255"/>
    <col min="36" max="16384" width="9" style="1204"/>
  </cols>
  <sheetData>
    <row r="1" spans="1:45" s="255" customFormat="1" ht="14.25" customHeight="1" thickBot="1">
      <c r="A1" s="363"/>
      <c r="B1" s="2115" t="s">
        <v>2291</v>
      </c>
      <c r="C1" s="3604" t="s">
        <v>2292</v>
      </c>
      <c r="D1" s="3605"/>
      <c r="E1" s="3605"/>
      <c r="F1" s="3605"/>
      <c r="G1" s="3605"/>
      <c r="H1" s="3605"/>
      <c r="I1" s="3605"/>
      <c r="J1" s="3605"/>
      <c r="K1" s="3605"/>
      <c r="L1" s="3605"/>
      <c r="M1" s="3605"/>
      <c r="N1" s="3605"/>
      <c r="O1" s="3605"/>
      <c r="P1" s="3605"/>
      <c r="Q1" s="3605"/>
      <c r="R1" s="3605"/>
      <c r="S1" s="3606"/>
      <c r="T1" s="2115" t="s">
        <v>2293</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c r="A2" s="2116"/>
      <c r="B2" s="2860" t="s">
        <v>2294</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c r="D3" s="943"/>
      <c r="E3" s="943"/>
      <c r="F3" s="943"/>
      <c r="G3" s="943"/>
      <c r="H3" s="943"/>
      <c r="I3" s="943"/>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5" thickBot="1">
      <c r="A4" s="2124"/>
      <c r="B4" s="2125"/>
      <c r="C4" s="2126"/>
      <c r="D4" s="2127"/>
      <c r="E4" s="2127"/>
      <c r="F4" s="2127"/>
      <c r="G4" s="2127"/>
      <c r="H4" s="2127"/>
      <c r="I4" s="2127"/>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2777" t="s">
        <v>2886</v>
      </c>
      <c r="C5" s="2133"/>
      <c r="D5" s="2134"/>
      <c r="E5" s="2134"/>
      <c r="F5" s="2134"/>
      <c r="G5" s="2134"/>
      <c r="H5" s="2134"/>
      <c r="I5" s="2134"/>
      <c r="J5" s="2134"/>
      <c r="K5" s="2134"/>
      <c r="L5" s="2135"/>
      <c r="M5" s="2136"/>
      <c r="N5" s="2136"/>
      <c r="O5" s="2134"/>
      <c r="P5" s="2134"/>
      <c r="Q5" s="2134"/>
      <c r="R5" s="2134"/>
      <c r="S5" s="2137"/>
      <c r="T5" s="2138"/>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5" thickBot="1">
      <c r="A6" s="2132"/>
      <c r="B6" s="1879"/>
      <c r="C6" s="1883">
        <v>100</v>
      </c>
      <c r="D6" s="1884">
        <f>C6-$T5</f>
        <v>100</v>
      </c>
      <c r="E6" s="1884">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79" t="s">
        <v>2885</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5"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79" t="s">
        <v>2884</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5" thickBot="1">
      <c r="A10" s="2132"/>
      <c r="B10" s="2778"/>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7" t="s">
        <v>2896</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5"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7" t="s">
        <v>2883</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5"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7" t="s">
        <v>2882</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5"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2295</v>
      </c>
      <c r="B17" s="2159" t="s">
        <v>2296</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5"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75">
      <c r="A20" s="948" t="s">
        <v>822</v>
      </c>
      <c r="B20" s="765">
        <f>S22</f>
        <v>0</v>
      </c>
      <c r="C20" s="1903"/>
      <c r="D20" s="1903"/>
      <c r="E20" s="1903"/>
      <c r="F20" s="1903"/>
      <c r="G20" s="1903"/>
      <c r="H20" s="1903"/>
      <c r="I20" s="1903"/>
      <c r="J20" s="1903"/>
      <c r="K20" s="1903"/>
      <c r="L20" s="1903"/>
      <c r="M20" s="1903"/>
      <c r="N20" s="1903"/>
      <c r="O20" s="1903"/>
      <c r="P20" s="1903"/>
      <c r="Q20" s="1903"/>
      <c r="R20" s="2106"/>
      <c r="S20" s="1912"/>
    </row>
    <row r="21" spans="1:45" ht="15.75">
      <c r="A21" s="948" t="str">
        <f>IF(B23="土地面积","地面单价","楼面单价")</f>
        <v>楼面单价</v>
      </c>
      <c r="B21" s="765" t="e">
        <f>R22</f>
        <v>#DIV/0!</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0</v>
      </c>
      <c r="C22" s="3601" t="s">
        <v>20</v>
      </c>
      <c r="D22" s="3602"/>
      <c r="E22" s="3602"/>
      <c r="F22" s="3602"/>
      <c r="G22" s="3602"/>
      <c r="H22" s="3602"/>
      <c r="I22" s="3602"/>
      <c r="J22" s="3602"/>
      <c r="K22" s="3602"/>
      <c r="L22" s="3602"/>
      <c r="M22" s="3602"/>
      <c r="N22" s="3602"/>
      <c r="O22" s="3602"/>
      <c r="P22" s="3602"/>
      <c r="Q22" s="3603"/>
      <c r="R22" s="484" t="e">
        <f>ROUND(S22*10000/B22,0)</f>
        <v>#DIV/0!</v>
      </c>
      <c r="S22" s="53">
        <f>SUM(S24:S10000)</f>
        <v>0</v>
      </c>
    </row>
    <row r="23" spans="1:45" s="1543" customFormat="1" ht="24">
      <c r="A23" s="17" t="s">
        <v>824</v>
      </c>
      <c r="B23" s="2861" t="s">
        <v>2904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4" customFormat="1">
      <c r="A24" s="949" t="s">
        <v>828</v>
      </c>
      <c r="B24" s="949"/>
      <c r="C24" s="3276">
        <v>1</v>
      </c>
      <c r="D24" s="3277"/>
      <c r="E24" s="3276">
        <v>1</v>
      </c>
      <c r="F24" s="3277"/>
      <c r="G24" s="3276">
        <v>1</v>
      </c>
      <c r="H24" s="3277"/>
      <c r="I24" s="3276">
        <v>1</v>
      </c>
      <c r="J24" s="3277"/>
      <c r="K24" s="3276">
        <v>1</v>
      </c>
      <c r="L24" s="3277"/>
      <c r="M24" s="3276">
        <v>1</v>
      </c>
      <c r="N24" s="3277"/>
      <c r="O24" s="3276">
        <v>1</v>
      </c>
      <c r="P24" s="3277"/>
      <c r="Q24" s="3276">
        <v>1</v>
      </c>
      <c r="R24" s="952"/>
      <c r="S24" s="950">
        <f t="shared" ref="S24:S54" si="11">ROUND(R24*B24/10000,0)</f>
        <v>0</v>
      </c>
      <c r="T24" s="1888"/>
      <c r="U24" s="1888"/>
      <c r="V24" s="1888"/>
      <c r="W24" s="1888"/>
      <c r="X24" s="1888"/>
      <c r="Y24" s="1888"/>
      <c r="Z24" s="1888"/>
      <c r="AA24" s="1888"/>
      <c r="AB24" s="1888"/>
      <c r="AC24" s="1888"/>
      <c r="AD24" s="1888"/>
      <c r="AE24" s="1888"/>
      <c r="AF24" s="1888"/>
      <c r="AG24" s="1888"/>
      <c r="AH24" s="1888"/>
      <c r="AI24" s="1888"/>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4" customWidth="1"/>
    <col min="2" max="2" width="9" style="1694"/>
    <col min="3" max="4" width="9.625" style="1694" customWidth="1"/>
    <col min="5" max="16384" width="9" style="1694"/>
  </cols>
  <sheetData>
    <row r="1" spans="1:4" ht="22.5">
      <c r="A1" s="1693" t="s">
        <v>1895</v>
      </c>
    </row>
    <row r="2" spans="1:4">
      <c r="A2" s="1695"/>
    </row>
    <row r="3" spans="1:4" ht="18.75">
      <c r="A3" s="1713" t="str">
        <f>项目基本情况!B5&amp;"："</f>
        <v>：</v>
      </c>
    </row>
    <row r="4" spans="1:4" ht="37.5">
      <c r="A4" s="1707" t="str">
        <f>"受贵公司委托，我公司对"&amp;项目基本情况!K2&amp;项目基本情况!B9&amp;"进行了预评估。"</f>
        <v>受贵公司委托，我公司对北京市出让国有建设用地使用权市场价格进行了预评估。</v>
      </c>
    </row>
    <row r="5" spans="1:4" ht="18.75">
      <c r="A5" s="1710" t="s">
        <v>1896</v>
      </c>
    </row>
    <row r="6" spans="1:4" ht="75">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13141.8平方米。根据《建设工程规划许可证》[]、《出让合同》[]，估价对象规划建筑面积为26283.6平方米。</v>
      </c>
    </row>
    <row r="7" spans="1:4" ht="93.75">
      <c r="A7" s="2591" t="s">
        <v>2728</v>
      </c>
    </row>
    <row r="8" spans="1:4" ht="18.75">
      <c r="A8" s="1710" t="s">
        <v>1897</v>
      </c>
    </row>
    <row r="9" spans="1:4" ht="75">
      <c r="A9" s="171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3" t="s">
        <v>2015</v>
      </c>
    </row>
    <row r="11" spans="1:4" ht="18.75">
      <c r="A11" s="1696" t="str">
        <f>TEXT(项目基本情况!D3,"yyyy年m月d日;;")&amp;IF(项目基本情况!B3=项目基本情况!D3,"（评估专业人员勘察现场之日）","")</f>
        <v>2021年5月13日（评估专业人员勘察现场之日）</v>
      </c>
    </row>
    <row r="12" spans="1:4" ht="18.75">
      <c r="A12" s="1713" t="s">
        <v>2014</v>
      </c>
    </row>
    <row r="13" spans="1:4" ht="18.75">
      <c r="A13" s="1707" t="s">
        <v>2060</v>
      </c>
    </row>
    <row r="14" spans="1:4" ht="18.75">
      <c r="A14" s="1707" t="str">
        <f>"根据"&amp;项目基本情况!F12&amp;"，本次评估估价对象证载（地类）用途为"&amp;项目基本情况!B12&amp;"。"</f>
        <v>根据《国有土地使用证》[]，本次评估估价对象证载（地类）用途为。</v>
      </c>
      <c r="C14" s="1697"/>
      <c r="D14" s="1698"/>
    </row>
    <row r="15" spans="1:4" ht="18.75">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8.75">
      <c r="A16" s="1707" t="s">
        <v>2061</v>
      </c>
    </row>
    <row r="17" spans="1:1" ht="56.25">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根据委托估价方介绍及评估专业人员现场勘查，本次评估估价对象实际土地开发程度为红线外市政基础设施达“七通”（即通路、通电、通讯、通上水、通下水、平整、）、宗地红线内场地平整。</v>
      </c>
    </row>
    <row r="18" spans="1:1" ht="56.25">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7" t="s">
        <v>2062</v>
      </c>
    </row>
    <row r="20" spans="1:1" ht="56.25">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根据《国有土地使用证》[]，估价对象（分摊）出让国有建设用地使用权面积为13141.8平方米。根据《建设工程规划许可证》[]、《出让合同》[]，估价对象规划建筑面积为26283.6平方米。</v>
      </c>
    </row>
    <row r="21" spans="1:1" ht="93.75">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7" t="s">
        <v>2063</v>
      </c>
    </row>
    <row r="23" spans="1:1" ht="18.75">
      <c r="A23" s="2593" t="s">
        <v>2729</v>
      </c>
    </row>
    <row r="24" spans="1:1" ht="18.75">
      <c r="A24" s="1707" t="s">
        <v>2064</v>
      </c>
    </row>
    <row r="25" spans="1:1" ht="75">
      <c r="A25" s="1707" t="str">
        <f>定义!C53</f>
        <v>本次估价的“出让国有建设用地使用权价格”是指在估价对象土地所有权为国家所有，使用权性质为出让，在公开市场条件下、于估价期日2021年5月13日，在规划利用条件下、设定土地开发程度为红线外“七通”、宗地内场地，设定用途为，剩余土地使用年限为的出让国有建设用地使用权价格。</v>
      </c>
    </row>
    <row r="26" spans="1:1" ht="37.5">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7" t="str">
        <f>IF(项目基本情况!E9="——","",定义!C57)</f>
        <v/>
      </c>
    </row>
    <row r="29" spans="1:1" ht="18.75">
      <c r="A29" s="1713" t="s">
        <v>2016</v>
      </c>
    </row>
    <row r="30" spans="1:1" ht="75">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14"/>
    </row>
    <row r="32" spans="1:1" ht="18.75">
      <c r="A32" s="1715"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9" customWidth="1"/>
    <col min="2" max="2" width="13.25" style="2665" customWidth="1"/>
    <col min="3" max="3" width="15.625" style="2665" customWidth="1"/>
    <col min="4" max="4" width="9.375" style="2665" bestFit="1" customWidth="1"/>
    <col min="5" max="5" width="13.5" style="2665" customWidth="1"/>
    <col min="6" max="6" width="9" style="2665"/>
    <col min="7" max="7" width="9.375" style="2665" bestFit="1" customWidth="1"/>
    <col min="8" max="9" width="9" style="2665"/>
    <col min="10" max="10" width="9.375" style="2665" bestFit="1" customWidth="1"/>
    <col min="11" max="11" width="4" style="2659" customWidth="1"/>
    <col min="12" max="12" width="5.125" style="2665" customWidth="1"/>
    <col min="13" max="13" width="13.75" style="2665" customWidth="1"/>
    <col min="14" max="256" width="9" style="2665"/>
    <col min="257" max="257" width="4.875" style="2657" customWidth="1"/>
    <col min="258" max="258" width="13.25" style="2657" customWidth="1"/>
    <col min="259" max="259" width="15.625" style="2657" customWidth="1"/>
    <col min="260" max="260" width="9.375" style="2657" bestFit="1" customWidth="1"/>
    <col min="261" max="261" width="13.5" style="2657" customWidth="1"/>
    <col min="262" max="262" width="9" style="2657"/>
    <col min="263" max="263" width="9.375" style="2657" bestFit="1" customWidth="1"/>
    <col min="264" max="265" width="9" style="2657"/>
    <col min="266" max="266" width="9.375" style="2657" bestFit="1" customWidth="1"/>
    <col min="267" max="267" width="4" style="2657" customWidth="1"/>
    <col min="268" max="268" width="5.125" style="2657" customWidth="1"/>
    <col min="269" max="269" width="13.75" style="2657" customWidth="1"/>
    <col min="270" max="512" width="9" style="2657"/>
    <col min="513" max="513" width="4.875" style="2657" customWidth="1"/>
    <col min="514" max="514" width="13.25" style="2657" customWidth="1"/>
    <col min="515" max="515" width="15.625" style="2657" customWidth="1"/>
    <col min="516" max="516" width="9.375" style="2657" bestFit="1" customWidth="1"/>
    <col min="517" max="517" width="13.5" style="2657" customWidth="1"/>
    <col min="518" max="518" width="9" style="2657"/>
    <col min="519" max="519" width="9.375" style="2657" bestFit="1" customWidth="1"/>
    <col min="520" max="521" width="9" style="2657"/>
    <col min="522" max="522" width="9.375" style="2657" bestFit="1" customWidth="1"/>
    <col min="523" max="523" width="4" style="2657" customWidth="1"/>
    <col min="524" max="524" width="5.125" style="2657" customWidth="1"/>
    <col min="525" max="525" width="13.75" style="2657" customWidth="1"/>
    <col min="526" max="768" width="9" style="2657"/>
    <col min="769" max="769" width="4.875" style="2657" customWidth="1"/>
    <col min="770" max="770" width="13.25" style="2657" customWidth="1"/>
    <col min="771" max="771" width="15.625" style="2657" customWidth="1"/>
    <col min="772" max="772" width="9.375" style="2657" bestFit="1" customWidth="1"/>
    <col min="773" max="773" width="13.5" style="2657" customWidth="1"/>
    <col min="774" max="774" width="9" style="2657"/>
    <col min="775" max="775" width="9.375" style="2657" bestFit="1" customWidth="1"/>
    <col min="776" max="777" width="9" style="2657"/>
    <col min="778" max="778" width="9.375" style="2657" bestFit="1" customWidth="1"/>
    <col min="779" max="779" width="4" style="2657" customWidth="1"/>
    <col min="780" max="780" width="5.125" style="2657" customWidth="1"/>
    <col min="781" max="781" width="13.75" style="2657" customWidth="1"/>
    <col min="782" max="1024" width="9" style="2657"/>
    <col min="1025" max="1025" width="4.875" style="2657" customWidth="1"/>
    <col min="1026" max="1026" width="13.25" style="2657" customWidth="1"/>
    <col min="1027" max="1027" width="15.625" style="2657" customWidth="1"/>
    <col min="1028" max="1028" width="9.375" style="2657" bestFit="1" customWidth="1"/>
    <col min="1029" max="1029" width="13.5" style="2657" customWidth="1"/>
    <col min="1030" max="1030" width="9" style="2657"/>
    <col min="1031" max="1031" width="9.375" style="2657" bestFit="1" customWidth="1"/>
    <col min="1032" max="1033" width="9" style="2657"/>
    <col min="1034" max="1034" width="9.375" style="2657" bestFit="1" customWidth="1"/>
    <col min="1035" max="1035" width="4" style="2657" customWidth="1"/>
    <col min="1036" max="1036" width="5.125" style="2657" customWidth="1"/>
    <col min="1037" max="1037" width="13.75" style="2657" customWidth="1"/>
    <col min="1038" max="1280" width="9" style="2657"/>
    <col min="1281" max="1281" width="4.875" style="2657" customWidth="1"/>
    <col min="1282" max="1282" width="13.25" style="2657" customWidth="1"/>
    <col min="1283" max="1283" width="15.625" style="2657" customWidth="1"/>
    <col min="1284" max="1284" width="9.375" style="2657" bestFit="1" customWidth="1"/>
    <col min="1285" max="1285" width="13.5" style="2657" customWidth="1"/>
    <col min="1286" max="1286" width="9" style="2657"/>
    <col min="1287" max="1287" width="9.375" style="2657" bestFit="1" customWidth="1"/>
    <col min="1288" max="1289" width="9" style="2657"/>
    <col min="1290" max="1290" width="9.375" style="2657" bestFit="1" customWidth="1"/>
    <col min="1291" max="1291" width="4" style="2657" customWidth="1"/>
    <col min="1292" max="1292" width="5.125" style="2657" customWidth="1"/>
    <col min="1293" max="1293" width="13.75" style="2657" customWidth="1"/>
    <col min="1294" max="1536" width="9" style="2657"/>
    <col min="1537" max="1537" width="4.875" style="2657" customWidth="1"/>
    <col min="1538" max="1538" width="13.25" style="2657" customWidth="1"/>
    <col min="1539" max="1539" width="15.625" style="2657" customWidth="1"/>
    <col min="1540" max="1540" width="9.375" style="2657" bestFit="1" customWidth="1"/>
    <col min="1541" max="1541" width="13.5" style="2657" customWidth="1"/>
    <col min="1542" max="1542" width="9" style="2657"/>
    <col min="1543" max="1543" width="9.375" style="2657" bestFit="1" customWidth="1"/>
    <col min="1544" max="1545" width="9" style="2657"/>
    <col min="1546" max="1546" width="9.375" style="2657" bestFit="1" customWidth="1"/>
    <col min="1547" max="1547" width="4" style="2657" customWidth="1"/>
    <col min="1548" max="1548" width="5.125" style="2657" customWidth="1"/>
    <col min="1549" max="1549" width="13.75" style="2657" customWidth="1"/>
    <col min="1550" max="1792" width="9" style="2657"/>
    <col min="1793" max="1793" width="4.875" style="2657" customWidth="1"/>
    <col min="1794" max="1794" width="13.25" style="2657" customWidth="1"/>
    <col min="1795" max="1795" width="15.625" style="2657" customWidth="1"/>
    <col min="1796" max="1796" width="9.375" style="2657" bestFit="1" customWidth="1"/>
    <col min="1797" max="1797" width="13.5" style="2657" customWidth="1"/>
    <col min="1798" max="1798" width="9" style="2657"/>
    <col min="1799" max="1799" width="9.375" style="2657" bestFit="1" customWidth="1"/>
    <col min="1800" max="1801" width="9" style="2657"/>
    <col min="1802" max="1802" width="9.375" style="2657" bestFit="1" customWidth="1"/>
    <col min="1803" max="1803" width="4" style="2657" customWidth="1"/>
    <col min="1804" max="1804" width="5.125" style="2657" customWidth="1"/>
    <col min="1805" max="1805" width="13.75" style="2657" customWidth="1"/>
    <col min="1806" max="2048" width="9" style="2657"/>
    <col min="2049" max="2049" width="4.875" style="2657" customWidth="1"/>
    <col min="2050" max="2050" width="13.25" style="2657" customWidth="1"/>
    <col min="2051" max="2051" width="15.625" style="2657" customWidth="1"/>
    <col min="2052" max="2052" width="9.375" style="2657" bestFit="1" customWidth="1"/>
    <col min="2053" max="2053" width="13.5" style="2657" customWidth="1"/>
    <col min="2054" max="2054" width="9" style="2657"/>
    <col min="2055" max="2055" width="9.375" style="2657" bestFit="1" customWidth="1"/>
    <col min="2056" max="2057" width="9" style="2657"/>
    <col min="2058" max="2058" width="9.375" style="2657" bestFit="1" customWidth="1"/>
    <col min="2059" max="2059" width="4" style="2657" customWidth="1"/>
    <col min="2060" max="2060" width="5.125" style="2657" customWidth="1"/>
    <col min="2061" max="2061" width="13.75" style="2657" customWidth="1"/>
    <col min="2062" max="2304" width="9" style="2657"/>
    <col min="2305" max="2305" width="4.875" style="2657" customWidth="1"/>
    <col min="2306" max="2306" width="13.25" style="2657" customWidth="1"/>
    <col min="2307" max="2307" width="15.625" style="2657" customWidth="1"/>
    <col min="2308" max="2308" width="9.375" style="2657" bestFit="1" customWidth="1"/>
    <col min="2309" max="2309" width="13.5" style="2657" customWidth="1"/>
    <col min="2310" max="2310" width="9" style="2657"/>
    <col min="2311" max="2311" width="9.375" style="2657" bestFit="1" customWidth="1"/>
    <col min="2312" max="2313" width="9" style="2657"/>
    <col min="2314" max="2314" width="9.375" style="2657" bestFit="1" customWidth="1"/>
    <col min="2315" max="2315" width="4" style="2657" customWidth="1"/>
    <col min="2316" max="2316" width="5.125" style="2657" customWidth="1"/>
    <col min="2317" max="2317" width="13.75" style="2657" customWidth="1"/>
    <col min="2318" max="2560" width="9" style="2657"/>
    <col min="2561" max="2561" width="4.875" style="2657" customWidth="1"/>
    <col min="2562" max="2562" width="13.25" style="2657" customWidth="1"/>
    <col min="2563" max="2563" width="15.625" style="2657" customWidth="1"/>
    <col min="2564" max="2564" width="9.375" style="2657" bestFit="1" customWidth="1"/>
    <col min="2565" max="2565" width="13.5" style="2657" customWidth="1"/>
    <col min="2566" max="2566" width="9" style="2657"/>
    <col min="2567" max="2567" width="9.375" style="2657" bestFit="1" customWidth="1"/>
    <col min="2568" max="2569" width="9" style="2657"/>
    <col min="2570" max="2570" width="9.375" style="2657" bestFit="1" customWidth="1"/>
    <col min="2571" max="2571" width="4" style="2657" customWidth="1"/>
    <col min="2572" max="2572" width="5.125" style="2657" customWidth="1"/>
    <col min="2573" max="2573" width="13.75" style="2657" customWidth="1"/>
    <col min="2574" max="2816" width="9" style="2657"/>
    <col min="2817" max="2817" width="4.875" style="2657" customWidth="1"/>
    <col min="2818" max="2818" width="13.25" style="2657" customWidth="1"/>
    <col min="2819" max="2819" width="15.625" style="2657" customWidth="1"/>
    <col min="2820" max="2820" width="9.375" style="2657" bestFit="1" customWidth="1"/>
    <col min="2821" max="2821" width="13.5" style="2657" customWidth="1"/>
    <col min="2822" max="2822" width="9" style="2657"/>
    <col min="2823" max="2823" width="9.375" style="2657" bestFit="1" customWidth="1"/>
    <col min="2824" max="2825" width="9" style="2657"/>
    <col min="2826" max="2826" width="9.375" style="2657" bestFit="1" customWidth="1"/>
    <col min="2827" max="2827" width="4" style="2657" customWidth="1"/>
    <col min="2828" max="2828" width="5.125" style="2657" customWidth="1"/>
    <col min="2829" max="2829" width="13.75" style="2657" customWidth="1"/>
    <col min="2830" max="3072" width="9" style="2657"/>
    <col min="3073" max="3073" width="4.875" style="2657" customWidth="1"/>
    <col min="3074" max="3074" width="13.25" style="2657" customWidth="1"/>
    <col min="3075" max="3075" width="15.625" style="2657" customWidth="1"/>
    <col min="3076" max="3076" width="9.375" style="2657" bestFit="1" customWidth="1"/>
    <col min="3077" max="3077" width="13.5" style="2657" customWidth="1"/>
    <col min="3078" max="3078" width="9" style="2657"/>
    <col min="3079" max="3079" width="9.375" style="2657" bestFit="1" customWidth="1"/>
    <col min="3080" max="3081" width="9" style="2657"/>
    <col min="3082" max="3082" width="9.375" style="2657" bestFit="1" customWidth="1"/>
    <col min="3083" max="3083" width="4" style="2657" customWidth="1"/>
    <col min="3084" max="3084" width="5.125" style="2657" customWidth="1"/>
    <col min="3085" max="3085" width="13.75" style="2657" customWidth="1"/>
    <col min="3086" max="3328" width="9" style="2657"/>
    <col min="3329" max="3329" width="4.875" style="2657" customWidth="1"/>
    <col min="3330" max="3330" width="13.25" style="2657" customWidth="1"/>
    <col min="3331" max="3331" width="15.625" style="2657" customWidth="1"/>
    <col min="3332" max="3332" width="9.375" style="2657" bestFit="1" customWidth="1"/>
    <col min="3333" max="3333" width="13.5" style="2657" customWidth="1"/>
    <col min="3334" max="3334" width="9" style="2657"/>
    <col min="3335" max="3335" width="9.375" style="2657" bestFit="1" customWidth="1"/>
    <col min="3336" max="3337" width="9" style="2657"/>
    <col min="3338" max="3338" width="9.375" style="2657" bestFit="1" customWidth="1"/>
    <col min="3339" max="3339" width="4" style="2657" customWidth="1"/>
    <col min="3340" max="3340" width="5.125" style="2657" customWidth="1"/>
    <col min="3341" max="3341" width="13.75" style="2657" customWidth="1"/>
    <col min="3342" max="3584" width="9" style="2657"/>
    <col min="3585" max="3585" width="4.875" style="2657" customWidth="1"/>
    <col min="3586" max="3586" width="13.25" style="2657" customWidth="1"/>
    <col min="3587" max="3587" width="15.625" style="2657" customWidth="1"/>
    <col min="3588" max="3588" width="9.375" style="2657" bestFit="1" customWidth="1"/>
    <col min="3589" max="3589" width="13.5" style="2657" customWidth="1"/>
    <col min="3590" max="3590" width="9" style="2657"/>
    <col min="3591" max="3591" width="9.375" style="2657" bestFit="1" customWidth="1"/>
    <col min="3592" max="3593" width="9" style="2657"/>
    <col min="3594" max="3594" width="9.375" style="2657" bestFit="1" customWidth="1"/>
    <col min="3595" max="3595" width="4" style="2657" customWidth="1"/>
    <col min="3596" max="3596" width="5.125" style="2657" customWidth="1"/>
    <col min="3597" max="3597" width="13.75" style="2657" customWidth="1"/>
    <col min="3598" max="3840" width="9" style="2657"/>
    <col min="3841" max="3841" width="4.875" style="2657" customWidth="1"/>
    <col min="3842" max="3842" width="13.25" style="2657" customWidth="1"/>
    <col min="3843" max="3843" width="15.625" style="2657" customWidth="1"/>
    <col min="3844" max="3844" width="9.375" style="2657" bestFit="1" customWidth="1"/>
    <col min="3845" max="3845" width="13.5" style="2657" customWidth="1"/>
    <col min="3846" max="3846" width="9" style="2657"/>
    <col min="3847" max="3847" width="9.375" style="2657" bestFit="1" customWidth="1"/>
    <col min="3848" max="3849" width="9" style="2657"/>
    <col min="3850" max="3850" width="9.375" style="2657" bestFit="1" customWidth="1"/>
    <col min="3851" max="3851" width="4" style="2657" customWidth="1"/>
    <col min="3852" max="3852" width="5.125" style="2657" customWidth="1"/>
    <col min="3853" max="3853" width="13.75" style="2657" customWidth="1"/>
    <col min="3854" max="4096" width="9" style="2657"/>
    <col min="4097" max="4097" width="4.875" style="2657" customWidth="1"/>
    <col min="4098" max="4098" width="13.25" style="2657" customWidth="1"/>
    <col min="4099" max="4099" width="15.625" style="2657" customWidth="1"/>
    <col min="4100" max="4100" width="9.375" style="2657" bestFit="1" customWidth="1"/>
    <col min="4101" max="4101" width="13.5" style="2657" customWidth="1"/>
    <col min="4102" max="4102" width="9" style="2657"/>
    <col min="4103" max="4103" width="9.375" style="2657" bestFit="1" customWidth="1"/>
    <col min="4104" max="4105" width="9" style="2657"/>
    <col min="4106" max="4106" width="9.375" style="2657" bestFit="1" customWidth="1"/>
    <col min="4107" max="4107" width="4" style="2657" customWidth="1"/>
    <col min="4108" max="4108" width="5.125" style="2657" customWidth="1"/>
    <col min="4109" max="4109" width="13.75" style="2657" customWidth="1"/>
    <col min="4110" max="4352" width="9" style="2657"/>
    <col min="4353" max="4353" width="4.875" style="2657" customWidth="1"/>
    <col min="4354" max="4354" width="13.25" style="2657" customWidth="1"/>
    <col min="4355" max="4355" width="15.625" style="2657" customWidth="1"/>
    <col min="4356" max="4356" width="9.375" style="2657" bestFit="1" customWidth="1"/>
    <col min="4357" max="4357" width="13.5" style="2657" customWidth="1"/>
    <col min="4358" max="4358" width="9" style="2657"/>
    <col min="4359" max="4359" width="9.375" style="2657" bestFit="1" customWidth="1"/>
    <col min="4360" max="4361" width="9" style="2657"/>
    <col min="4362" max="4362" width="9.375" style="2657" bestFit="1" customWidth="1"/>
    <col min="4363" max="4363" width="4" style="2657" customWidth="1"/>
    <col min="4364" max="4364" width="5.125" style="2657" customWidth="1"/>
    <col min="4365" max="4365" width="13.75" style="2657" customWidth="1"/>
    <col min="4366" max="4608" width="9" style="2657"/>
    <col min="4609" max="4609" width="4.875" style="2657" customWidth="1"/>
    <col min="4610" max="4610" width="13.25" style="2657" customWidth="1"/>
    <col min="4611" max="4611" width="15.625" style="2657" customWidth="1"/>
    <col min="4612" max="4612" width="9.375" style="2657" bestFit="1" customWidth="1"/>
    <col min="4613" max="4613" width="13.5" style="2657" customWidth="1"/>
    <col min="4614" max="4614" width="9" style="2657"/>
    <col min="4615" max="4615" width="9.375" style="2657" bestFit="1" customWidth="1"/>
    <col min="4616" max="4617" width="9" style="2657"/>
    <col min="4618" max="4618" width="9.375" style="2657" bestFit="1" customWidth="1"/>
    <col min="4619" max="4619" width="4" style="2657" customWidth="1"/>
    <col min="4620" max="4620" width="5.125" style="2657" customWidth="1"/>
    <col min="4621" max="4621" width="13.75" style="2657" customWidth="1"/>
    <col min="4622" max="4864" width="9" style="2657"/>
    <col min="4865" max="4865" width="4.875" style="2657" customWidth="1"/>
    <col min="4866" max="4866" width="13.25" style="2657" customWidth="1"/>
    <col min="4867" max="4867" width="15.625" style="2657" customWidth="1"/>
    <col min="4868" max="4868" width="9.375" style="2657" bestFit="1" customWidth="1"/>
    <col min="4869" max="4869" width="13.5" style="2657" customWidth="1"/>
    <col min="4870" max="4870" width="9" style="2657"/>
    <col min="4871" max="4871" width="9.375" style="2657" bestFit="1" customWidth="1"/>
    <col min="4872" max="4873" width="9" style="2657"/>
    <col min="4874" max="4874" width="9.375" style="2657" bestFit="1" customWidth="1"/>
    <col min="4875" max="4875" width="4" style="2657" customWidth="1"/>
    <col min="4876" max="4876" width="5.125" style="2657" customWidth="1"/>
    <col min="4877" max="4877" width="13.75" style="2657" customWidth="1"/>
    <col min="4878" max="5120" width="9" style="2657"/>
    <col min="5121" max="5121" width="4.875" style="2657" customWidth="1"/>
    <col min="5122" max="5122" width="13.25" style="2657" customWidth="1"/>
    <col min="5123" max="5123" width="15.625" style="2657" customWidth="1"/>
    <col min="5124" max="5124" width="9.375" style="2657" bestFit="1" customWidth="1"/>
    <col min="5125" max="5125" width="13.5" style="2657" customWidth="1"/>
    <col min="5126" max="5126" width="9" style="2657"/>
    <col min="5127" max="5127" width="9.375" style="2657" bestFit="1" customWidth="1"/>
    <col min="5128" max="5129" width="9" style="2657"/>
    <col min="5130" max="5130" width="9.375" style="2657" bestFit="1" customWidth="1"/>
    <col min="5131" max="5131" width="4" style="2657" customWidth="1"/>
    <col min="5132" max="5132" width="5.125" style="2657" customWidth="1"/>
    <col min="5133" max="5133" width="13.75" style="2657" customWidth="1"/>
    <col min="5134" max="5376" width="9" style="2657"/>
    <col min="5377" max="5377" width="4.875" style="2657" customWidth="1"/>
    <col min="5378" max="5378" width="13.25" style="2657" customWidth="1"/>
    <col min="5379" max="5379" width="15.625" style="2657" customWidth="1"/>
    <col min="5380" max="5380" width="9.375" style="2657" bestFit="1" customWidth="1"/>
    <col min="5381" max="5381" width="13.5" style="2657" customWidth="1"/>
    <col min="5382" max="5382" width="9" style="2657"/>
    <col min="5383" max="5383" width="9.375" style="2657" bestFit="1" customWidth="1"/>
    <col min="5384" max="5385" width="9" style="2657"/>
    <col min="5386" max="5386" width="9.375" style="2657" bestFit="1" customWidth="1"/>
    <col min="5387" max="5387" width="4" style="2657" customWidth="1"/>
    <col min="5388" max="5388" width="5.125" style="2657" customWidth="1"/>
    <col min="5389" max="5389" width="13.75" style="2657" customWidth="1"/>
    <col min="5390" max="5632" width="9" style="2657"/>
    <col min="5633" max="5633" width="4.875" style="2657" customWidth="1"/>
    <col min="5634" max="5634" width="13.25" style="2657" customWidth="1"/>
    <col min="5635" max="5635" width="15.625" style="2657" customWidth="1"/>
    <col min="5636" max="5636" width="9.375" style="2657" bestFit="1" customWidth="1"/>
    <col min="5637" max="5637" width="13.5" style="2657" customWidth="1"/>
    <col min="5638" max="5638" width="9" style="2657"/>
    <col min="5639" max="5639" width="9.375" style="2657" bestFit="1" customWidth="1"/>
    <col min="5640" max="5641" width="9" style="2657"/>
    <col min="5642" max="5642" width="9.375" style="2657" bestFit="1" customWidth="1"/>
    <col min="5643" max="5643" width="4" style="2657" customWidth="1"/>
    <col min="5644" max="5644" width="5.125" style="2657" customWidth="1"/>
    <col min="5645" max="5645" width="13.75" style="2657" customWidth="1"/>
    <col min="5646" max="5888" width="9" style="2657"/>
    <col min="5889" max="5889" width="4.875" style="2657" customWidth="1"/>
    <col min="5890" max="5890" width="13.25" style="2657" customWidth="1"/>
    <col min="5891" max="5891" width="15.625" style="2657" customWidth="1"/>
    <col min="5892" max="5892" width="9.375" style="2657" bestFit="1" customWidth="1"/>
    <col min="5893" max="5893" width="13.5" style="2657" customWidth="1"/>
    <col min="5894" max="5894" width="9" style="2657"/>
    <col min="5895" max="5895" width="9.375" style="2657" bestFit="1" customWidth="1"/>
    <col min="5896" max="5897" width="9" style="2657"/>
    <col min="5898" max="5898" width="9.375" style="2657" bestFit="1" customWidth="1"/>
    <col min="5899" max="5899" width="4" style="2657" customWidth="1"/>
    <col min="5900" max="5900" width="5.125" style="2657" customWidth="1"/>
    <col min="5901" max="5901" width="13.75" style="2657" customWidth="1"/>
    <col min="5902" max="6144" width="9" style="2657"/>
    <col min="6145" max="6145" width="4.875" style="2657" customWidth="1"/>
    <col min="6146" max="6146" width="13.25" style="2657" customWidth="1"/>
    <col min="6147" max="6147" width="15.625" style="2657" customWidth="1"/>
    <col min="6148" max="6148" width="9.375" style="2657" bestFit="1" customWidth="1"/>
    <col min="6149" max="6149" width="13.5" style="2657" customWidth="1"/>
    <col min="6150" max="6150" width="9" style="2657"/>
    <col min="6151" max="6151" width="9.375" style="2657" bestFit="1" customWidth="1"/>
    <col min="6152" max="6153" width="9" style="2657"/>
    <col min="6154" max="6154" width="9.375" style="2657" bestFit="1" customWidth="1"/>
    <col min="6155" max="6155" width="4" style="2657" customWidth="1"/>
    <col min="6156" max="6156" width="5.125" style="2657" customWidth="1"/>
    <col min="6157" max="6157" width="13.75" style="2657" customWidth="1"/>
    <col min="6158" max="6400" width="9" style="2657"/>
    <col min="6401" max="6401" width="4.875" style="2657" customWidth="1"/>
    <col min="6402" max="6402" width="13.25" style="2657" customWidth="1"/>
    <col min="6403" max="6403" width="15.625" style="2657" customWidth="1"/>
    <col min="6404" max="6404" width="9.375" style="2657" bestFit="1" customWidth="1"/>
    <col min="6405" max="6405" width="13.5" style="2657" customWidth="1"/>
    <col min="6406" max="6406" width="9" style="2657"/>
    <col min="6407" max="6407" width="9.375" style="2657" bestFit="1" customWidth="1"/>
    <col min="6408" max="6409" width="9" style="2657"/>
    <col min="6410" max="6410" width="9.375" style="2657" bestFit="1" customWidth="1"/>
    <col min="6411" max="6411" width="4" style="2657" customWidth="1"/>
    <col min="6412" max="6412" width="5.125" style="2657" customWidth="1"/>
    <col min="6413" max="6413" width="13.75" style="2657" customWidth="1"/>
    <col min="6414" max="6656" width="9" style="2657"/>
    <col min="6657" max="6657" width="4.875" style="2657" customWidth="1"/>
    <col min="6658" max="6658" width="13.25" style="2657" customWidth="1"/>
    <col min="6659" max="6659" width="15.625" style="2657" customWidth="1"/>
    <col min="6660" max="6660" width="9.375" style="2657" bestFit="1" customWidth="1"/>
    <col min="6661" max="6661" width="13.5" style="2657" customWidth="1"/>
    <col min="6662" max="6662" width="9" style="2657"/>
    <col min="6663" max="6663" width="9.375" style="2657" bestFit="1" customWidth="1"/>
    <col min="6664" max="6665" width="9" style="2657"/>
    <col min="6666" max="6666" width="9.375" style="2657" bestFit="1" customWidth="1"/>
    <col min="6667" max="6667" width="4" style="2657" customWidth="1"/>
    <col min="6668" max="6668" width="5.125" style="2657" customWidth="1"/>
    <col min="6669" max="6669" width="13.75" style="2657" customWidth="1"/>
    <col min="6670" max="6912" width="9" style="2657"/>
    <col min="6913" max="6913" width="4.875" style="2657" customWidth="1"/>
    <col min="6914" max="6914" width="13.25" style="2657" customWidth="1"/>
    <col min="6915" max="6915" width="15.625" style="2657" customWidth="1"/>
    <col min="6916" max="6916" width="9.375" style="2657" bestFit="1" customWidth="1"/>
    <col min="6917" max="6917" width="13.5" style="2657" customWidth="1"/>
    <col min="6918" max="6918" width="9" style="2657"/>
    <col min="6919" max="6919" width="9.375" style="2657" bestFit="1" customWidth="1"/>
    <col min="6920" max="6921" width="9" style="2657"/>
    <col min="6922" max="6922" width="9.375" style="2657" bestFit="1" customWidth="1"/>
    <col min="6923" max="6923" width="4" style="2657" customWidth="1"/>
    <col min="6924" max="6924" width="5.125" style="2657" customWidth="1"/>
    <col min="6925" max="6925" width="13.75" style="2657" customWidth="1"/>
    <col min="6926" max="7168" width="9" style="2657"/>
    <col min="7169" max="7169" width="4.875" style="2657" customWidth="1"/>
    <col min="7170" max="7170" width="13.25" style="2657" customWidth="1"/>
    <col min="7171" max="7171" width="15.625" style="2657" customWidth="1"/>
    <col min="7172" max="7172" width="9.375" style="2657" bestFit="1" customWidth="1"/>
    <col min="7173" max="7173" width="13.5" style="2657" customWidth="1"/>
    <col min="7174" max="7174" width="9" style="2657"/>
    <col min="7175" max="7175" width="9.375" style="2657" bestFit="1" customWidth="1"/>
    <col min="7176" max="7177" width="9" style="2657"/>
    <col min="7178" max="7178" width="9.375" style="2657" bestFit="1" customWidth="1"/>
    <col min="7179" max="7179" width="4" style="2657" customWidth="1"/>
    <col min="7180" max="7180" width="5.125" style="2657" customWidth="1"/>
    <col min="7181" max="7181" width="13.75" style="2657" customWidth="1"/>
    <col min="7182" max="7424" width="9" style="2657"/>
    <col min="7425" max="7425" width="4.875" style="2657" customWidth="1"/>
    <col min="7426" max="7426" width="13.25" style="2657" customWidth="1"/>
    <col min="7427" max="7427" width="15.625" style="2657" customWidth="1"/>
    <col min="7428" max="7428" width="9.375" style="2657" bestFit="1" customWidth="1"/>
    <col min="7429" max="7429" width="13.5" style="2657" customWidth="1"/>
    <col min="7430" max="7430" width="9" style="2657"/>
    <col min="7431" max="7431" width="9.375" style="2657" bestFit="1" customWidth="1"/>
    <col min="7432" max="7433" width="9" style="2657"/>
    <col min="7434" max="7434" width="9.375" style="2657" bestFit="1" customWidth="1"/>
    <col min="7435" max="7435" width="4" style="2657" customWidth="1"/>
    <col min="7436" max="7436" width="5.125" style="2657" customWidth="1"/>
    <col min="7437" max="7437" width="13.75" style="2657" customWidth="1"/>
    <col min="7438" max="7680" width="9" style="2657"/>
    <col min="7681" max="7681" width="4.875" style="2657" customWidth="1"/>
    <col min="7682" max="7682" width="13.25" style="2657" customWidth="1"/>
    <col min="7683" max="7683" width="15.625" style="2657" customWidth="1"/>
    <col min="7684" max="7684" width="9.375" style="2657" bestFit="1" customWidth="1"/>
    <col min="7685" max="7685" width="13.5" style="2657" customWidth="1"/>
    <col min="7686" max="7686" width="9" style="2657"/>
    <col min="7687" max="7687" width="9.375" style="2657" bestFit="1" customWidth="1"/>
    <col min="7688" max="7689" width="9" style="2657"/>
    <col min="7690" max="7690" width="9.375" style="2657" bestFit="1" customWidth="1"/>
    <col min="7691" max="7691" width="4" style="2657" customWidth="1"/>
    <col min="7692" max="7692" width="5.125" style="2657" customWidth="1"/>
    <col min="7693" max="7693" width="13.75" style="2657" customWidth="1"/>
    <col min="7694" max="7936" width="9" style="2657"/>
    <col min="7937" max="7937" width="4.875" style="2657" customWidth="1"/>
    <col min="7938" max="7938" width="13.25" style="2657" customWidth="1"/>
    <col min="7939" max="7939" width="15.625" style="2657" customWidth="1"/>
    <col min="7940" max="7940" width="9.375" style="2657" bestFit="1" customWidth="1"/>
    <col min="7941" max="7941" width="13.5" style="2657" customWidth="1"/>
    <col min="7942" max="7942" width="9" style="2657"/>
    <col min="7943" max="7943" width="9.375" style="2657" bestFit="1" customWidth="1"/>
    <col min="7944" max="7945" width="9" style="2657"/>
    <col min="7946" max="7946" width="9.375" style="2657" bestFit="1" customWidth="1"/>
    <col min="7947" max="7947" width="4" style="2657" customWidth="1"/>
    <col min="7948" max="7948" width="5.125" style="2657" customWidth="1"/>
    <col min="7949" max="7949" width="13.75" style="2657" customWidth="1"/>
    <col min="7950" max="8192" width="9" style="2657"/>
    <col min="8193" max="8193" width="4.875" style="2657" customWidth="1"/>
    <col min="8194" max="8194" width="13.25" style="2657" customWidth="1"/>
    <col min="8195" max="8195" width="15.625" style="2657" customWidth="1"/>
    <col min="8196" max="8196" width="9.375" style="2657" bestFit="1" customWidth="1"/>
    <col min="8197" max="8197" width="13.5" style="2657" customWidth="1"/>
    <col min="8198" max="8198" width="9" style="2657"/>
    <col min="8199" max="8199" width="9.375" style="2657" bestFit="1" customWidth="1"/>
    <col min="8200" max="8201" width="9" style="2657"/>
    <col min="8202" max="8202" width="9.375" style="2657" bestFit="1" customWidth="1"/>
    <col min="8203" max="8203" width="4" style="2657" customWidth="1"/>
    <col min="8204" max="8204" width="5.125" style="2657" customWidth="1"/>
    <col min="8205" max="8205" width="13.75" style="2657" customWidth="1"/>
    <col min="8206" max="8448" width="9" style="2657"/>
    <col min="8449" max="8449" width="4.875" style="2657" customWidth="1"/>
    <col min="8450" max="8450" width="13.25" style="2657" customWidth="1"/>
    <col min="8451" max="8451" width="15.625" style="2657" customWidth="1"/>
    <col min="8452" max="8452" width="9.375" style="2657" bestFit="1" customWidth="1"/>
    <col min="8453" max="8453" width="13.5" style="2657" customWidth="1"/>
    <col min="8454" max="8454" width="9" style="2657"/>
    <col min="8455" max="8455" width="9.375" style="2657" bestFit="1" customWidth="1"/>
    <col min="8456" max="8457" width="9" style="2657"/>
    <col min="8458" max="8458" width="9.375" style="2657" bestFit="1" customWidth="1"/>
    <col min="8459" max="8459" width="4" style="2657" customWidth="1"/>
    <col min="8460" max="8460" width="5.125" style="2657" customWidth="1"/>
    <col min="8461" max="8461" width="13.75" style="2657" customWidth="1"/>
    <col min="8462" max="8704" width="9" style="2657"/>
    <col min="8705" max="8705" width="4.875" style="2657" customWidth="1"/>
    <col min="8706" max="8706" width="13.25" style="2657" customWidth="1"/>
    <col min="8707" max="8707" width="15.625" style="2657" customWidth="1"/>
    <col min="8708" max="8708" width="9.375" style="2657" bestFit="1" customWidth="1"/>
    <col min="8709" max="8709" width="13.5" style="2657" customWidth="1"/>
    <col min="8710" max="8710" width="9" style="2657"/>
    <col min="8711" max="8711" width="9.375" style="2657" bestFit="1" customWidth="1"/>
    <col min="8712" max="8713" width="9" style="2657"/>
    <col min="8714" max="8714" width="9.375" style="2657" bestFit="1" customWidth="1"/>
    <col min="8715" max="8715" width="4" style="2657" customWidth="1"/>
    <col min="8716" max="8716" width="5.125" style="2657" customWidth="1"/>
    <col min="8717" max="8717" width="13.75" style="2657" customWidth="1"/>
    <col min="8718" max="8960" width="9" style="2657"/>
    <col min="8961" max="8961" width="4.875" style="2657" customWidth="1"/>
    <col min="8962" max="8962" width="13.25" style="2657" customWidth="1"/>
    <col min="8963" max="8963" width="15.625" style="2657" customWidth="1"/>
    <col min="8964" max="8964" width="9.375" style="2657" bestFit="1" customWidth="1"/>
    <col min="8965" max="8965" width="13.5" style="2657" customWidth="1"/>
    <col min="8966" max="8966" width="9" style="2657"/>
    <col min="8967" max="8967" width="9.375" style="2657" bestFit="1" customWidth="1"/>
    <col min="8968" max="8969" width="9" style="2657"/>
    <col min="8970" max="8970" width="9.375" style="2657" bestFit="1" customWidth="1"/>
    <col min="8971" max="8971" width="4" style="2657" customWidth="1"/>
    <col min="8972" max="8972" width="5.125" style="2657" customWidth="1"/>
    <col min="8973" max="8973" width="13.75" style="2657" customWidth="1"/>
    <col min="8974" max="9216" width="9" style="2657"/>
    <col min="9217" max="9217" width="4.875" style="2657" customWidth="1"/>
    <col min="9218" max="9218" width="13.25" style="2657" customWidth="1"/>
    <col min="9219" max="9219" width="15.625" style="2657" customWidth="1"/>
    <col min="9220" max="9220" width="9.375" style="2657" bestFit="1" customWidth="1"/>
    <col min="9221" max="9221" width="13.5" style="2657" customWidth="1"/>
    <col min="9222" max="9222" width="9" style="2657"/>
    <col min="9223" max="9223" width="9.375" style="2657" bestFit="1" customWidth="1"/>
    <col min="9224" max="9225" width="9" style="2657"/>
    <col min="9226" max="9226" width="9.375" style="2657" bestFit="1" customWidth="1"/>
    <col min="9227" max="9227" width="4" style="2657" customWidth="1"/>
    <col min="9228" max="9228" width="5.125" style="2657" customWidth="1"/>
    <col min="9229" max="9229" width="13.75" style="2657" customWidth="1"/>
    <col min="9230" max="9472" width="9" style="2657"/>
    <col min="9473" max="9473" width="4.875" style="2657" customWidth="1"/>
    <col min="9474" max="9474" width="13.25" style="2657" customWidth="1"/>
    <col min="9475" max="9475" width="15.625" style="2657" customWidth="1"/>
    <col min="9476" max="9476" width="9.375" style="2657" bestFit="1" customWidth="1"/>
    <col min="9477" max="9477" width="13.5" style="2657" customWidth="1"/>
    <col min="9478" max="9478" width="9" style="2657"/>
    <col min="9479" max="9479" width="9.375" style="2657" bestFit="1" customWidth="1"/>
    <col min="9480" max="9481" width="9" style="2657"/>
    <col min="9482" max="9482" width="9.375" style="2657" bestFit="1" customWidth="1"/>
    <col min="9483" max="9483" width="4" style="2657" customWidth="1"/>
    <col min="9484" max="9484" width="5.125" style="2657" customWidth="1"/>
    <col min="9485" max="9485" width="13.75" style="2657" customWidth="1"/>
    <col min="9486" max="9728" width="9" style="2657"/>
    <col min="9729" max="9729" width="4.875" style="2657" customWidth="1"/>
    <col min="9730" max="9730" width="13.25" style="2657" customWidth="1"/>
    <col min="9731" max="9731" width="15.625" style="2657" customWidth="1"/>
    <col min="9732" max="9732" width="9.375" style="2657" bestFit="1" customWidth="1"/>
    <col min="9733" max="9733" width="13.5" style="2657" customWidth="1"/>
    <col min="9734" max="9734" width="9" style="2657"/>
    <col min="9735" max="9735" width="9.375" style="2657" bestFit="1" customWidth="1"/>
    <col min="9736" max="9737" width="9" style="2657"/>
    <col min="9738" max="9738" width="9.375" style="2657" bestFit="1" customWidth="1"/>
    <col min="9739" max="9739" width="4" style="2657" customWidth="1"/>
    <col min="9740" max="9740" width="5.125" style="2657" customWidth="1"/>
    <col min="9741" max="9741" width="13.75" style="2657" customWidth="1"/>
    <col min="9742" max="9984" width="9" style="2657"/>
    <col min="9985" max="9985" width="4.875" style="2657" customWidth="1"/>
    <col min="9986" max="9986" width="13.25" style="2657" customWidth="1"/>
    <col min="9987" max="9987" width="15.625" style="2657" customWidth="1"/>
    <col min="9988" max="9988" width="9.375" style="2657" bestFit="1" customWidth="1"/>
    <col min="9989" max="9989" width="13.5" style="2657" customWidth="1"/>
    <col min="9990" max="9990" width="9" style="2657"/>
    <col min="9991" max="9991" width="9.375" style="2657" bestFit="1" customWidth="1"/>
    <col min="9992" max="9993" width="9" style="2657"/>
    <col min="9994" max="9994" width="9.375" style="2657" bestFit="1" customWidth="1"/>
    <col min="9995" max="9995" width="4" style="2657" customWidth="1"/>
    <col min="9996" max="9996" width="5.125" style="2657" customWidth="1"/>
    <col min="9997" max="9997" width="13.75" style="2657" customWidth="1"/>
    <col min="9998" max="10240" width="9" style="2657"/>
    <col min="10241" max="10241" width="4.875" style="2657" customWidth="1"/>
    <col min="10242" max="10242" width="13.25" style="2657" customWidth="1"/>
    <col min="10243" max="10243" width="15.625" style="2657" customWidth="1"/>
    <col min="10244" max="10244" width="9.375" style="2657" bestFit="1" customWidth="1"/>
    <col min="10245" max="10245" width="13.5" style="2657" customWidth="1"/>
    <col min="10246" max="10246" width="9" style="2657"/>
    <col min="10247" max="10247" width="9.375" style="2657" bestFit="1" customWidth="1"/>
    <col min="10248" max="10249" width="9" style="2657"/>
    <col min="10250" max="10250" width="9.375" style="2657" bestFit="1" customWidth="1"/>
    <col min="10251" max="10251" width="4" style="2657" customWidth="1"/>
    <col min="10252" max="10252" width="5.125" style="2657" customWidth="1"/>
    <col min="10253" max="10253" width="13.75" style="2657" customWidth="1"/>
    <col min="10254" max="10496" width="9" style="2657"/>
    <col min="10497" max="10497" width="4.875" style="2657" customWidth="1"/>
    <col min="10498" max="10498" width="13.25" style="2657" customWidth="1"/>
    <col min="10499" max="10499" width="15.625" style="2657" customWidth="1"/>
    <col min="10500" max="10500" width="9.375" style="2657" bestFit="1" customWidth="1"/>
    <col min="10501" max="10501" width="13.5" style="2657" customWidth="1"/>
    <col min="10502" max="10502" width="9" style="2657"/>
    <col min="10503" max="10503" width="9.375" style="2657" bestFit="1" customWidth="1"/>
    <col min="10504" max="10505" width="9" style="2657"/>
    <col min="10506" max="10506" width="9.375" style="2657" bestFit="1" customWidth="1"/>
    <col min="10507" max="10507" width="4" style="2657" customWidth="1"/>
    <col min="10508" max="10508" width="5.125" style="2657" customWidth="1"/>
    <col min="10509" max="10509" width="13.75" style="2657" customWidth="1"/>
    <col min="10510" max="10752" width="9" style="2657"/>
    <col min="10753" max="10753" width="4.875" style="2657" customWidth="1"/>
    <col min="10754" max="10754" width="13.25" style="2657" customWidth="1"/>
    <col min="10755" max="10755" width="15.625" style="2657" customWidth="1"/>
    <col min="10756" max="10756" width="9.375" style="2657" bestFit="1" customWidth="1"/>
    <col min="10757" max="10757" width="13.5" style="2657" customWidth="1"/>
    <col min="10758" max="10758" width="9" style="2657"/>
    <col min="10759" max="10759" width="9.375" style="2657" bestFit="1" customWidth="1"/>
    <col min="10760" max="10761" width="9" style="2657"/>
    <col min="10762" max="10762" width="9.375" style="2657" bestFit="1" customWidth="1"/>
    <col min="10763" max="10763" width="4" style="2657" customWidth="1"/>
    <col min="10764" max="10764" width="5.125" style="2657" customWidth="1"/>
    <col min="10765" max="10765" width="13.75" style="2657" customWidth="1"/>
    <col min="10766" max="11008" width="9" style="2657"/>
    <col min="11009" max="11009" width="4.875" style="2657" customWidth="1"/>
    <col min="11010" max="11010" width="13.25" style="2657" customWidth="1"/>
    <col min="11011" max="11011" width="15.625" style="2657" customWidth="1"/>
    <col min="11012" max="11012" width="9.375" style="2657" bestFit="1" customWidth="1"/>
    <col min="11013" max="11013" width="13.5" style="2657" customWidth="1"/>
    <col min="11014" max="11014" width="9" style="2657"/>
    <col min="11015" max="11015" width="9.375" style="2657" bestFit="1" customWidth="1"/>
    <col min="11016" max="11017" width="9" style="2657"/>
    <col min="11018" max="11018" width="9.375" style="2657" bestFit="1" customWidth="1"/>
    <col min="11019" max="11019" width="4" style="2657" customWidth="1"/>
    <col min="11020" max="11020" width="5.125" style="2657" customWidth="1"/>
    <col min="11021" max="11021" width="13.75" style="2657" customWidth="1"/>
    <col min="11022" max="11264" width="9" style="2657"/>
    <col min="11265" max="11265" width="4.875" style="2657" customWidth="1"/>
    <col min="11266" max="11266" width="13.25" style="2657" customWidth="1"/>
    <col min="11267" max="11267" width="15.625" style="2657" customWidth="1"/>
    <col min="11268" max="11268" width="9.375" style="2657" bestFit="1" customWidth="1"/>
    <col min="11269" max="11269" width="13.5" style="2657" customWidth="1"/>
    <col min="11270" max="11270" width="9" style="2657"/>
    <col min="11271" max="11271" width="9.375" style="2657" bestFit="1" customWidth="1"/>
    <col min="11272" max="11273" width="9" style="2657"/>
    <col min="11274" max="11274" width="9.375" style="2657" bestFit="1" customWidth="1"/>
    <col min="11275" max="11275" width="4" style="2657" customWidth="1"/>
    <col min="11276" max="11276" width="5.125" style="2657" customWidth="1"/>
    <col min="11277" max="11277" width="13.75" style="2657" customWidth="1"/>
    <col min="11278" max="11520" width="9" style="2657"/>
    <col min="11521" max="11521" width="4.875" style="2657" customWidth="1"/>
    <col min="11522" max="11522" width="13.25" style="2657" customWidth="1"/>
    <col min="11523" max="11523" width="15.625" style="2657" customWidth="1"/>
    <col min="11524" max="11524" width="9.375" style="2657" bestFit="1" customWidth="1"/>
    <col min="11525" max="11525" width="13.5" style="2657" customWidth="1"/>
    <col min="11526" max="11526" width="9" style="2657"/>
    <col min="11527" max="11527" width="9.375" style="2657" bestFit="1" customWidth="1"/>
    <col min="11528" max="11529" width="9" style="2657"/>
    <col min="11530" max="11530" width="9.375" style="2657" bestFit="1" customWidth="1"/>
    <col min="11531" max="11531" width="4" style="2657" customWidth="1"/>
    <col min="11532" max="11532" width="5.125" style="2657" customWidth="1"/>
    <col min="11533" max="11533" width="13.75" style="2657" customWidth="1"/>
    <col min="11534" max="11776" width="9" style="2657"/>
    <col min="11777" max="11777" width="4.875" style="2657" customWidth="1"/>
    <col min="11778" max="11778" width="13.25" style="2657" customWidth="1"/>
    <col min="11779" max="11779" width="15.625" style="2657" customWidth="1"/>
    <col min="11780" max="11780" width="9.375" style="2657" bestFit="1" customWidth="1"/>
    <col min="11781" max="11781" width="13.5" style="2657" customWidth="1"/>
    <col min="11782" max="11782" width="9" style="2657"/>
    <col min="11783" max="11783" width="9.375" style="2657" bestFit="1" customWidth="1"/>
    <col min="11784" max="11785" width="9" style="2657"/>
    <col min="11786" max="11786" width="9.375" style="2657" bestFit="1" customWidth="1"/>
    <col min="11787" max="11787" width="4" style="2657" customWidth="1"/>
    <col min="11788" max="11788" width="5.125" style="2657" customWidth="1"/>
    <col min="11789" max="11789" width="13.75" style="2657" customWidth="1"/>
    <col min="11790" max="12032" width="9" style="2657"/>
    <col min="12033" max="12033" width="4.875" style="2657" customWidth="1"/>
    <col min="12034" max="12034" width="13.25" style="2657" customWidth="1"/>
    <col min="12035" max="12035" width="15.625" style="2657" customWidth="1"/>
    <col min="12036" max="12036" width="9.375" style="2657" bestFit="1" customWidth="1"/>
    <col min="12037" max="12037" width="13.5" style="2657" customWidth="1"/>
    <col min="12038" max="12038" width="9" style="2657"/>
    <col min="12039" max="12039" width="9.375" style="2657" bestFit="1" customWidth="1"/>
    <col min="12040" max="12041" width="9" style="2657"/>
    <col min="12042" max="12042" width="9.375" style="2657" bestFit="1" customWidth="1"/>
    <col min="12043" max="12043" width="4" style="2657" customWidth="1"/>
    <col min="12044" max="12044" width="5.125" style="2657" customWidth="1"/>
    <col min="12045" max="12045" width="13.75" style="2657" customWidth="1"/>
    <col min="12046" max="12288" width="9" style="2657"/>
    <col min="12289" max="12289" width="4.875" style="2657" customWidth="1"/>
    <col min="12290" max="12290" width="13.25" style="2657" customWidth="1"/>
    <col min="12291" max="12291" width="15.625" style="2657" customWidth="1"/>
    <col min="12292" max="12292" width="9.375" style="2657" bestFit="1" customWidth="1"/>
    <col min="12293" max="12293" width="13.5" style="2657" customWidth="1"/>
    <col min="12294" max="12294" width="9" style="2657"/>
    <col min="12295" max="12295" width="9.375" style="2657" bestFit="1" customWidth="1"/>
    <col min="12296" max="12297" width="9" style="2657"/>
    <col min="12298" max="12298" width="9.375" style="2657" bestFit="1" customWidth="1"/>
    <col min="12299" max="12299" width="4" style="2657" customWidth="1"/>
    <col min="12300" max="12300" width="5.125" style="2657" customWidth="1"/>
    <col min="12301" max="12301" width="13.75" style="2657" customWidth="1"/>
    <col min="12302" max="12544" width="9" style="2657"/>
    <col min="12545" max="12545" width="4.875" style="2657" customWidth="1"/>
    <col min="12546" max="12546" width="13.25" style="2657" customWidth="1"/>
    <col min="12547" max="12547" width="15.625" style="2657" customWidth="1"/>
    <col min="12548" max="12548" width="9.375" style="2657" bestFit="1" customWidth="1"/>
    <col min="12549" max="12549" width="13.5" style="2657" customWidth="1"/>
    <col min="12550" max="12550" width="9" style="2657"/>
    <col min="12551" max="12551" width="9.375" style="2657" bestFit="1" customWidth="1"/>
    <col min="12552" max="12553" width="9" style="2657"/>
    <col min="12554" max="12554" width="9.375" style="2657" bestFit="1" customWidth="1"/>
    <col min="12555" max="12555" width="4" style="2657" customWidth="1"/>
    <col min="12556" max="12556" width="5.125" style="2657" customWidth="1"/>
    <col min="12557" max="12557" width="13.75" style="2657" customWidth="1"/>
    <col min="12558" max="12800" width="9" style="2657"/>
    <col min="12801" max="12801" width="4.875" style="2657" customWidth="1"/>
    <col min="12802" max="12802" width="13.25" style="2657" customWidth="1"/>
    <col min="12803" max="12803" width="15.625" style="2657" customWidth="1"/>
    <col min="12804" max="12804" width="9.375" style="2657" bestFit="1" customWidth="1"/>
    <col min="12805" max="12805" width="13.5" style="2657" customWidth="1"/>
    <col min="12806" max="12806" width="9" style="2657"/>
    <col min="12807" max="12807" width="9.375" style="2657" bestFit="1" customWidth="1"/>
    <col min="12808" max="12809" width="9" style="2657"/>
    <col min="12810" max="12810" width="9.375" style="2657" bestFit="1" customWidth="1"/>
    <col min="12811" max="12811" width="4" style="2657" customWidth="1"/>
    <col min="12812" max="12812" width="5.125" style="2657" customWidth="1"/>
    <col min="12813" max="12813" width="13.75" style="2657" customWidth="1"/>
    <col min="12814" max="13056" width="9" style="2657"/>
    <col min="13057" max="13057" width="4.875" style="2657" customWidth="1"/>
    <col min="13058" max="13058" width="13.25" style="2657" customWidth="1"/>
    <col min="13059" max="13059" width="15.625" style="2657" customWidth="1"/>
    <col min="13060" max="13060" width="9.375" style="2657" bestFit="1" customWidth="1"/>
    <col min="13061" max="13061" width="13.5" style="2657" customWidth="1"/>
    <col min="13062" max="13062" width="9" style="2657"/>
    <col min="13063" max="13063" width="9.375" style="2657" bestFit="1" customWidth="1"/>
    <col min="13064" max="13065" width="9" style="2657"/>
    <col min="13066" max="13066" width="9.375" style="2657" bestFit="1" customWidth="1"/>
    <col min="13067" max="13067" width="4" style="2657" customWidth="1"/>
    <col min="13068" max="13068" width="5.125" style="2657" customWidth="1"/>
    <col min="13069" max="13069" width="13.75" style="2657" customWidth="1"/>
    <col min="13070" max="13312" width="9" style="2657"/>
    <col min="13313" max="13313" width="4.875" style="2657" customWidth="1"/>
    <col min="13314" max="13314" width="13.25" style="2657" customWidth="1"/>
    <col min="13315" max="13315" width="15.625" style="2657" customWidth="1"/>
    <col min="13316" max="13316" width="9.375" style="2657" bestFit="1" customWidth="1"/>
    <col min="13317" max="13317" width="13.5" style="2657" customWidth="1"/>
    <col min="13318" max="13318" width="9" style="2657"/>
    <col min="13319" max="13319" width="9.375" style="2657" bestFit="1" customWidth="1"/>
    <col min="13320" max="13321" width="9" style="2657"/>
    <col min="13322" max="13322" width="9.375" style="2657" bestFit="1" customWidth="1"/>
    <col min="13323" max="13323" width="4" style="2657" customWidth="1"/>
    <col min="13324" max="13324" width="5.125" style="2657" customWidth="1"/>
    <col min="13325" max="13325" width="13.75" style="2657" customWidth="1"/>
    <col min="13326" max="13568" width="9" style="2657"/>
    <col min="13569" max="13569" width="4.875" style="2657" customWidth="1"/>
    <col min="13570" max="13570" width="13.25" style="2657" customWidth="1"/>
    <col min="13571" max="13571" width="15.625" style="2657" customWidth="1"/>
    <col min="13572" max="13572" width="9.375" style="2657" bestFit="1" customWidth="1"/>
    <col min="13573" max="13573" width="13.5" style="2657" customWidth="1"/>
    <col min="13574" max="13574" width="9" style="2657"/>
    <col min="13575" max="13575" width="9.375" style="2657" bestFit="1" customWidth="1"/>
    <col min="13576" max="13577" width="9" style="2657"/>
    <col min="13578" max="13578" width="9.375" style="2657" bestFit="1" customWidth="1"/>
    <col min="13579" max="13579" width="4" style="2657" customWidth="1"/>
    <col min="13580" max="13580" width="5.125" style="2657" customWidth="1"/>
    <col min="13581" max="13581" width="13.75" style="2657" customWidth="1"/>
    <col min="13582" max="13824" width="9" style="2657"/>
    <col min="13825" max="13825" width="4.875" style="2657" customWidth="1"/>
    <col min="13826" max="13826" width="13.25" style="2657" customWidth="1"/>
    <col min="13827" max="13827" width="15.625" style="2657" customWidth="1"/>
    <col min="13828" max="13828" width="9.375" style="2657" bestFit="1" customWidth="1"/>
    <col min="13829" max="13829" width="13.5" style="2657" customWidth="1"/>
    <col min="13830" max="13830" width="9" style="2657"/>
    <col min="13831" max="13831" width="9.375" style="2657" bestFit="1" customWidth="1"/>
    <col min="13832" max="13833" width="9" style="2657"/>
    <col min="13834" max="13834" width="9.375" style="2657" bestFit="1" customWidth="1"/>
    <col min="13835" max="13835" width="4" style="2657" customWidth="1"/>
    <col min="13836" max="13836" width="5.125" style="2657" customWidth="1"/>
    <col min="13837" max="13837" width="13.75" style="2657" customWidth="1"/>
    <col min="13838" max="14080" width="9" style="2657"/>
    <col min="14081" max="14081" width="4.875" style="2657" customWidth="1"/>
    <col min="14082" max="14082" width="13.25" style="2657" customWidth="1"/>
    <col min="14083" max="14083" width="15.625" style="2657" customWidth="1"/>
    <col min="14084" max="14084" width="9.375" style="2657" bestFit="1" customWidth="1"/>
    <col min="14085" max="14085" width="13.5" style="2657" customWidth="1"/>
    <col min="14086" max="14086" width="9" style="2657"/>
    <col min="14087" max="14087" width="9.375" style="2657" bestFit="1" customWidth="1"/>
    <col min="14088" max="14089" width="9" style="2657"/>
    <col min="14090" max="14090" width="9.375" style="2657" bestFit="1" customWidth="1"/>
    <col min="14091" max="14091" width="4" style="2657" customWidth="1"/>
    <col min="14092" max="14092" width="5.125" style="2657" customWidth="1"/>
    <col min="14093" max="14093" width="13.75" style="2657" customWidth="1"/>
    <col min="14094" max="14336" width="9" style="2657"/>
    <col min="14337" max="14337" width="4.875" style="2657" customWidth="1"/>
    <col min="14338" max="14338" width="13.25" style="2657" customWidth="1"/>
    <col min="14339" max="14339" width="15.625" style="2657" customWidth="1"/>
    <col min="14340" max="14340" width="9.375" style="2657" bestFit="1" customWidth="1"/>
    <col min="14341" max="14341" width="13.5" style="2657" customWidth="1"/>
    <col min="14342" max="14342" width="9" style="2657"/>
    <col min="14343" max="14343" width="9.375" style="2657" bestFit="1" customWidth="1"/>
    <col min="14344" max="14345" width="9" style="2657"/>
    <col min="14346" max="14346" width="9.375" style="2657" bestFit="1" customWidth="1"/>
    <col min="14347" max="14347" width="4" style="2657" customWidth="1"/>
    <col min="14348" max="14348" width="5.125" style="2657" customWidth="1"/>
    <col min="14349" max="14349" width="13.75" style="2657" customWidth="1"/>
    <col min="14350" max="14592" width="9" style="2657"/>
    <col min="14593" max="14593" width="4.875" style="2657" customWidth="1"/>
    <col min="14594" max="14594" width="13.25" style="2657" customWidth="1"/>
    <col min="14595" max="14595" width="15.625" style="2657" customWidth="1"/>
    <col min="14596" max="14596" width="9.375" style="2657" bestFit="1" customWidth="1"/>
    <col min="14597" max="14597" width="13.5" style="2657" customWidth="1"/>
    <col min="14598" max="14598" width="9" style="2657"/>
    <col min="14599" max="14599" width="9.375" style="2657" bestFit="1" customWidth="1"/>
    <col min="14600" max="14601" width="9" style="2657"/>
    <col min="14602" max="14602" width="9.375" style="2657" bestFit="1" customWidth="1"/>
    <col min="14603" max="14603" width="4" style="2657" customWidth="1"/>
    <col min="14604" max="14604" width="5.125" style="2657" customWidth="1"/>
    <col min="14605" max="14605" width="13.75" style="2657" customWidth="1"/>
    <col min="14606" max="14848" width="9" style="2657"/>
    <col min="14849" max="14849" width="4.875" style="2657" customWidth="1"/>
    <col min="14850" max="14850" width="13.25" style="2657" customWidth="1"/>
    <col min="14851" max="14851" width="15.625" style="2657" customWidth="1"/>
    <col min="14852" max="14852" width="9.375" style="2657" bestFit="1" customWidth="1"/>
    <col min="14853" max="14853" width="13.5" style="2657" customWidth="1"/>
    <col min="14854" max="14854" width="9" style="2657"/>
    <col min="14855" max="14855" width="9.375" style="2657" bestFit="1" customWidth="1"/>
    <col min="14856" max="14857" width="9" style="2657"/>
    <col min="14858" max="14858" width="9.375" style="2657" bestFit="1" customWidth="1"/>
    <col min="14859" max="14859" width="4" style="2657" customWidth="1"/>
    <col min="14860" max="14860" width="5.125" style="2657" customWidth="1"/>
    <col min="14861" max="14861" width="13.75" style="2657" customWidth="1"/>
    <col min="14862" max="15104" width="9" style="2657"/>
    <col min="15105" max="15105" width="4.875" style="2657" customWidth="1"/>
    <col min="15106" max="15106" width="13.25" style="2657" customWidth="1"/>
    <col min="15107" max="15107" width="15.625" style="2657" customWidth="1"/>
    <col min="15108" max="15108" width="9.375" style="2657" bestFit="1" customWidth="1"/>
    <col min="15109" max="15109" width="13.5" style="2657" customWidth="1"/>
    <col min="15110" max="15110" width="9" style="2657"/>
    <col min="15111" max="15111" width="9.375" style="2657" bestFit="1" customWidth="1"/>
    <col min="15112" max="15113" width="9" style="2657"/>
    <col min="15114" max="15114" width="9.375" style="2657" bestFit="1" customWidth="1"/>
    <col min="15115" max="15115" width="4" style="2657" customWidth="1"/>
    <col min="15116" max="15116" width="5.125" style="2657" customWidth="1"/>
    <col min="15117" max="15117" width="13.75" style="2657" customWidth="1"/>
    <col min="15118" max="15360" width="9" style="2657"/>
    <col min="15361" max="15361" width="4.875" style="2657" customWidth="1"/>
    <col min="15362" max="15362" width="13.25" style="2657" customWidth="1"/>
    <col min="15363" max="15363" width="15.625" style="2657" customWidth="1"/>
    <col min="15364" max="15364" width="9.375" style="2657" bestFit="1" customWidth="1"/>
    <col min="15365" max="15365" width="13.5" style="2657" customWidth="1"/>
    <col min="15366" max="15366" width="9" style="2657"/>
    <col min="15367" max="15367" width="9.375" style="2657" bestFit="1" customWidth="1"/>
    <col min="15368" max="15369" width="9" style="2657"/>
    <col min="15370" max="15370" width="9.375" style="2657" bestFit="1" customWidth="1"/>
    <col min="15371" max="15371" width="4" style="2657" customWidth="1"/>
    <col min="15372" max="15372" width="5.125" style="2657" customWidth="1"/>
    <col min="15373" max="15373" width="13.75" style="2657" customWidth="1"/>
    <col min="15374" max="15616" width="9" style="2657"/>
    <col min="15617" max="15617" width="4.875" style="2657" customWidth="1"/>
    <col min="15618" max="15618" width="13.25" style="2657" customWidth="1"/>
    <col min="15619" max="15619" width="15.625" style="2657" customWidth="1"/>
    <col min="15620" max="15620" width="9.375" style="2657" bestFit="1" customWidth="1"/>
    <col min="15621" max="15621" width="13.5" style="2657" customWidth="1"/>
    <col min="15622" max="15622" width="9" style="2657"/>
    <col min="15623" max="15623" width="9.375" style="2657" bestFit="1" customWidth="1"/>
    <col min="15624" max="15625" width="9" style="2657"/>
    <col min="15626" max="15626" width="9.375" style="2657" bestFit="1" customWidth="1"/>
    <col min="15627" max="15627" width="4" style="2657" customWidth="1"/>
    <col min="15628" max="15628" width="5.125" style="2657" customWidth="1"/>
    <col min="15629" max="15629" width="13.75" style="2657" customWidth="1"/>
    <col min="15630" max="15872" width="9" style="2657"/>
    <col min="15873" max="15873" width="4.875" style="2657" customWidth="1"/>
    <col min="15874" max="15874" width="13.25" style="2657" customWidth="1"/>
    <col min="15875" max="15875" width="15.625" style="2657" customWidth="1"/>
    <col min="15876" max="15876" width="9.375" style="2657" bestFit="1" customWidth="1"/>
    <col min="15877" max="15877" width="13.5" style="2657" customWidth="1"/>
    <col min="15878" max="15878" width="9" style="2657"/>
    <col min="15879" max="15879" width="9.375" style="2657" bestFit="1" customWidth="1"/>
    <col min="15880" max="15881" width="9" style="2657"/>
    <col min="15882" max="15882" width="9.375" style="2657" bestFit="1" customWidth="1"/>
    <col min="15883" max="15883" width="4" style="2657" customWidth="1"/>
    <col min="15884" max="15884" width="5.125" style="2657" customWidth="1"/>
    <col min="15885" max="15885" width="13.75" style="2657" customWidth="1"/>
    <col min="15886" max="16128" width="9" style="2657"/>
    <col min="16129" max="16129" width="4.875" style="2657" customWidth="1"/>
    <col min="16130" max="16130" width="13.25" style="2657" customWidth="1"/>
    <col min="16131" max="16131" width="15.625" style="2657" customWidth="1"/>
    <col min="16132" max="16132" width="9.375" style="2657" bestFit="1" customWidth="1"/>
    <col min="16133" max="16133" width="13.5" style="2657" customWidth="1"/>
    <col min="16134" max="16134" width="9" style="2657"/>
    <col min="16135" max="16135" width="9.375" style="2657" bestFit="1" customWidth="1"/>
    <col min="16136" max="16137" width="9" style="2657"/>
    <col min="16138" max="16138" width="9.375" style="2657" bestFit="1" customWidth="1"/>
    <col min="16139" max="16139" width="4" style="2657" customWidth="1"/>
    <col min="16140" max="16140" width="5.125" style="2657" customWidth="1"/>
    <col min="16141" max="16141" width="13.75" style="2657" customWidth="1"/>
    <col min="16142" max="16384" width="9" style="2657"/>
  </cols>
  <sheetData>
    <row r="1" spans="1:257" s="2716" customFormat="1" ht="14.25" thickBot="1">
      <c r="A1" s="2715"/>
      <c r="B1" s="2717" t="s">
        <v>2767</v>
      </c>
      <c r="C1" s="2721">
        <f>项目基本情况!D3</f>
        <v>44329</v>
      </c>
      <c r="H1" s="2656">
        <f>IF(C1&gt;C13,0,MATCH(C1,C$13:C$105,-1))+IF(SUMIF(C13:C105,C1,D13:D105)=0,13,12)</f>
        <v>13</v>
      </c>
      <c r="I1" s="2656">
        <f>MATCH(C2,H3:H7,1)+IF(SUMIF(H3:H7,C2,I3:I7)=0,2,1)</f>
        <v>5</v>
      </c>
      <c r="J1" s="2714">
        <f ca="1">MATCH(C3,H3:H7,1)+IF(SUMIF(H3:H7,C3,J3:J7)=0,2,1)</f>
        <v>2</v>
      </c>
      <c r="N1" s="2656">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8"/>
      <c r="B2" s="2718" t="s">
        <v>2798</v>
      </c>
      <c r="C2" s="2722">
        <f>'数据-取费表'!B22</f>
        <v>1.5</v>
      </c>
      <c r="D2" s="2717" t="s">
        <v>2768</v>
      </c>
      <c r="E2" s="2720">
        <f ca="1">INDIRECT("I"&amp;$I$1)/100</f>
        <v>3.85E-2</v>
      </c>
      <c r="G2" s="2658"/>
      <c r="H2" s="2658"/>
      <c r="I2" s="2658" t="s">
        <v>2769</v>
      </c>
      <c r="K2" s="2658"/>
      <c r="L2" s="2658"/>
      <c r="M2" s="2658"/>
      <c r="N2" s="2658" t="s">
        <v>2770</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3" customFormat="1">
      <c r="A3" s="2659"/>
      <c r="B3" s="2717" t="s">
        <v>2800</v>
      </c>
      <c r="C3" s="2719">
        <f>'数据-取费表'!B19</f>
        <v>0</v>
      </c>
      <c r="D3" s="2717" t="s">
        <v>2768</v>
      </c>
      <c r="E3" s="2720">
        <f ca="1">INDIRECT("J"&amp;$J$1)/100</f>
        <v>0</v>
      </c>
      <c r="G3" s="2660" t="s">
        <v>2771</v>
      </c>
      <c r="H3" s="2661">
        <v>0</v>
      </c>
      <c r="I3" s="2662">
        <f ca="1">INDIRECT("d"&amp;$H$1)</f>
        <v>3.85</v>
      </c>
      <c r="J3" s="2662">
        <f ca="1">INDIRECT("d"&amp;$H$1)</f>
        <v>3.85</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3" customFormat="1">
      <c r="A4" s="2659"/>
      <c r="B4" s="2717" t="s">
        <v>2799</v>
      </c>
      <c r="C4" s="2720">
        <f ca="1">N4/100</f>
        <v>1.4999999999999999E-2</v>
      </c>
      <c r="G4" s="2666" t="s">
        <v>2772</v>
      </c>
      <c r="H4" s="2667">
        <v>0.5</v>
      </c>
      <c r="I4" s="2668">
        <f ca="1">INDIRECT("e"&amp;$H$1)</f>
        <v>3.85</v>
      </c>
      <c r="J4" s="2668">
        <f ca="1">INDIRECT("e"&amp;$H$1)</f>
        <v>3.85</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3" customFormat="1">
      <c r="A5" s="2659"/>
      <c r="G5" s="2666" t="s">
        <v>2773</v>
      </c>
      <c r="H5" s="2667">
        <v>1</v>
      </c>
      <c r="I5" s="2668">
        <f ca="1">INDIRECT("f"&amp;$H$1)</f>
        <v>3.85</v>
      </c>
      <c r="J5" s="2668">
        <f ca="1">INDIRECT("f"&amp;$H$1)</f>
        <v>3.85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3" customFormat="1">
      <c r="A6" s="2659"/>
      <c r="G6" s="2666" t="s">
        <v>2774</v>
      </c>
      <c r="H6" s="2667">
        <v>3</v>
      </c>
      <c r="I6" s="2668">
        <f ca="1">INDIRECT("g"&amp;$H$1)</f>
        <v>3.85</v>
      </c>
      <c r="J6" s="2668">
        <f ca="1">INDIRECT("g"&amp;$H$1)</f>
        <v>3.85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3" customFormat="1" ht="14.25" thickBot="1">
      <c r="A7" s="2659"/>
      <c r="G7" s="2671" t="s">
        <v>2775</v>
      </c>
      <c r="H7" s="2672">
        <v>5</v>
      </c>
      <c r="I7" s="2673">
        <f ca="1">INDIRECT("h"&amp;$H$1)</f>
        <v>4.6500000000000004</v>
      </c>
      <c r="J7" s="2673">
        <f ca="1">INDIRECT("h"&amp;$H$1)</f>
        <v>4.6500000000000004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25">
      <c r="A9" s="2679"/>
      <c r="B9" s="2680" t="s">
        <v>2776</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5">
      <c r="A10" s="2685"/>
      <c r="B10" s="2686" t="s">
        <v>2777</v>
      </c>
      <c r="C10" s="2685"/>
      <c r="D10" s="2685"/>
      <c r="E10" s="2685"/>
      <c r="F10" s="2685"/>
      <c r="G10" s="2685"/>
      <c r="H10" s="2685"/>
      <c r="I10" s="2659"/>
      <c r="J10" s="2659"/>
      <c r="K10" s="2685"/>
      <c r="L10" s="2686" t="s">
        <v>2778</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2779</v>
      </c>
      <c r="C11" s="2690" t="s">
        <v>2780</v>
      </c>
      <c r="D11" s="2691" t="s">
        <v>2781</v>
      </c>
      <c r="E11" s="2692"/>
      <c r="F11" s="2691" t="s">
        <v>2782</v>
      </c>
      <c r="G11" s="2693"/>
      <c r="H11" s="2692"/>
      <c r="I11" s="2691" t="s">
        <v>2783</v>
      </c>
      <c r="J11" s="2692"/>
      <c r="K11" s="2688"/>
      <c r="L11" s="2689" t="s">
        <v>2779</v>
      </c>
      <c r="M11" s="2690" t="s">
        <v>2780</v>
      </c>
      <c r="N11" s="2689" t="s">
        <v>2784</v>
      </c>
      <c r="O11" s="2691" t="s">
        <v>2785</v>
      </c>
      <c r="P11" s="2693"/>
      <c r="Q11" s="2693"/>
      <c r="R11" s="2693"/>
      <c r="S11" s="2693"/>
      <c r="T11" s="2692"/>
      <c r="U11" s="2691" t="s">
        <v>2786</v>
      </c>
      <c r="V11" s="2693"/>
      <c r="W11" s="2692"/>
      <c r="X11" s="2689" t="s">
        <v>2787</v>
      </c>
      <c r="Y11" s="2689" t="s">
        <v>2788</v>
      </c>
      <c r="Z11" s="2689" t="s">
        <v>2789</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2790</v>
      </c>
      <c r="E12" s="2698" t="s">
        <v>2791</v>
      </c>
      <c r="F12" s="2698" t="s">
        <v>2792</v>
      </c>
      <c r="G12" s="2698" t="s">
        <v>2793</v>
      </c>
      <c r="H12" s="2698" t="s">
        <v>2775</v>
      </c>
      <c r="I12" s="2699" t="s">
        <v>2794</v>
      </c>
      <c r="J12" s="2699" t="s">
        <v>2794</v>
      </c>
      <c r="K12" s="2695"/>
      <c r="L12" s="2696"/>
      <c r="M12" s="2697"/>
      <c r="N12" s="2696"/>
      <c r="O12" s="2699" t="s">
        <v>2795</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14.25">
      <c r="A13" s="2701"/>
      <c r="B13" s="2702" t="s">
        <v>2796</v>
      </c>
      <c r="C13" s="2703">
        <v>43941</v>
      </c>
      <c r="D13" s="2704">
        <v>3.85</v>
      </c>
      <c r="E13" s="2704">
        <v>3.85</v>
      </c>
      <c r="F13" s="2704">
        <v>3.85</v>
      </c>
      <c r="G13" s="2704">
        <v>3.85</v>
      </c>
      <c r="H13" s="2704">
        <v>4.6500000000000004</v>
      </c>
      <c r="I13" s="2704"/>
      <c r="J13" s="2704"/>
      <c r="K13" s="2701"/>
      <c r="L13" s="2702" t="s">
        <v>2796</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ht="14.25">
      <c r="A14" s="2701"/>
      <c r="B14" s="2708"/>
      <c r="C14" s="2709">
        <v>43881</v>
      </c>
      <c r="D14" s="2708">
        <v>4.05</v>
      </c>
      <c r="E14" s="2708">
        <v>4.05</v>
      </c>
      <c r="F14" s="2708">
        <v>4.05</v>
      </c>
      <c r="G14" s="2708">
        <v>4.05</v>
      </c>
      <c r="H14" s="2708">
        <v>4.75</v>
      </c>
      <c r="I14" s="2708"/>
      <c r="J14" s="2708"/>
      <c r="L14" s="2708"/>
      <c r="M14" s="2709">
        <v>42242</v>
      </c>
      <c r="N14" s="2708">
        <v>0.35</v>
      </c>
      <c r="O14" s="2708">
        <v>1.35</v>
      </c>
      <c r="P14" s="2708">
        <v>1.55</v>
      </c>
      <c r="Q14" s="2708">
        <v>1.75</v>
      </c>
      <c r="R14" s="2708">
        <v>2.35</v>
      </c>
      <c r="S14" s="2708">
        <v>3</v>
      </c>
      <c r="T14" s="2708"/>
      <c r="U14" s="2708"/>
      <c r="V14" s="2708"/>
      <c r="W14" s="2708"/>
      <c r="X14" s="2708"/>
      <c r="Y14" s="2708"/>
      <c r="Z14" s="2708"/>
    </row>
    <row r="15" spans="1:257" ht="14.25">
      <c r="A15" s="2701"/>
      <c r="B15" s="2708"/>
      <c r="C15" s="2709">
        <v>43789</v>
      </c>
      <c r="D15" s="2708">
        <v>4.1500000000000004</v>
      </c>
      <c r="E15" s="2708">
        <v>4.1500000000000004</v>
      </c>
      <c r="F15" s="2708">
        <v>4.1500000000000004</v>
      </c>
      <c r="G15" s="2708">
        <v>4.1500000000000004</v>
      </c>
      <c r="H15" s="2708">
        <v>4.8</v>
      </c>
      <c r="I15" s="2708"/>
      <c r="J15" s="2708"/>
      <c r="L15" s="2708"/>
      <c r="M15" s="2709">
        <v>42183</v>
      </c>
      <c r="N15" s="2708">
        <v>0.35</v>
      </c>
      <c r="O15" s="2708">
        <v>1.6</v>
      </c>
      <c r="P15" s="2708">
        <v>1.8</v>
      </c>
      <c r="Q15" s="2708">
        <v>2</v>
      </c>
      <c r="R15" s="2708">
        <v>2.6</v>
      </c>
      <c r="S15" s="2708">
        <v>3.25</v>
      </c>
      <c r="T15" s="2708"/>
      <c r="U15" s="2708"/>
      <c r="V15" s="2708"/>
      <c r="W15" s="2708"/>
      <c r="X15" s="2708"/>
      <c r="Y15" s="2708"/>
      <c r="Z15" s="2708"/>
    </row>
    <row r="16" spans="1:257" ht="14.25">
      <c r="A16" s="2701"/>
      <c r="B16" s="2708"/>
      <c r="C16" s="2709">
        <v>43728</v>
      </c>
      <c r="D16" s="2708">
        <v>4.2</v>
      </c>
      <c r="E16" s="2708">
        <v>4.2</v>
      </c>
      <c r="F16" s="2708">
        <v>4.2</v>
      </c>
      <c r="G16" s="2708">
        <v>4.2</v>
      </c>
      <c r="H16" s="2708">
        <v>4.8499999999999996</v>
      </c>
      <c r="I16" s="2708"/>
      <c r="J16" s="2708"/>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1:256" ht="14.25">
      <c r="A17" s="2701"/>
      <c r="B17" s="2702" t="s">
        <v>2991</v>
      </c>
      <c r="C17" s="2710">
        <v>43697</v>
      </c>
      <c r="D17" s="3278">
        <v>4.25</v>
      </c>
      <c r="E17" s="3278">
        <v>4.25</v>
      </c>
      <c r="F17" s="3278">
        <v>4.25</v>
      </c>
      <c r="G17" s="3278">
        <v>4.25</v>
      </c>
      <c r="H17" s="3278">
        <v>4.8499999999999996</v>
      </c>
      <c r="I17" s="3278"/>
      <c r="J17" s="327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1:256" s="3286" customFormat="1" ht="15">
      <c r="A18" s="3281"/>
      <c r="B18" s="3282"/>
      <c r="C18" s="3283">
        <v>42301</v>
      </c>
      <c r="D18" s="3284">
        <v>4.3499999999999996</v>
      </c>
      <c r="E18" s="3284">
        <v>4.3499999999999996</v>
      </c>
      <c r="F18" s="3284">
        <v>4.75</v>
      </c>
      <c r="G18" s="3284">
        <v>4.75</v>
      </c>
      <c r="H18" s="3284">
        <v>4.9000000000000004</v>
      </c>
      <c r="I18" s="3284"/>
      <c r="J18" s="3284"/>
      <c r="K18" s="2695"/>
      <c r="L18" s="3284"/>
      <c r="M18" s="3283">
        <v>41965</v>
      </c>
      <c r="N18" s="3284">
        <v>0.35</v>
      </c>
      <c r="O18" s="3284">
        <v>2.35</v>
      </c>
      <c r="P18" s="3284">
        <v>2.5499999999999998</v>
      </c>
      <c r="Q18" s="3284">
        <v>2.75</v>
      </c>
      <c r="R18" s="3284">
        <v>3.35</v>
      </c>
      <c r="S18" s="3284">
        <v>4</v>
      </c>
      <c r="T18" s="3284">
        <v>4.75</v>
      </c>
      <c r="U18" s="3285">
        <v>2.35</v>
      </c>
      <c r="V18" s="3285">
        <v>2.5499999999999998</v>
      </c>
      <c r="W18" s="3285">
        <v>2.75</v>
      </c>
      <c r="X18" s="3284"/>
      <c r="Y18" s="3285">
        <v>0.8</v>
      </c>
      <c r="Z18" s="3285">
        <v>1.35</v>
      </c>
      <c r="AA18" s="2700"/>
      <c r="AB18" s="2700"/>
      <c r="AC18" s="2700"/>
      <c r="AD18" s="2700"/>
      <c r="AE18" s="2700"/>
      <c r="AF18" s="2700"/>
      <c r="AG18" s="2700"/>
      <c r="AH18" s="2700"/>
      <c r="AI18" s="2700"/>
      <c r="AJ18" s="2700"/>
      <c r="AK18" s="2700"/>
      <c r="AL18" s="2700"/>
      <c r="AM18" s="2700"/>
      <c r="AN18" s="2700"/>
      <c r="AO18" s="2700"/>
      <c r="AP18" s="2700"/>
      <c r="AQ18" s="2700"/>
      <c r="AR18" s="2700"/>
      <c r="AS18" s="2700"/>
      <c r="AT18" s="2700"/>
      <c r="AU18" s="2700"/>
      <c r="AV18" s="2700"/>
      <c r="AW18" s="2700"/>
      <c r="AX18" s="2700"/>
      <c r="AY18" s="2700"/>
      <c r="AZ18" s="2700"/>
      <c r="BA18" s="2700"/>
      <c r="BB18" s="2700"/>
      <c r="BC18" s="2700"/>
      <c r="BD18" s="2700"/>
      <c r="BE18" s="2700"/>
      <c r="BF18" s="2700"/>
      <c r="BG18" s="2700"/>
      <c r="BH18" s="2700"/>
      <c r="BI18" s="2700"/>
      <c r="BJ18" s="2700"/>
      <c r="BK18" s="2700"/>
      <c r="BL18" s="2700"/>
      <c r="BM18" s="2700"/>
      <c r="BN18" s="2700"/>
      <c r="BO18" s="2700"/>
      <c r="BP18" s="2700"/>
      <c r="BQ18" s="2700"/>
      <c r="BR18" s="2700"/>
      <c r="BS18" s="2700"/>
      <c r="BT18" s="2700"/>
      <c r="BU18" s="2700"/>
      <c r="BV18" s="2700"/>
      <c r="BW18" s="2700"/>
      <c r="BX18" s="2700"/>
      <c r="BY18" s="2700"/>
      <c r="BZ18" s="2700"/>
      <c r="CA18" s="2700"/>
      <c r="CB18" s="2700"/>
      <c r="CC18" s="2700"/>
      <c r="CD18" s="2700"/>
      <c r="CE18" s="2700"/>
      <c r="CF18" s="2700"/>
      <c r="CG18" s="2700"/>
      <c r="CH18" s="2700"/>
      <c r="CI18" s="2700"/>
      <c r="CJ18" s="2700"/>
      <c r="CK18" s="2700"/>
      <c r="CL18" s="2700"/>
      <c r="CM18" s="2700"/>
      <c r="CN18" s="2700"/>
      <c r="CO18" s="2700"/>
      <c r="CP18" s="2700"/>
      <c r="CQ18" s="2700"/>
      <c r="CR18" s="2700"/>
      <c r="CS18" s="2700"/>
      <c r="CT18" s="2700"/>
      <c r="CU18" s="2700"/>
      <c r="CV18" s="2700"/>
      <c r="CW18" s="2700"/>
      <c r="CX18" s="2700"/>
      <c r="CY18" s="2700"/>
      <c r="CZ18" s="2700"/>
      <c r="DA18" s="2700"/>
      <c r="DB18" s="2700"/>
      <c r="DC18" s="2700"/>
      <c r="DD18" s="2700"/>
      <c r="DE18" s="2700"/>
      <c r="DF18" s="2700"/>
      <c r="DG18" s="2700"/>
      <c r="DH18" s="2700"/>
      <c r="DI18" s="2700"/>
      <c r="DJ18" s="2700"/>
      <c r="DK18" s="2700"/>
      <c r="DL18" s="2700"/>
      <c r="DM18" s="2700"/>
      <c r="DN18" s="2700"/>
      <c r="DO18" s="2700"/>
      <c r="DP18" s="2700"/>
      <c r="DQ18" s="2700"/>
      <c r="DR18" s="2700"/>
      <c r="DS18" s="2700"/>
      <c r="DT18" s="2700"/>
      <c r="DU18" s="2700"/>
      <c r="DV18" s="2700"/>
      <c r="DW18" s="2700"/>
      <c r="DX18" s="2700"/>
      <c r="DY18" s="2700"/>
      <c r="DZ18" s="2700"/>
      <c r="EA18" s="2700"/>
      <c r="EB18" s="2700"/>
      <c r="EC18" s="2700"/>
      <c r="ED18" s="2700"/>
      <c r="EE18" s="2700"/>
      <c r="EF18" s="2700"/>
      <c r="EG18" s="2700"/>
      <c r="EH18" s="2700"/>
      <c r="EI18" s="2700"/>
      <c r="EJ18" s="2700"/>
      <c r="EK18" s="2700"/>
      <c r="EL18" s="2700"/>
      <c r="EM18" s="2700"/>
      <c r="EN18" s="2700"/>
      <c r="EO18" s="2700"/>
      <c r="EP18" s="2700"/>
      <c r="EQ18" s="2700"/>
      <c r="ER18" s="2700"/>
      <c r="ES18" s="2700"/>
      <c r="ET18" s="2700"/>
      <c r="EU18" s="2700"/>
      <c r="EV18" s="2700"/>
      <c r="EW18" s="2700"/>
      <c r="EX18" s="2700"/>
      <c r="EY18" s="2700"/>
      <c r="EZ18" s="2700"/>
      <c r="FA18" s="2700"/>
      <c r="FB18" s="2700"/>
      <c r="FC18" s="2700"/>
      <c r="FD18" s="2700"/>
      <c r="FE18" s="2700"/>
      <c r="FF18" s="2700"/>
      <c r="FG18" s="2700"/>
      <c r="FH18" s="2700"/>
      <c r="FI18" s="2700"/>
      <c r="FJ18" s="2700"/>
      <c r="FK18" s="2700"/>
      <c r="FL18" s="2700"/>
      <c r="FM18" s="2700"/>
      <c r="FN18" s="2700"/>
      <c r="FO18" s="2700"/>
      <c r="FP18" s="2700"/>
      <c r="FQ18" s="2700"/>
      <c r="FR18" s="2700"/>
      <c r="FS18" s="2700"/>
      <c r="FT18" s="2700"/>
      <c r="FU18" s="2700"/>
      <c r="FV18" s="2700"/>
      <c r="FW18" s="2700"/>
      <c r="FX18" s="2700"/>
      <c r="FY18" s="2700"/>
      <c r="FZ18" s="2700"/>
      <c r="GA18" s="2700"/>
      <c r="GB18" s="2700"/>
      <c r="GC18" s="2700"/>
      <c r="GD18" s="2700"/>
      <c r="GE18" s="2700"/>
      <c r="GF18" s="2700"/>
      <c r="GG18" s="2700"/>
      <c r="GH18" s="2700"/>
      <c r="GI18" s="2700"/>
      <c r="GJ18" s="2700"/>
      <c r="GK18" s="2700"/>
      <c r="GL18" s="2700"/>
      <c r="GM18" s="2700"/>
      <c r="GN18" s="2700"/>
      <c r="GO18" s="2700"/>
      <c r="GP18" s="2700"/>
      <c r="GQ18" s="2700"/>
      <c r="GR18" s="2700"/>
      <c r="GS18" s="2700"/>
      <c r="GT18" s="2700"/>
      <c r="GU18" s="2700"/>
      <c r="GV18" s="2700"/>
      <c r="GW18" s="2700"/>
      <c r="GX18" s="2700"/>
      <c r="GY18" s="2700"/>
      <c r="GZ18" s="2700"/>
      <c r="HA18" s="2700"/>
      <c r="HB18" s="2700"/>
      <c r="HC18" s="2700"/>
      <c r="HD18" s="2700"/>
      <c r="HE18" s="2700"/>
      <c r="HF18" s="2700"/>
      <c r="HG18" s="2700"/>
      <c r="HH18" s="2700"/>
      <c r="HI18" s="2700"/>
      <c r="HJ18" s="2700"/>
      <c r="HK18" s="2700"/>
      <c r="HL18" s="2700"/>
      <c r="HM18" s="2700"/>
      <c r="HN18" s="2700"/>
      <c r="HO18" s="2700"/>
      <c r="HP18" s="2700"/>
      <c r="HQ18" s="2700"/>
      <c r="HR18" s="2700"/>
      <c r="HS18" s="2700"/>
      <c r="HT18" s="2700"/>
      <c r="HU18" s="2700"/>
      <c r="HV18" s="2700"/>
      <c r="HW18" s="2700"/>
      <c r="HX18" s="2700"/>
      <c r="HY18" s="2700"/>
      <c r="HZ18" s="2700"/>
      <c r="IA18" s="2700"/>
      <c r="IB18" s="2700"/>
      <c r="IC18" s="2700"/>
      <c r="ID18" s="2700"/>
      <c r="IE18" s="2700"/>
      <c r="IF18" s="2700"/>
      <c r="IG18" s="2700"/>
      <c r="IH18" s="2700"/>
      <c r="II18" s="2700"/>
      <c r="IJ18" s="2700"/>
      <c r="IK18" s="2700"/>
      <c r="IL18" s="2700"/>
      <c r="IM18" s="2700"/>
      <c r="IN18" s="2700"/>
      <c r="IO18" s="2700"/>
      <c r="IP18" s="2700"/>
      <c r="IQ18" s="2700"/>
      <c r="IR18" s="2700"/>
      <c r="IS18" s="2700"/>
      <c r="IT18" s="2700"/>
      <c r="IU18" s="2700"/>
      <c r="IV18" s="2700"/>
    </row>
    <row r="19" spans="1:256">
      <c r="B19" s="2708"/>
      <c r="C19" s="2709">
        <v>42242</v>
      </c>
      <c r="D19" s="2708">
        <v>4.5999999999999996</v>
      </c>
      <c r="E19" s="2708">
        <v>4.5999999999999996</v>
      </c>
      <c r="F19" s="2708">
        <v>5</v>
      </c>
      <c r="G19" s="2708">
        <v>5</v>
      </c>
      <c r="H19" s="2708">
        <v>5.15</v>
      </c>
      <c r="I19" s="2708">
        <v>2.75</v>
      </c>
      <c r="J19" s="2708">
        <v>3.25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1:256">
      <c r="B20" s="2708"/>
      <c r="C20" s="2709">
        <v>42183</v>
      </c>
      <c r="D20" s="2708">
        <v>4.8499999999999996</v>
      </c>
      <c r="E20" s="2708">
        <v>4.8499999999999996</v>
      </c>
      <c r="F20" s="2708">
        <v>5.25</v>
      </c>
      <c r="G20" s="2708">
        <v>5.25</v>
      </c>
      <c r="H20" s="2708">
        <v>5.4</v>
      </c>
      <c r="I20" s="2708">
        <v>3</v>
      </c>
      <c r="J20" s="2708">
        <v>3.5</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1:256">
      <c r="B21" s="2708"/>
      <c r="C21" s="2709">
        <v>42135</v>
      </c>
      <c r="D21" s="2708">
        <v>5.0999999999999996</v>
      </c>
      <c r="E21" s="2708">
        <v>5.0999999999999996</v>
      </c>
      <c r="F21" s="2708">
        <v>5.5</v>
      </c>
      <c r="G21" s="2708">
        <v>5.5</v>
      </c>
      <c r="H21" s="2708">
        <v>5.65</v>
      </c>
      <c r="I21" s="2708">
        <v>3.25</v>
      </c>
      <c r="J21" s="2708">
        <v>3.75</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1:256">
      <c r="B22" s="2708"/>
      <c r="C22" s="2709">
        <v>42064</v>
      </c>
      <c r="D22" s="2708">
        <v>5.35</v>
      </c>
      <c r="E22" s="2708">
        <v>5.35</v>
      </c>
      <c r="F22" s="2708">
        <v>5.75</v>
      </c>
      <c r="G22" s="2708">
        <v>5.75</v>
      </c>
      <c r="H22" s="2708">
        <v>5.9</v>
      </c>
      <c r="I22" s="2708"/>
      <c r="J22" s="2708"/>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1:256">
      <c r="B23" s="2708"/>
      <c r="C23" s="2709">
        <v>41965</v>
      </c>
      <c r="D23" s="2708">
        <v>5.6</v>
      </c>
      <c r="E23" s="2708">
        <v>5.6</v>
      </c>
      <c r="F23" s="2708">
        <v>6</v>
      </c>
      <c r="G23" s="2708">
        <v>6</v>
      </c>
      <c r="H23" s="2708">
        <v>6.15</v>
      </c>
      <c r="I23" s="2708"/>
      <c r="J23" s="2708"/>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1:256">
      <c r="B24" s="2708"/>
      <c r="C24" s="2709">
        <v>41096</v>
      </c>
      <c r="D24" s="2708">
        <v>5.6</v>
      </c>
      <c r="E24" s="2708">
        <v>6</v>
      </c>
      <c r="F24" s="2708">
        <v>6.15</v>
      </c>
      <c r="G24" s="2708">
        <v>6.4</v>
      </c>
      <c r="H24" s="2708">
        <v>6.55</v>
      </c>
      <c r="I24" s="2708">
        <v>4</v>
      </c>
      <c r="J24" s="2708">
        <v>4.5</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1:256">
      <c r="B25" s="2708"/>
      <c r="C25" s="2709">
        <v>41068</v>
      </c>
      <c r="D25" s="2708">
        <v>5.85</v>
      </c>
      <c r="E25" s="2708">
        <v>6.31</v>
      </c>
      <c r="F25" s="2708">
        <v>6.4</v>
      </c>
      <c r="G25" s="2708">
        <v>6.65</v>
      </c>
      <c r="H25" s="2708">
        <v>6.8</v>
      </c>
      <c r="I25" s="2708">
        <v>4.2</v>
      </c>
      <c r="J25" s="2708">
        <v>4.7</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1:256">
      <c r="B26" s="2708"/>
      <c r="C26" s="2709">
        <v>40731</v>
      </c>
      <c r="D26" s="2708">
        <v>6.1</v>
      </c>
      <c r="E26" s="2708">
        <v>6.56</v>
      </c>
      <c r="F26" s="2708">
        <v>6.65</v>
      </c>
      <c r="G26" s="2708">
        <v>6.9</v>
      </c>
      <c r="H26" s="2708">
        <v>7.05</v>
      </c>
      <c r="I26" s="2708">
        <v>4.45</v>
      </c>
      <c r="J26" s="2708">
        <v>4.9000000000000004</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1:256">
      <c r="B27" s="2708"/>
      <c r="C27" s="2709">
        <v>40639</v>
      </c>
      <c r="D27" s="2708">
        <v>5.85</v>
      </c>
      <c r="E27" s="2708">
        <v>6.31</v>
      </c>
      <c r="F27" s="2708">
        <v>6.4</v>
      </c>
      <c r="G27" s="2708">
        <v>6.65</v>
      </c>
      <c r="H27" s="2708">
        <v>6.8</v>
      </c>
      <c r="I27" s="2708">
        <v>4.2</v>
      </c>
      <c r="J27" s="2708">
        <v>4.7</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1:256">
      <c r="B28" s="2708"/>
      <c r="C28" s="2709">
        <v>40583</v>
      </c>
      <c r="D28" s="2708">
        <v>5.6</v>
      </c>
      <c r="E28" s="2708">
        <v>6.06</v>
      </c>
      <c r="F28" s="2708">
        <v>6.1</v>
      </c>
      <c r="G28" s="2708">
        <v>6.45</v>
      </c>
      <c r="H28" s="2708">
        <v>6.6</v>
      </c>
      <c r="I28" s="2708">
        <v>4</v>
      </c>
      <c r="J28" s="2708">
        <v>4.5</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1:256">
      <c r="B29" s="2708"/>
      <c r="C29" s="2709">
        <v>40538</v>
      </c>
      <c r="D29" s="2708">
        <v>5.35</v>
      </c>
      <c r="E29" s="2708">
        <v>5.81</v>
      </c>
      <c r="F29" s="2708">
        <v>5.85</v>
      </c>
      <c r="G29" s="2708">
        <v>6.22</v>
      </c>
      <c r="H29" s="2708">
        <v>6.4</v>
      </c>
      <c r="I29" s="2708">
        <v>3.75</v>
      </c>
      <c r="J29" s="2708">
        <v>4.3</v>
      </c>
      <c r="L29" s="2708"/>
      <c r="M29" s="2710">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1:256">
      <c r="B30" s="2708"/>
      <c r="C30" s="2709">
        <v>40471</v>
      </c>
      <c r="D30" s="2708">
        <v>5.0999999999999996</v>
      </c>
      <c r="E30" s="2708">
        <v>5.56</v>
      </c>
      <c r="F30" s="2708">
        <v>5.6</v>
      </c>
      <c r="G30" s="2708">
        <v>5.96</v>
      </c>
      <c r="H30" s="2708">
        <v>6.14</v>
      </c>
      <c r="I30" s="2708">
        <v>3.5</v>
      </c>
      <c r="J30" s="2708">
        <v>4.05</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1:256">
      <c r="B31" s="2708"/>
      <c r="C31" s="2709">
        <v>39805</v>
      </c>
      <c r="D31" s="2708">
        <v>4.8600000000000003</v>
      </c>
      <c r="E31" s="2708">
        <v>5.31</v>
      </c>
      <c r="F31" s="2708">
        <v>5.4</v>
      </c>
      <c r="G31" s="2708">
        <v>5.76</v>
      </c>
      <c r="H31" s="2708">
        <v>5.94</v>
      </c>
      <c r="I31" s="2708">
        <v>3.33</v>
      </c>
      <c r="J31" s="2708">
        <v>3.87</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1:256">
      <c r="B32" s="2708"/>
      <c r="C32" s="2709">
        <v>39779</v>
      </c>
      <c r="D32" s="2708">
        <v>5.04</v>
      </c>
      <c r="E32" s="2708">
        <v>5.58</v>
      </c>
      <c r="F32" s="2708">
        <v>5.67</v>
      </c>
      <c r="G32" s="2708">
        <v>5.94</v>
      </c>
      <c r="H32" s="2708">
        <v>6.12</v>
      </c>
      <c r="I32" s="2708">
        <v>3.51</v>
      </c>
      <c r="J32" s="2708">
        <v>4.05</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39751</v>
      </c>
      <c r="D33" s="2708">
        <v>6.03</v>
      </c>
      <c r="E33" s="2708">
        <v>6.66</v>
      </c>
      <c r="F33" s="2708">
        <v>6.75</v>
      </c>
      <c r="G33" s="2708">
        <v>7.02</v>
      </c>
      <c r="H33" s="2708">
        <v>7.2</v>
      </c>
      <c r="I33" s="2708">
        <v>4.05</v>
      </c>
      <c r="J33" s="2708">
        <v>4.59</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10">
        <v>39748</v>
      </c>
      <c r="D34" s="2708">
        <v>6.12</v>
      </c>
      <c r="E34" s="2708">
        <v>6.93</v>
      </c>
      <c r="F34" s="2708">
        <v>7.02</v>
      </c>
      <c r="G34" s="2708">
        <v>7.29</v>
      </c>
      <c r="H34" s="2708">
        <v>7.47</v>
      </c>
      <c r="I34" s="2708">
        <v>4.05</v>
      </c>
      <c r="J34" s="2708">
        <v>4.59</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39730</v>
      </c>
      <c r="D35" s="2708">
        <v>6.12</v>
      </c>
      <c r="E35" s="2708">
        <v>6.93</v>
      </c>
      <c r="F35" s="2708">
        <v>7.02</v>
      </c>
      <c r="G35" s="2708">
        <v>7.29</v>
      </c>
      <c r="H35" s="2708">
        <v>7.47</v>
      </c>
      <c r="I35" s="2708">
        <v>4.32</v>
      </c>
      <c r="J35" s="2708">
        <v>4.8600000000000003</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39707</v>
      </c>
      <c r="D36" s="2708">
        <v>6.21</v>
      </c>
      <c r="E36" s="2708">
        <v>7.2</v>
      </c>
      <c r="F36" s="2708">
        <v>7.29</v>
      </c>
      <c r="G36" s="2708">
        <v>7.56</v>
      </c>
      <c r="H36" s="2708">
        <v>7.74</v>
      </c>
      <c r="I36" s="2708">
        <v>4.59</v>
      </c>
      <c r="J36" s="2708">
        <v>5.13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39437</v>
      </c>
      <c r="D37" s="2708">
        <v>6.57</v>
      </c>
      <c r="E37" s="2708">
        <v>7.47</v>
      </c>
      <c r="F37" s="2708">
        <v>7.56</v>
      </c>
      <c r="G37" s="2708">
        <v>7.74</v>
      </c>
      <c r="H37" s="2708">
        <v>7.83</v>
      </c>
      <c r="I37" s="2708">
        <v>4.7699999999999996</v>
      </c>
      <c r="J37" s="2708">
        <v>5.22</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39340</v>
      </c>
      <c r="D38" s="2708">
        <v>6.48</v>
      </c>
      <c r="E38" s="2708">
        <v>7.29</v>
      </c>
      <c r="F38" s="2708">
        <v>7.47</v>
      </c>
      <c r="G38" s="2708">
        <v>7.65</v>
      </c>
      <c r="H38" s="2708">
        <v>7.83</v>
      </c>
      <c r="I38" s="2708">
        <v>4.7699999999999996</v>
      </c>
      <c r="J38" s="2708">
        <v>5.22</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39316</v>
      </c>
      <c r="D39" s="2708">
        <v>6.21</v>
      </c>
      <c r="E39" s="2708">
        <v>7.02</v>
      </c>
      <c r="F39" s="2708">
        <v>7.2</v>
      </c>
      <c r="G39" s="2708">
        <v>7.38</v>
      </c>
      <c r="H39" s="2708">
        <v>7.56</v>
      </c>
      <c r="I39" s="2708">
        <v>4.59</v>
      </c>
      <c r="J39" s="2708">
        <v>5.04</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39284</v>
      </c>
      <c r="D40" s="2708">
        <v>6.03</v>
      </c>
      <c r="E40" s="2708">
        <v>6.84</v>
      </c>
      <c r="F40" s="2708">
        <v>7.02</v>
      </c>
      <c r="G40" s="2708">
        <v>7.2</v>
      </c>
      <c r="H40" s="2708">
        <v>7.38</v>
      </c>
      <c r="I40" s="2708">
        <v>4.5</v>
      </c>
      <c r="J40" s="2708">
        <v>4.95</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39221</v>
      </c>
      <c r="D41" s="2708">
        <v>5.85</v>
      </c>
      <c r="E41" s="2708">
        <v>6.57</v>
      </c>
      <c r="F41" s="2708">
        <v>6.75</v>
      </c>
      <c r="G41" s="2708">
        <v>6.93</v>
      </c>
      <c r="H41" s="2708">
        <v>7.2</v>
      </c>
      <c r="I41" s="2708">
        <v>4.41</v>
      </c>
      <c r="J41" s="2708">
        <v>4.8600000000000003</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39159</v>
      </c>
      <c r="D42" s="2708">
        <v>5.67</v>
      </c>
      <c r="E42" s="2708">
        <v>6.39</v>
      </c>
      <c r="F42" s="2708">
        <v>6.57</v>
      </c>
      <c r="G42" s="2708">
        <v>6.75</v>
      </c>
      <c r="H42" s="2708">
        <v>7.11</v>
      </c>
      <c r="I42" s="2708">
        <v>4.32</v>
      </c>
      <c r="J42" s="2708">
        <v>4.7699999999999996</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2797</v>
      </c>
      <c r="Y42" s="2708" t="s">
        <v>2797</v>
      </c>
      <c r="Z42" s="2708" t="s">
        <v>2797</v>
      </c>
    </row>
    <row r="43" spans="2:26">
      <c r="B43" s="2708"/>
      <c r="C43" s="2709">
        <v>38948</v>
      </c>
      <c r="D43" s="2708">
        <v>5.58</v>
      </c>
      <c r="E43" s="2708">
        <v>6.12</v>
      </c>
      <c r="F43" s="2708">
        <v>6.3</v>
      </c>
      <c r="G43" s="2708">
        <v>6.48</v>
      </c>
      <c r="H43" s="2708">
        <v>6.84</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2797</v>
      </c>
      <c r="Y43" s="2708" t="s">
        <v>2797</v>
      </c>
      <c r="Z43" s="2708" t="s">
        <v>2797</v>
      </c>
    </row>
    <row r="44" spans="2:26">
      <c r="B44" s="2708"/>
      <c r="C44" s="2709">
        <v>38835</v>
      </c>
      <c r="D44" s="2708">
        <v>5.4</v>
      </c>
      <c r="E44" s="2708">
        <v>5.85</v>
      </c>
      <c r="F44" s="2708">
        <v>6.03</v>
      </c>
      <c r="G44" s="2708">
        <v>6.12</v>
      </c>
      <c r="H44" s="2708">
        <v>6.39</v>
      </c>
      <c r="I44" s="2708">
        <v>4.1399999999999997</v>
      </c>
      <c r="J44" s="2708">
        <v>4.59</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2797</v>
      </c>
      <c r="Y44" s="2708" t="s">
        <v>2797</v>
      </c>
      <c r="Z44" s="2708" t="s">
        <v>2797</v>
      </c>
    </row>
    <row r="45" spans="2:26">
      <c r="B45" s="2708"/>
      <c r="C45" s="2709">
        <v>38428</v>
      </c>
      <c r="D45" s="2708">
        <v>5.22</v>
      </c>
      <c r="E45" s="2708">
        <v>5.58</v>
      </c>
      <c r="F45" s="2708">
        <v>5.76</v>
      </c>
      <c r="G45" s="2708">
        <v>5.85</v>
      </c>
      <c r="H45" s="2708">
        <v>6.12</v>
      </c>
      <c r="I45" s="2708">
        <v>3.96</v>
      </c>
      <c r="J45" s="2708">
        <v>4.41</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2797</v>
      </c>
      <c r="Y45" s="2708" t="s">
        <v>2797</v>
      </c>
      <c r="Z45" s="2708" t="s">
        <v>2797</v>
      </c>
    </row>
    <row r="46" spans="2:26">
      <c r="B46" s="2708"/>
      <c r="C46" s="2709">
        <v>38289</v>
      </c>
      <c r="D46" s="2708">
        <v>5.22</v>
      </c>
      <c r="E46" s="2708">
        <v>5.58</v>
      </c>
      <c r="F46" s="2708">
        <v>5.76</v>
      </c>
      <c r="G46" s="2708">
        <v>5.85</v>
      </c>
      <c r="H46" s="2708">
        <v>6.12</v>
      </c>
      <c r="I46" s="2708">
        <v>3.78</v>
      </c>
      <c r="J46" s="2708">
        <v>4.2300000000000004</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2797</v>
      </c>
      <c r="Y46" s="2708" t="s">
        <v>2797</v>
      </c>
      <c r="Z46" s="2708" t="s">
        <v>2797</v>
      </c>
    </row>
    <row r="47" spans="2:26">
      <c r="B47" s="2708"/>
      <c r="C47" s="2709">
        <v>37308</v>
      </c>
      <c r="D47" s="2708">
        <v>5.04</v>
      </c>
      <c r="E47" s="2708">
        <v>5.31</v>
      </c>
      <c r="F47" s="2708">
        <v>5.49</v>
      </c>
      <c r="G47" s="2708">
        <v>5.58</v>
      </c>
      <c r="H47" s="2708">
        <v>5.76</v>
      </c>
      <c r="I47" s="2708">
        <v>3.6</v>
      </c>
      <c r="J47" s="2708">
        <v>4.05</v>
      </c>
      <c r="L47" s="2708"/>
      <c r="M47" s="2709">
        <v>34161</v>
      </c>
      <c r="N47" s="2708">
        <v>3.15</v>
      </c>
      <c r="O47" s="2708">
        <v>6.66</v>
      </c>
      <c r="P47" s="2708">
        <v>9</v>
      </c>
      <c r="Q47" s="2708">
        <v>10.98</v>
      </c>
      <c r="R47" s="2708">
        <v>11.7</v>
      </c>
      <c r="S47" s="2708">
        <v>12.24</v>
      </c>
      <c r="T47" s="2708">
        <v>13.86</v>
      </c>
      <c r="U47" s="2708">
        <v>9</v>
      </c>
      <c r="V47" s="2708">
        <v>10.98</v>
      </c>
      <c r="W47" s="2708">
        <v>12.24</v>
      </c>
      <c r="X47" s="2708" t="s">
        <v>2797</v>
      </c>
      <c r="Y47" s="2708" t="s">
        <v>2797</v>
      </c>
      <c r="Z47" s="2708" t="s">
        <v>2797</v>
      </c>
    </row>
    <row r="48" spans="2:26">
      <c r="B48" s="2708"/>
      <c r="C48" s="2709">
        <v>36321</v>
      </c>
      <c r="D48" s="2708">
        <v>5.58</v>
      </c>
      <c r="E48" s="2708">
        <v>5.85</v>
      </c>
      <c r="F48" s="2708">
        <v>5.94</v>
      </c>
      <c r="G48" s="2708">
        <v>6.03</v>
      </c>
      <c r="H48" s="2708">
        <v>6.21</v>
      </c>
      <c r="I48" s="2708">
        <v>4.1399999999999997</v>
      </c>
      <c r="J48" s="2708">
        <v>4.59</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2797</v>
      </c>
      <c r="Y48" s="2708" t="s">
        <v>2797</v>
      </c>
      <c r="Z48" s="2708" t="s">
        <v>2797</v>
      </c>
    </row>
    <row r="49" spans="2:26">
      <c r="B49" s="2708"/>
      <c r="C49" s="2709">
        <v>36136</v>
      </c>
      <c r="D49" s="2708">
        <v>6.12</v>
      </c>
      <c r="E49" s="2708">
        <v>6.39</v>
      </c>
      <c r="F49" s="2708">
        <v>6.66</v>
      </c>
      <c r="G49" s="2708">
        <v>7.2</v>
      </c>
      <c r="H49" s="2708">
        <v>7.56</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2797</v>
      </c>
      <c r="Y49" s="2708" t="s">
        <v>2797</v>
      </c>
      <c r="Z49" s="2708" t="s">
        <v>2797</v>
      </c>
    </row>
    <row r="50" spans="2:26">
      <c r="B50" s="2708"/>
      <c r="C50" s="2709">
        <v>35977</v>
      </c>
      <c r="D50" s="2708">
        <v>6.57</v>
      </c>
      <c r="E50" s="2708">
        <v>6.93</v>
      </c>
      <c r="F50" s="2708">
        <v>7.11</v>
      </c>
      <c r="G50" s="2708">
        <v>7.65</v>
      </c>
      <c r="H50" s="2708">
        <v>8.01</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2797</v>
      </c>
      <c r="Y50" s="2708" t="s">
        <v>2797</v>
      </c>
      <c r="Z50" s="2708" t="s">
        <v>2797</v>
      </c>
    </row>
    <row r="51" spans="2:26">
      <c r="B51" s="2708"/>
      <c r="C51" s="2709">
        <v>35879</v>
      </c>
      <c r="D51" s="2708">
        <v>7.02</v>
      </c>
      <c r="E51" s="2708">
        <v>7.92</v>
      </c>
      <c r="F51" s="2708">
        <v>9</v>
      </c>
      <c r="G51" s="2708">
        <v>9.7200000000000006</v>
      </c>
      <c r="H51" s="2708">
        <v>10.35</v>
      </c>
      <c r="I51" s="2708">
        <v>0</v>
      </c>
      <c r="J51" s="2708">
        <v>0</v>
      </c>
      <c r="L51" s="2708"/>
      <c r="M51" s="2709">
        <v>32978</v>
      </c>
      <c r="N51" s="2708">
        <v>2.88</v>
      </c>
      <c r="O51" s="2708">
        <v>6.3</v>
      </c>
      <c r="P51" s="2708">
        <v>7.74</v>
      </c>
      <c r="Q51" s="2708">
        <v>10.08</v>
      </c>
      <c r="R51" s="2708">
        <v>10.98</v>
      </c>
      <c r="S51" s="2708">
        <v>11.88</v>
      </c>
      <c r="T51" s="2708">
        <v>13.68</v>
      </c>
      <c r="U51" s="2708" t="s">
        <v>2797</v>
      </c>
      <c r="V51" s="2708" t="s">
        <v>2797</v>
      </c>
      <c r="W51" s="2708" t="s">
        <v>2797</v>
      </c>
      <c r="X51" s="2708" t="s">
        <v>2797</v>
      </c>
      <c r="Y51" s="2708" t="s">
        <v>2797</v>
      </c>
      <c r="Z51" s="2708" t="s">
        <v>2797</v>
      </c>
    </row>
    <row r="52" spans="2:26">
      <c r="B52" s="2708"/>
      <c r="C52" s="2709">
        <v>35726</v>
      </c>
      <c r="D52" s="2708">
        <v>7.65</v>
      </c>
      <c r="E52" s="2708">
        <v>8.64</v>
      </c>
      <c r="F52" s="2708">
        <v>9.36</v>
      </c>
      <c r="G52" s="2708">
        <v>9.9</v>
      </c>
      <c r="H52" s="2708">
        <v>10.53</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35300</v>
      </c>
      <c r="D53" s="2708">
        <v>9.18</v>
      </c>
      <c r="E53" s="2708">
        <v>10.08</v>
      </c>
      <c r="F53" s="2708">
        <v>10.98</v>
      </c>
      <c r="G53" s="2708">
        <v>11.7</v>
      </c>
      <c r="H53" s="2708">
        <v>12.42</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35186</v>
      </c>
      <c r="D54" s="2708">
        <v>9.7200000000000006</v>
      </c>
      <c r="E54" s="2708">
        <v>10.98</v>
      </c>
      <c r="F54" s="2708">
        <v>13.14</v>
      </c>
      <c r="G54" s="2708">
        <v>14.94</v>
      </c>
      <c r="H54" s="2708">
        <v>15.12</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34881</v>
      </c>
      <c r="D55" s="2708">
        <v>10.08</v>
      </c>
      <c r="E55" s="2708">
        <v>12.06</v>
      </c>
      <c r="F55" s="2708">
        <v>13.5</v>
      </c>
      <c r="G55" s="2708">
        <v>15.12</v>
      </c>
      <c r="H55" s="2708">
        <v>15.3</v>
      </c>
      <c r="I55" s="2708">
        <v>0</v>
      </c>
      <c r="J55" s="2708">
        <v>0</v>
      </c>
      <c r="L55" s="2708"/>
      <c r="M55" s="2709"/>
      <c r="N55" s="2708"/>
      <c r="O55" s="2708"/>
      <c r="P55" s="2708"/>
      <c r="Q55" s="2708"/>
      <c r="R55" s="2708"/>
      <c r="S55" s="2708"/>
      <c r="T55" s="2708"/>
      <c r="U55" s="2708"/>
      <c r="V55" s="2708"/>
      <c r="W55" s="2708"/>
      <c r="X55" s="2708"/>
      <c r="Y55" s="2708"/>
      <c r="Z55" s="2708"/>
    </row>
    <row r="56" spans="2:26">
      <c r="B56" s="2708"/>
      <c r="C56" s="2709">
        <v>34700</v>
      </c>
      <c r="D56" s="2708">
        <v>9</v>
      </c>
      <c r="E56" s="2708">
        <v>10.98</v>
      </c>
      <c r="F56" s="2708">
        <v>12.96</v>
      </c>
      <c r="G56" s="2708">
        <v>14.58</v>
      </c>
      <c r="H56" s="2708">
        <v>14.76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34161</v>
      </c>
      <c r="D57" s="2708">
        <v>9</v>
      </c>
      <c r="E57" s="2708">
        <v>10.98</v>
      </c>
      <c r="F57" s="2708">
        <v>12.24</v>
      </c>
      <c r="G57" s="2708">
        <v>13.86</v>
      </c>
      <c r="H57" s="2708">
        <v>14.04</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v>34104</v>
      </c>
      <c r="D58" s="2708">
        <v>8.82</v>
      </c>
      <c r="E58" s="2708">
        <v>9.36</v>
      </c>
      <c r="F58" s="2708">
        <v>10.8</v>
      </c>
      <c r="G58" s="2708">
        <v>12.06</v>
      </c>
      <c r="H58" s="2708">
        <v>12.24</v>
      </c>
      <c r="I58" s="2708">
        <v>0</v>
      </c>
      <c r="J58" s="2708">
        <v>0</v>
      </c>
    </row>
    <row r="59" spans="2:26">
      <c r="B59" s="2708"/>
      <c r="C59" s="2709">
        <v>33349</v>
      </c>
      <c r="D59" s="2708">
        <v>8.1</v>
      </c>
      <c r="E59" s="2708">
        <v>8.64</v>
      </c>
      <c r="F59" s="2708">
        <v>9</v>
      </c>
      <c r="G59" s="2708">
        <v>9.5399999999999991</v>
      </c>
      <c r="H59" s="2708">
        <v>9.7200000000000006</v>
      </c>
      <c r="I59" s="2708">
        <v>0</v>
      </c>
      <c r="J59" s="2708">
        <v>0</v>
      </c>
    </row>
    <row r="60" spans="2:26">
      <c r="B60" s="2708"/>
      <c r="C60" s="2709">
        <v>33318</v>
      </c>
      <c r="D60" s="2708">
        <v>9</v>
      </c>
      <c r="E60" s="2708">
        <v>10.08</v>
      </c>
      <c r="F60" s="2708">
        <v>10.8</v>
      </c>
      <c r="G60" s="2708">
        <v>11.52</v>
      </c>
      <c r="H60" s="2708">
        <v>11.88</v>
      </c>
      <c r="I60" s="2708" t="s">
        <v>2797</v>
      </c>
      <c r="J60" s="2708" t="s">
        <v>2797</v>
      </c>
    </row>
    <row r="61" spans="2:26">
      <c r="B61" s="2708"/>
      <c r="C61" s="2709">
        <v>33106</v>
      </c>
      <c r="D61" s="2708">
        <v>8.64</v>
      </c>
      <c r="E61" s="2708">
        <v>9.36</v>
      </c>
      <c r="F61" s="2708">
        <v>10.08</v>
      </c>
      <c r="G61" s="2708">
        <v>10.8</v>
      </c>
      <c r="H61" s="2708">
        <v>11.16</v>
      </c>
      <c r="I61" s="2708">
        <v>0</v>
      </c>
      <c r="J61" s="2708">
        <v>0</v>
      </c>
    </row>
    <row r="62" spans="2:26">
      <c r="B62" s="2708"/>
      <c r="C62" s="2709">
        <v>32540</v>
      </c>
      <c r="D62" s="2708">
        <v>11.34</v>
      </c>
      <c r="E62" s="2708">
        <v>11.34</v>
      </c>
      <c r="F62" s="2708">
        <v>12.78</v>
      </c>
      <c r="G62" s="2708">
        <v>14.4</v>
      </c>
      <c r="H62" s="2708">
        <v>19.260000000000002</v>
      </c>
      <c r="I62" s="2708">
        <v>0</v>
      </c>
      <c r="J62" s="2708">
        <v>0</v>
      </c>
    </row>
    <row r="63" spans="2:26">
      <c r="B63" s="2708"/>
      <c r="C63" s="2709"/>
      <c r="D63" s="2708"/>
      <c r="E63" s="2708"/>
      <c r="F63" s="2708"/>
      <c r="G63" s="2708"/>
      <c r="H63" s="2708"/>
      <c r="I63" s="2708"/>
      <c r="J63" s="2708"/>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711"/>
      <c r="C66" s="2712"/>
      <c r="D66" s="2711"/>
      <c r="E66" s="2711"/>
      <c r="F66" s="2711"/>
      <c r="G66" s="2711"/>
      <c r="H66" s="2711"/>
      <c r="I66" s="2711"/>
      <c r="J66" s="2711"/>
    </row>
    <row r="67" spans="2:10">
      <c r="B67" s="2659"/>
      <c r="C67" s="2659"/>
      <c r="D67" s="2659"/>
      <c r="E67" s="2659"/>
      <c r="F67" s="2659"/>
      <c r="G67" s="2659"/>
      <c r="H67" s="2659"/>
      <c r="I67" s="2659"/>
      <c r="J67" s="2659"/>
    </row>
    <row r="68" spans="2:10">
      <c r="B68" s="2659"/>
      <c r="C68" s="2659"/>
      <c r="D68" s="2659"/>
      <c r="E68" s="2659"/>
      <c r="F68" s="2659"/>
      <c r="G68" s="2659"/>
      <c r="H68" s="2659"/>
      <c r="I68" s="2659"/>
      <c r="J68" s="2659"/>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AM41"/>
  <sheetViews>
    <sheetView zoomScale="70" zoomScaleNormal="70" workbookViewId="0">
      <selection activeCell="W42" sqref="A42:W42"/>
    </sheetView>
  </sheetViews>
  <sheetFormatPr defaultRowHeight="13.5"/>
  <cols>
    <col min="1" max="1" width="10" bestFit="1" customWidth="1"/>
    <col min="2" max="2" width="5.25" bestFit="1" customWidth="1"/>
    <col min="3" max="3" width="17.125" customWidth="1"/>
    <col min="4" max="4" width="10" bestFit="1" customWidth="1"/>
    <col min="5" max="5" width="23" customWidth="1"/>
  </cols>
  <sheetData>
    <row r="3" spans="2:8">
      <c r="B3" s="3296" t="s">
        <v>3065</v>
      </c>
      <c r="C3" s="3296" t="s">
        <v>3076</v>
      </c>
      <c r="D3" s="3296" t="s">
        <v>3066</v>
      </c>
      <c r="E3" s="3296" t="s">
        <v>3067</v>
      </c>
      <c r="F3" s="3296" t="s">
        <v>3068</v>
      </c>
      <c r="G3" s="3296" t="s">
        <v>3069</v>
      </c>
    </row>
    <row r="4" spans="2:8">
      <c r="B4" s="3296">
        <v>1</v>
      </c>
      <c r="C4" s="3296" t="s">
        <v>3070</v>
      </c>
      <c r="D4" s="3296" t="s">
        <v>3071</v>
      </c>
      <c r="E4" s="3296" t="s">
        <v>3072</v>
      </c>
      <c r="F4" s="3296">
        <v>5370</v>
      </c>
      <c r="G4" s="3296">
        <v>2</v>
      </c>
      <c r="H4">
        <f>F4*G4</f>
        <v>10740</v>
      </c>
    </row>
    <row r="5" spans="2:8">
      <c r="B5" s="3296">
        <v>2</v>
      </c>
      <c r="C5" s="3296" t="s">
        <v>3073</v>
      </c>
      <c r="D5" s="3296" t="s">
        <v>3071</v>
      </c>
      <c r="E5" s="3296" t="s">
        <v>3072</v>
      </c>
      <c r="F5" s="3296">
        <v>5343</v>
      </c>
      <c r="G5" s="3296">
        <v>2</v>
      </c>
      <c r="H5">
        <f t="shared" ref="H5:H7" si="0">F5*G5</f>
        <v>10686</v>
      </c>
    </row>
    <row r="6" spans="2:8">
      <c r="B6" s="3296">
        <v>3</v>
      </c>
      <c r="C6" s="3296" t="s">
        <v>3074</v>
      </c>
      <c r="D6" s="3296" t="s">
        <v>3071</v>
      </c>
      <c r="E6" s="3296" t="s">
        <v>3072</v>
      </c>
      <c r="F6" s="3296">
        <v>2974</v>
      </c>
      <c r="G6" s="3296">
        <v>2</v>
      </c>
      <c r="H6">
        <f t="shared" si="0"/>
        <v>5948</v>
      </c>
    </row>
    <row r="7" spans="2:8">
      <c r="B7" s="3296"/>
      <c r="C7" s="3296" t="s">
        <v>3077</v>
      </c>
      <c r="D7" s="3296" t="s">
        <v>3078</v>
      </c>
      <c r="E7" s="3296" t="s">
        <v>3078</v>
      </c>
      <c r="F7" s="3296">
        <v>13687.3</v>
      </c>
      <c r="G7" s="3296">
        <v>2</v>
      </c>
      <c r="H7">
        <f t="shared" si="0"/>
        <v>27374.6</v>
      </c>
    </row>
    <row r="13" spans="2:8">
      <c r="E13" s="3293" t="s">
        <v>3060</v>
      </c>
    </row>
    <row r="14" spans="2:8">
      <c r="E14" s="3293" t="s">
        <v>3061</v>
      </c>
    </row>
    <row r="15" spans="2:8">
      <c r="E15" s="3294">
        <v>50</v>
      </c>
    </row>
    <row r="16" spans="2:8">
      <c r="E16" s="3293" t="s">
        <v>3062</v>
      </c>
    </row>
    <row r="17" spans="4:39">
      <c r="E17" s="3295">
        <v>5370</v>
      </c>
    </row>
    <row r="19" spans="4:39">
      <c r="G19" s="3293" t="s">
        <v>3063</v>
      </c>
    </row>
    <row r="20" spans="4:39">
      <c r="G20" s="3293" t="s">
        <v>3061</v>
      </c>
    </row>
    <row r="21" spans="4:39">
      <c r="G21" s="3294">
        <v>50</v>
      </c>
    </row>
    <row r="22" spans="4:39">
      <c r="G22" s="3293" t="s">
        <v>3062</v>
      </c>
    </row>
    <row r="23" spans="4:39">
      <c r="G23" s="3295">
        <v>5343</v>
      </c>
    </row>
    <row r="24" spans="4:39">
      <c r="G24" s="3293" t="s">
        <v>3064</v>
      </c>
    </row>
    <row r="25" spans="4:39" ht="14.25" thickBot="1">
      <c r="G25" s="3293" t="s">
        <v>3061</v>
      </c>
    </row>
    <row r="26" spans="4:39" ht="14.25" thickBot="1">
      <c r="G26" s="3294">
        <v>50</v>
      </c>
      <c r="L26" s="2862">
        <v>0.37</v>
      </c>
      <c r="M26" s="2862">
        <v>-0.39</v>
      </c>
      <c r="N26" s="2862">
        <v>-0.78</v>
      </c>
      <c r="O26" s="2862">
        <v>-0.4</v>
      </c>
      <c r="P26" s="2900">
        <v>-0.12</v>
      </c>
      <c r="Q26" s="2900">
        <v>0.67</v>
      </c>
      <c r="R26" s="2907">
        <v>1.01</v>
      </c>
      <c r="S26" s="2900">
        <v>0.37</v>
      </c>
      <c r="T26" s="2907">
        <v>1.03</v>
      </c>
      <c r="U26" s="2900">
        <v>1.41</v>
      </c>
      <c r="V26" s="2913">
        <v>0.96</v>
      </c>
      <c r="W26" s="2900">
        <v>1.92</v>
      </c>
      <c r="X26" s="2907">
        <v>1.78</v>
      </c>
      <c r="Y26" s="2900">
        <v>2.11</v>
      </c>
      <c r="Z26" s="2913">
        <v>2</v>
      </c>
      <c r="AA26" s="2900">
        <v>1.92</v>
      </c>
      <c r="AB26" s="2907">
        <v>2.15</v>
      </c>
      <c r="AC26" s="2900">
        <v>2</v>
      </c>
      <c r="AD26" s="2913">
        <v>1.95</v>
      </c>
      <c r="AE26" s="2900">
        <v>2.93</v>
      </c>
      <c r="AF26" s="2922">
        <v>1.1100000000000001</v>
      </c>
      <c r="AG26" s="2925">
        <v>0.92</v>
      </c>
      <c r="AH26" s="2913">
        <v>0.69</v>
      </c>
      <c r="AI26" s="2900">
        <v>0.54</v>
      </c>
      <c r="AJ26" s="2922">
        <v>0.41</v>
      </c>
      <c r="AK26" s="2929">
        <v>1.47</v>
      </c>
      <c r="AL26" s="2922">
        <v>2.0299999999999998</v>
      </c>
      <c r="AM26" s="2933">
        <v>2.34</v>
      </c>
    </row>
    <row r="27" spans="4:39">
      <c r="G27" s="3293" t="s">
        <v>3062</v>
      </c>
    </row>
    <row r="28" spans="4:39">
      <c r="G28" s="3295">
        <v>2974</v>
      </c>
    </row>
    <row r="30" spans="4:39" ht="14.25" thickBot="1"/>
    <row r="31" spans="4:39" ht="14.25" thickBot="1">
      <c r="D31" s="3297" t="s">
        <v>2360</v>
      </c>
      <c r="E31" s="3297" t="s">
        <v>3079</v>
      </c>
      <c r="F31" s="3297" t="s">
        <v>3080</v>
      </c>
      <c r="G31" s="3297" t="s">
        <v>3082</v>
      </c>
      <c r="H31" s="3297" t="s">
        <v>3085</v>
      </c>
      <c r="I31" s="3297" t="s">
        <v>3084</v>
      </c>
    </row>
    <row r="32" spans="4:39" ht="26.25" thickBot="1">
      <c r="D32" s="3297">
        <v>1</v>
      </c>
      <c r="E32" s="3297" t="s">
        <v>3086</v>
      </c>
      <c r="F32" s="3297" t="s">
        <v>3081</v>
      </c>
      <c r="G32" s="3297" t="s">
        <v>3083</v>
      </c>
      <c r="H32" s="3297">
        <v>1</v>
      </c>
      <c r="I32" s="3297">
        <v>99.6</v>
      </c>
    </row>
    <row r="33" spans="4:9" ht="26.25" thickBot="1">
      <c r="D33" s="3297">
        <v>2</v>
      </c>
      <c r="E33" s="3297" t="s">
        <v>3086</v>
      </c>
      <c r="F33" s="3297" t="s">
        <v>3081</v>
      </c>
      <c r="G33" s="3297" t="s">
        <v>3083</v>
      </c>
      <c r="H33" s="3297">
        <v>1</v>
      </c>
      <c r="I33" s="3297">
        <v>223.9</v>
      </c>
    </row>
    <row r="34" spans="4:9" ht="14.25" thickBot="1">
      <c r="D34" s="3297">
        <v>3</v>
      </c>
      <c r="E34" s="3297" t="s">
        <v>3087</v>
      </c>
      <c r="F34" s="3297" t="s">
        <v>3081</v>
      </c>
      <c r="G34" s="3297" t="s">
        <v>3083</v>
      </c>
      <c r="H34" s="3297">
        <v>1</v>
      </c>
      <c r="I34" s="3297">
        <v>79.599999999999994</v>
      </c>
    </row>
    <row r="35" spans="4:9" ht="14.25" thickBot="1">
      <c r="D35" s="3297">
        <v>4</v>
      </c>
      <c r="E35" s="3297" t="s">
        <v>3087</v>
      </c>
      <c r="F35" s="3297" t="s">
        <v>3081</v>
      </c>
      <c r="G35" s="3297" t="s">
        <v>3083</v>
      </c>
      <c r="H35" s="3297">
        <v>1</v>
      </c>
      <c r="I35" s="3297">
        <v>46.4</v>
      </c>
    </row>
    <row r="36" spans="4:9" ht="14.25" thickBot="1">
      <c r="D36" s="3297">
        <v>5</v>
      </c>
      <c r="E36" s="3297" t="s">
        <v>3087</v>
      </c>
      <c r="F36" s="3297" t="s">
        <v>3081</v>
      </c>
      <c r="G36" s="3297" t="s">
        <v>3083</v>
      </c>
      <c r="H36" s="3297">
        <v>1</v>
      </c>
      <c r="I36" s="3297">
        <v>38.200000000000003</v>
      </c>
    </row>
    <row r="37" spans="4:9" ht="14.25" thickBot="1">
      <c r="D37" s="3297">
        <v>6</v>
      </c>
      <c r="E37" s="3297" t="s">
        <v>3087</v>
      </c>
      <c r="F37" s="3297" t="s">
        <v>3081</v>
      </c>
      <c r="G37" s="3297" t="s">
        <v>3083</v>
      </c>
      <c r="H37" s="3297">
        <v>1</v>
      </c>
      <c r="I37" s="3297">
        <v>493.7</v>
      </c>
    </row>
    <row r="38" spans="4:9" ht="14.25" thickBot="1">
      <c r="D38" s="3297">
        <v>7</v>
      </c>
      <c r="E38" s="3297" t="s">
        <v>3087</v>
      </c>
      <c r="F38" s="3297" t="s">
        <v>3081</v>
      </c>
      <c r="G38" s="3297" t="s">
        <v>3083</v>
      </c>
      <c r="H38" s="3297">
        <v>1</v>
      </c>
      <c r="I38" s="3297">
        <v>11.2</v>
      </c>
    </row>
    <row r="39" spans="4:9" ht="14.25" thickBot="1">
      <c r="D39" s="3297">
        <v>8</v>
      </c>
      <c r="E39" s="3297" t="s">
        <v>3087</v>
      </c>
      <c r="F39" s="3297" t="s">
        <v>3081</v>
      </c>
      <c r="G39" s="3297" t="s">
        <v>3083</v>
      </c>
      <c r="H39" s="3297">
        <v>1</v>
      </c>
      <c r="I39" s="3297">
        <v>67.7</v>
      </c>
    </row>
    <row r="40" spans="4:9" ht="14.25" thickBot="1">
      <c r="D40" s="3297">
        <v>9</v>
      </c>
      <c r="E40" s="3297" t="s">
        <v>3087</v>
      </c>
      <c r="F40" s="3297" t="s">
        <v>3081</v>
      </c>
      <c r="G40" s="3297" t="s">
        <v>3083</v>
      </c>
      <c r="H40" s="3297">
        <v>1</v>
      </c>
      <c r="I40" s="3297">
        <v>30.7</v>
      </c>
    </row>
    <row r="41" spans="4:9" ht="14.25" thickBot="1">
      <c r="D41" s="3297"/>
      <c r="E41" s="3297" t="s">
        <v>3075</v>
      </c>
      <c r="F41" s="3297" t="s">
        <v>3078</v>
      </c>
      <c r="G41" s="3297" t="s">
        <v>3078</v>
      </c>
      <c r="H41" s="3297" t="s">
        <v>3078</v>
      </c>
      <c r="I41" s="3297">
        <f>SUM(I32:I40)</f>
        <v>1091</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2" t="s">
        <v>2027</v>
      </c>
      <c r="B1" s="3302"/>
      <c r="C1" s="3302"/>
      <c r="D1" s="3302"/>
      <c r="E1" s="3302"/>
      <c r="F1" s="3302"/>
      <c r="G1" s="3302"/>
      <c r="H1" s="3302"/>
      <c r="I1" s="3302"/>
      <c r="J1" s="3302"/>
      <c r="K1" s="3302"/>
      <c r="L1" s="3302"/>
      <c r="M1" s="3302"/>
      <c r="N1" s="3302"/>
      <c r="O1" s="3302"/>
      <c r="P1" s="3302"/>
      <c r="Q1" s="3302"/>
      <c r="R1" s="3302"/>
    </row>
    <row r="2" spans="1:18">
      <c r="A2" s="1723" t="s">
        <v>2029</v>
      </c>
      <c r="B2" s="1723"/>
      <c r="C2" s="1723"/>
      <c r="D2" s="1723"/>
      <c r="E2" s="1723"/>
      <c r="F2" s="1723"/>
      <c r="G2" s="1723"/>
      <c r="H2" s="1723"/>
      <c r="I2" s="1724"/>
      <c r="J2" s="1724"/>
      <c r="K2" s="1725" t="str">
        <f>"估价期日："&amp;TEXT(项目基本情况!D3,"yyyy年m月d日;;")</f>
        <v>估价期日：2021年5月13日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3" t="s">
        <v>2018</v>
      </c>
      <c r="B3" s="3303" t="s">
        <v>2711</v>
      </c>
      <c r="C3" s="3304" t="s">
        <v>2019</v>
      </c>
      <c r="D3" s="3303" t="s">
        <v>2715</v>
      </c>
      <c r="E3" s="3306" t="s">
        <v>2020</v>
      </c>
      <c r="F3" s="3306"/>
      <c r="G3" s="3306"/>
      <c r="H3" s="3306" t="s">
        <v>2021</v>
      </c>
      <c r="I3" s="3306"/>
      <c r="J3" s="3306"/>
      <c r="K3" s="3304" t="s">
        <v>2022</v>
      </c>
      <c r="L3" s="3304" t="s">
        <v>2023</v>
      </c>
      <c r="M3" s="3303" t="s">
        <v>2712</v>
      </c>
      <c r="N3" s="3305" t="str">
        <f>"（分摊）"&amp;项目基本情况!B16&amp;"国有建设用地使用权面积/㎡"</f>
        <v>（分摊）出让国有建设用地使用权面积/㎡</v>
      </c>
      <c r="O3" s="3303" t="s">
        <v>2052</v>
      </c>
      <c r="P3" s="3304" t="s">
        <v>2032</v>
      </c>
      <c r="Q3" s="3304" t="s">
        <v>2053</v>
      </c>
      <c r="R3" s="3304" t="s">
        <v>2024</v>
      </c>
    </row>
    <row r="4" spans="1:18" ht="36.75" customHeight="1">
      <c r="A4" s="3303"/>
      <c r="B4" s="3303"/>
      <c r="C4" s="3304"/>
      <c r="D4" s="3303"/>
      <c r="E4" s="2492" t="s">
        <v>2031</v>
      </c>
      <c r="F4" s="2492" t="s">
        <v>2724</v>
      </c>
      <c r="G4" s="2492" t="s">
        <v>2025</v>
      </c>
      <c r="H4" s="2492" t="s">
        <v>2026</v>
      </c>
      <c r="I4" s="2492" t="s">
        <v>2725</v>
      </c>
      <c r="J4" s="2492" t="s">
        <v>2025</v>
      </c>
      <c r="K4" s="3304"/>
      <c r="L4" s="3304"/>
      <c r="M4" s="3303"/>
      <c r="N4" s="3305"/>
      <c r="O4" s="3303"/>
      <c r="P4" s="3304"/>
      <c r="Q4" s="3304"/>
      <c r="R4" s="3304"/>
    </row>
    <row r="5" spans="1:18" ht="135" customHeight="1">
      <c r="A5" s="1858" t="s">
        <v>2635</v>
      </c>
      <c r="B5" s="2585" t="s">
        <v>2633</v>
      </c>
      <c r="C5" s="2491">
        <v>22</v>
      </c>
      <c r="D5" s="2490" t="s">
        <v>2634</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v>
      </c>
      <c r="L5" s="1726" t="str">
        <f>"红线外"&amp;项目基本情况!T40&amp;"、宗地红线内场地"&amp;项目基本情况!D36</f>
        <v>红线外七通、宗地红线内场地</v>
      </c>
      <c r="M5" s="1726">
        <f>IF(项目基本情况!B16="出让",项目基本情况!D20,"——")</f>
        <v>0</v>
      </c>
      <c r="N5" s="1726">
        <f>项目基本情况!C22</f>
        <v>13141.8</v>
      </c>
      <c r="O5" s="1726">
        <f>项目基本情况!C21</f>
        <v>26283.599999999999</v>
      </c>
      <c r="P5" s="1726">
        <f ca="1">结果表!E42</f>
        <v>14813</v>
      </c>
      <c r="Q5" s="1726">
        <f ca="1">结果表!D42</f>
        <v>7407</v>
      </c>
      <c r="R5" s="1727">
        <f ca="1">结果表!C42</f>
        <v>19467</v>
      </c>
    </row>
    <row r="6" spans="1:18">
      <c r="A6" s="3299" t="str">
        <f>IF(项目基本情况!B9="市场价格","——","抵押价格")</f>
        <v>——</v>
      </c>
      <c r="B6" s="3300"/>
      <c r="C6" s="3300"/>
      <c r="D6" s="3300"/>
      <c r="E6" s="3300"/>
      <c r="F6" s="3300"/>
      <c r="G6" s="3300"/>
      <c r="H6" s="3300"/>
      <c r="I6" s="3300"/>
      <c r="J6" s="3300"/>
      <c r="K6" s="3300"/>
      <c r="L6" s="3300"/>
      <c r="M6" s="3300"/>
      <c r="N6" s="3300"/>
      <c r="O6" s="3300"/>
      <c r="P6" s="3300"/>
      <c r="Q6" s="3301"/>
      <c r="R6" s="1728">
        <f ca="1">结果表!O39</f>
        <v>19467</v>
      </c>
    </row>
    <row r="7" spans="1:18">
      <c r="A7" s="3299" t="str">
        <f>IF(项目基本情况!B9="市场价格","——",IF(项目基本情况!E8="已注销及未注销","抵押担保权已注销时的抵押价格","——"))</f>
        <v>——</v>
      </c>
      <c r="B7" s="3300"/>
      <c r="C7" s="3300"/>
      <c r="D7" s="3300"/>
      <c r="E7" s="3300"/>
      <c r="F7" s="3300"/>
      <c r="G7" s="3300"/>
      <c r="H7" s="3300"/>
      <c r="I7" s="3300"/>
      <c r="J7" s="3300"/>
      <c r="K7" s="3300"/>
      <c r="L7" s="3300"/>
      <c r="M7" s="3300"/>
      <c r="N7" s="3300"/>
      <c r="O7" s="3300"/>
      <c r="P7" s="3300"/>
      <c r="Q7" s="3301"/>
      <c r="R7" s="1728" t="str">
        <f>结果表!O40</f>
        <v>——</v>
      </c>
    </row>
    <row r="8" spans="1:18">
      <c r="A8" s="3299" t="str">
        <f>IF(项目基本情况!B9="市场价格","——",项目基本情况!E9)</f>
        <v>——</v>
      </c>
      <c r="B8" s="3300"/>
      <c r="C8" s="3300"/>
      <c r="D8" s="3300"/>
      <c r="E8" s="3300"/>
      <c r="F8" s="3300"/>
      <c r="G8" s="3300"/>
      <c r="H8" s="3300"/>
      <c r="I8" s="3300"/>
      <c r="J8" s="3300"/>
      <c r="K8" s="3300"/>
      <c r="L8" s="3300"/>
      <c r="M8" s="3300"/>
      <c r="N8" s="3300"/>
      <c r="O8" s="3300"/>
      <c r="P8" s="3300"/>
      <c r="Q8" s="3301"/>
      <c r="R8" s="1728" t="str">
        <f>结果表!O41</f>
        <v>——</v>
      </c>
    </row>
    <row r="9" spans="1:18">
      <c r="A9" s="1729" t="s">
        <v>2030</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2017</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8" customWidth="1"/>
    <col min="2" max="3" width="21.375" style="1718" customWidth="1"/>
    <col min="4" max="4" width="19.875" style="1718" customWidth="1"/>
    <col min="5" max="16384" width="9" style="1718"/>
  </cols>
  <sheetData>
    <row r="1" spans="1:4">
      <c r="A1" s="3307" t="s">
        <v>2054</v>
      </c>
      <c r="B1" s="3307"/>
      <c r="C1" s="3307"/>
      <c r="D1" s="3307"/>
    </row>
    <row r="2" spans="1:4" ht="47.25" customHeight="1">
      <c r="A2" s="3311" t="str">
        <f>"1.权利限制："&amp;项目基本情况!L24&amp;"未设定租赁等其他他项权利。"</f>
        <v>1.权利限制：根据估价对象《不动产权证书》原件、《国有土地使用权》复印件，截至估价期日，估价对象抵押权未见登记。未设定租赁等其他他项权利。</v>
      </c>
      <c r="B2" s="3311"/>
      <c r="C2" s="3311"/>
      <c r="D2" s="3311"/>
    </row>
    <row r="3" spans="1:4" ht="48" customHeight="1">
      <c r="A3" s="33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7"/>
      <c r="C3" s="3307"/>
      <c r="D3" s="3307"/>
    </row>
    <row r="4" spans="1:4" ht="36.75" customHeight="1">
      <c r="A4" s="3307" t="str">
        <f>"3.估价规划限制条件：详见"&amp;项目基本情况!E21&amp;"。"</f>
        <v>3.估价规划限制条件：详见《建设工程规划许可证》[]、《出让合同》[]。</v>
      </c>
      <c r="B4" s="3307"/>
      <c r="C4" s="3307"/>
      <c r="D4" s="3307"/>
    </row>
    <row r="5" spans="1:4">
      <c r="A5" s="3310" t="s">
        <v>2055</v>
      </c>
      <c r="B5" s="3310"/>
      <c r="C5" s="3310"/>
      <c r="D5" s="3310"/>
    </row>
    <row r="6" spans="1:4">
      <c r="A6" s="3307" t="s">
        <v>2033</v>
      </c>
      <c r="B6" s="3307"/>
      <c r="C6" s="3307"/>
      <c r="D6" s="3307"/>
    </row>
    <row r="7" spans="1:4" ht="33" customHeight="1">
      <c r="A7" s="3307" t="s">
        <v>2555</v>
      </c>
      <c r="B7" s="3307"/>
      <c r="C7" s="3307"/>
      <c r="D7" s="3307"/>
    </row>
    <row r="8" spans="1:4" ht="32.25" customHeight="1">
      <c r="A8" s="33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7"/>
      <c r="C8" s="3307"/>
      <c r="D8" s="3307"/>
    </row>
    <row r="9" spans="1:4" ht="33.75" customHeight="1">
      <c r="A9" s="330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7"/>
      <c r="C9" s="3307"/>
      <c r="D9" s="3307"/>
    </row>
    <row r="10" spans="1:4">
      <c r="A10" s="3307" t="str">
        <f>IF(项目基本情况!B8="抵押","4.估价师所知悉的法定优先受偿款情况为：","——")</f>
        <v>4.估价师所知悉的法定优先受偿款情况为：</v>
      </c>
      <c r="B10" s="3307"/>
      <c r="C10" s="3307"/>
      <c r="D10" s="3307"/>
    </row>
    <row r="11" spans="1:4" ht="37.5" customHeight="1">
      <c r="A11" s="330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9"/>
      <c r="C11" s="3309"/>
      <c r="D11" s="3309"/>
    </row>
    <row r="12" spans="1:4" ht="168" customHeight="1">
      <c r="A12" s="3310" t="s">
        <v>2057</v>
      </c>
      <c r="B12" s="3310"/>
      <c r="C12" s="3310"/>
      <c r="D12" s="3310"/>
    </row>
    <row r="13" spans="1:4">
      <c r="A13" s="3308" t="s">
        <v>2726</v>
      </c>
      <c r="B13" s="3308"/>
      <c r="C13" s="3308"/>
      <c r="D13" s="3308"/>
    </row>
    <row r="14" spans="1:4">
      <c r="A14" s="3309" t="str">
        <f>IF(项目基本情况!B8="抵押","综上，"&amp;结果表!K47,"——")</f>
        <v>综上，本次评估不存在估价师知悉的法定优先受偿款</v>
      </c>
      <c r="B14" s="3309"/>
      <c r="C14" s="3309"/>
      <c r="D14" s="3309"/>
    </row>
    <row r="15" spans="1:4" ht="58.5" customHeight="1">
      <c r="A15" s="33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7"/>
      <c r="C15" s="3307"/>
      <c r="D15" s="3307"/>
    </row>
    <row r="16" spans="1:4" ht="70.5" customHeight="1">
      <c r="A16" s="33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7"/>
      <c r="C16" s="3307"/>
      <c r="D16" s="3307"/>
    </row>
    <row r="17" spans="1:4">
      <c r="A17" s="3307" t="s">
        <v>2682</v>
      </c>
      <c r="B17" s="3307"/>
      <c r="C17" s="3307"/>
      <c r="D17" s="3307"/>
    </row>
    <row r="18" spans="1:4">
      <c r="A18" s="3307" t="s">
        <v>2674</v>
      </c>
      <c r="B18" s="3307"/>
      <c r="C18" s="3307"/>
      <c r="D18" s="3307"/>
    </row>
    <row r="19" spans="1:4">
      <c r="A19" s="2586" t="s">
        <v>2675</v>
      </c>
      <c r="B19" s="2586" t="s">
        <v>2676</v>
      </c>
      <c r="C19" s="2586" t="s">
        <v>2677</v>
      </c>
      <c r="D19" s="2586" t="s">
        <v>2678</v>
      </c>
    </row>
    <row r="20" spans="1:4">
      <c r="A20" s="2586" t="str">
        <f>项目基本情况!B4</f>
        <v>王鹏</v>
      </c>
      <c r="B20" s="2586">
        <f ca="1">项目基本情况!C4</f>
        <v>2002110030</v>
      </c>
      <c r="C20" s="2588"/>
      <c r="D20" s="1716" t="s">
        <v>2683</v>
      </c>
    </row>
    <row r="21" spans="1:4">
      <c r="A21" s="2586" t="str">
        <f>项目基本情况!D4</f>
        <v>郑燚</v>
      </c>
      <c r="B21" s="2586">
        <f ca="1">项目基本情况!E4</f>
        <v>2014110011</v>
      </c>
      <c r="C21" s="2588"/>
      <c r="D21" s="1716" t="s">
        <v>2684</v>
      </c>
    </row>
    <row r="23" spans="1:4">
      <c r="A23" s="3307" t="s">
        <v>2679</v>
      </c>
      <c r="B23" s="3307"/>
      <c r="C23" s="3307"/>
      <c r="D23" s="3307"/>
    </row>
    <row r="24" spans="1:4">
      <c r="A24" s="2586" t="s">
        <v>2675</v>
      </c>
      <c r="B24" s="2586" t="s">
        <v>2680</v>
      </c>
      <c r="C24" s="2586" t="s">
        <v>2677</v>
      </c>
      <c r="D24" s="2586" t="s">
        <v>2678</v>
      </c>
    </row>
    <row r="25" spans="1:4">
      <c r="A25" s="2589" t="s">
        <v>2681</v>
      </c>
      <c r="B25" s="2586" t="s">
        <v>943</v>
      </c>
      <c r="C25" s="2588"/>
      <c r="D25" s="1716" t="s">
        <v>2684</v>
      </c>
    </row>
    <row r="29" spans="1:4">
      <c r="D29" s="2587" t="s">
        <v>2028</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19" t="s">
        <v>53</v>
      </c>
      <c r="B15" s="3320" t="s">
        <v>838</v>
      </c>
      <c r="C15" s="3316"/>
    </row>
    <row r="16" spans="1:7" ht="14.25">
      <c r="A16" s="3319"/>
      <c r="B16" s="3317" t="s">
        <v>54</v>
      </c>
      <c r="C16" s="1155" t="s">
        <v>53</v>
      </c>
    </row>
    <row r="17" spans="1:3" ht="14.25">
      <c r="A17" s="3319"/>
      <c r="B17" s="3317"/>
      <c r="C17" s="1155" t="s">
        <v>55</v>
      </c>
    </row>
    <row r="18" spans="1:3" ht="14.25">
      <c r="A18" s="3319"/>
      <c r="B18" s="3317"/>
      <c r="C18" s="1155" t="s">
        <v>56</v>
      </c>
    </row>
    <row r="19" spans="1:3" ht="14.25">
      <c r="A19" s="3319"/>
      <c r="B19" s="3315" t="s">
        <v>57</v>
      </c>
      <c r="C19" s="3316"/>
    </row>
    <row r="20" spans="1:3" ht="14.25">
      <c r="A20" s="1156" t="s">
        <v>58</v>
      </c>
      <c r="B20" s="1157"/>
      <c r="C20" s="1158"/>
    </row>
    <row r="21" spans="1:3" ht="14.25">
      <c r="A21" s="3318" t="s">
        <v>59</v>
      </c>
      <c r="B21" s="3315" t="s">
        <v>60</v>
      </c>
      <c r="C21" s="3316"/>
    </row>
    <row r="22" spans="1:3" ht="14.25">
      <c r="A22" s="3318"/>
      <c r="B22" s="3315" t="s">
        <v>61</v>
      </c>
      <c r="C22" s="3316"/>
    </row>
    <row r="23" spans="1:3" ht="14.25">
      <c r="A23" s="3318"/>
      <c r="B23" s="3315" t="s">
        <v>62</v>
      </c>
      <c r="C23" s="3316"/>
    </row>
    <row r="24" spans="1:3" ht="14.25">
      <c r="A24" s="3318"/>
      <c r="B24" s="3321" t="s">
        <v>63</v>
      </c>
      <c r="C24" s="1159" t="s">
        <v>829</v>
      </c>
    </row>
    <row r="25" spans="1:3" ht="14.25">
      <c r="A25" s="3318"/>
      <c r="B25" s="3322"/>
      <c r="C25" s="1159" t="s">
        <v>830</v>
      </c>
    </row>
    <row r="26" spans="1:3" ht="14.25">
      <c r="A26" s="3318"/>
      <c r="B26" s="3322"/>
      <c r="C26" s="1159" t="s">
        <v>831</v>
      </c>
    </row>
    <row r="27" spans="1:3" ht="14.25">
      <c r="A27" s="3318"/>
      <c r="B27" s="3322"/>
      <c r="C27" s="1159" t="s">
        <v>832</v>
      </c>
    </row>
    <row r="28" spans="1:3" ht="14.25">
      <c r="A28" s="3318"/>
      <c r="B28" s="3322"/>
      <c r="C28" s="1159" t="s">
        <v>833</v>
      </c>
    </row>
    <row r="29" spans="1:3" ht="14.25">
      <c r="A29" s="3318"/>
      <c r="B29" s="3322"/>
      <c r="C29" s="1159" t="s">
        <v>834</v>
      </c>
    </row>
    <row r="30" spans="1:3" ht="14.25">
      <c r="A30" s="3318"/>
      <c r="B30" s="3322"/>
      <c r="C30" s="1159" t="s">
        <v>835</v>
      </c>
    </row>
    <row r="31" spans="1:3" ht="14.25">
      <c r="A31" s="3318"/>
      <c r="B31" s="3322"/>
      <c r="C31" s="1159" t="s">
        <v>836</v>
      </c>
    </row>
    <row r="32" spans="1:3" ht="14.25">
      <c r="A32" s="3318"/>
      <c r="B32" s="3322"/>
      <c r="C32" s="1159" t="s">
        <v>1637</v>
      </c>
    </row>
    <row r="33" spans="1:3" ht="14.25">
      <c r="A33" s="3318"/>
      <c r="B33" s="3312" t="s">
        <v>1643</v>
      </c>
      <c r="C33" s="1159" t="s">
        <v>1638</v>
      </c>
    </row>
    <row r="34" spans="1:3" ht="14.25">
      <c r="A34" s="3318"/>
      <c r="B34" s="3313"/>
      <c r="C34" s="1164" t="s">
        <v>1639</v>
      </c>
    </row>
    <row r="35" spans="1:3" ht="14.25">
      <c r="A35" s="3318"/>
      <c r="B35" s="3313"/>
      <c r="C35" s="1165" t="s">
        <v>1640</v>
      </c>
    </row>
    <row r="36" spans="1:3" ht="14.25">
      <c r="A36" s="3318"/>
      <c r="B36" s="3313"/>
      <c r="C36" s="1165" t="s">
        <v>1641</v>
      </c>
    </row>
    <row r="37" spans="1:3" ht="14.25">
      <c r="A37" s="3318"/>
      <c r="B37" s="3314"/>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44332</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2934</v>
      </c>
      <c r="B12" s="3030">
        <f ca="1">IF(C12&lt;B2,"已过期",1120040230)</f>
        <v>1120040230</v>
      </c>
      <c r="C12" s="3033">
        <v>44864</v>
      </c>
      <c r="D12" s="3041" t="s">
        <v>2935</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2949</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26" t="s">
        <v>1915</v>
      </c>
      <c r="B17" s="3327"/>
      <c r="C17" s="3327"/>
      <c r="D17" s="3327"/>
      <c r="E17" s="3327"/>
      <c r="F17" s="3327"/>
      <c r="G17" s="3034"/>
    </row>
    <row r="18" spans="1:7" ht="20.25" customHeight="1">
      <c r="A18" s="3323" t="s">
        <v>1916</v>
      </c>
      <c r="B18" s="3323"/>
      <c r="C18" s="3324"/>
      <c r="D18" s="3325" t="s">
        <v>1917</v>
      </c>
      <c r="E18" s="3323"/>
      <c r="F18" s="3323"/>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2948</v>
      </c>
      <c r="F21" s="3038">
        <v>44012</v>
      </c>
      <c r="G21" s="3026"/>
    </row>
    <row r="22" spans="1:7" ht="20.25" customHeight="1">
      <c r="A22" s="3025"/>
      <c r="B22" s="3025"/>
      <c r="C22" s="3039"/>
      <c r="D22" s="3047"/>
      <c r="E22" s="3048"/>
      <c r="F22" s="3040" t="s">
        <v>2962</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38" sqref="Z38"/>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9"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2526</v>
      </c>
      <c r="R1" s="2433" t="s">
        <v>2520</v>
      </c>
      <c r="S1" s="6" t="s">
        <v>146</v>
      </c>
      <c r="T1" s="7" t="s">
        <v>147</v>
      </c>
      <c r="U1" s="6" t="s">
        <v>148</v>
      </c>
      <c r="V1" s="6" t="s">
        <v>149</v>
      </c>
      <c r="W1" s="992" t="s">
        <v>865</v>
      </c>
    </row>
    <row r="2" spans="1:23">
      <c r="A2" s="8" t="s">
        <v>73</v>
      </c>
      <c r="B2" s="8" t="s">
        <v>150</v>
      </c>
      <c r="C2" s="1490"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2521</v>
      </c>
      <c r="S2" s="9" t="s">
        <v>75</v>
      </c>
      <c r="T2" s="9" t="s">
        <v>76</v>
      </c>
      <c r="U2" s="9" t="s">
        <v>75</v>
      </c>
      <c r="V2" s="9" t="s">
        <v>77</v>
      </c>
      <c r="W2" s="9" t="s">
        <v>866</v>
      </c>
    </row>
    <row r="3" spans="1:23">
      <c r="A3" s="8" t="s">
        <v>78</v>
      </c>
      <c r="B3" s="10" t="s">
        <v>151</v>
      </c>
      <c r="C3" s="1491"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2522</v>
      </c>
      <c r="S3" s="9" t="s">
        <v>84</v>
      </c>
      <c r="T3" s="9" t="s">
        <v>85</v>
      </c>
      <c r="U3" s="9" t="s">
        <v>84</v>
      </c>
      <c r="V3" s="9" t="s">
        <v>86</v>
      </c>
      <c r="W3" s="9" t="s">
        <v>867</v>
      </c>
    </row>
    <row r="4" spans="1:23">
      <c r="A4" s="8" t="s">
        <v>87</v>
      </c>
      <c r="B4" s="8" t="s">
        <v>152</v>
      </c>
      <c r="C4" s="1490"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2523</v>
      </c>
      <c r="S4" s="9" t="s">
        <v>92</v>
      </c>
      <c r="T4" s="9" t="s">
        <v>93</v>
      </c>
      <c r="U4" s="9" t="s">
        <v>92</v>
      </c>
      <c r="W4" s="9" t="s">
        <v>868</v>
      </c>
    </row>
    <row r="5" spans="1:23">
      <c r="A5" s="8" t="s">
        <v>94</v>
      </c>
      <c r="B5" s="8" t="s">
        <v>153</v>
      </c>
      <c r="C5" s="1490" t="s">
        <v>1703</v>
      </c>
      <c r="F5" s="9" t="s">
        <v>95</v>
      </c>
      <c r="H5" s="9" t="s">
        <v>70</v>
      </c>
      <c r="I5" s="9" t="s">
        <v>96</v>
      </c>
      <c r="K5" s="9" t="s">
        <v>97</v>
      </c>
      <c r="L5" s="9" t="s">
        <v>97</v>
      </c>
      <c r="M5" s="9" t="s">
        <v>97</v>
      </c>
      <c r="N5" s="9" t="s">
        <v>97</v>
      </c>
      <c r="O5" s="9" t="s">
        <v>97</v>
      </c>
      <c r="P5" s="993" t="s">
        <v>540</v>
      </c>
      <c r="Q5" s="9" t="s">
        <v>97</v>
      </c>
      <c r="R5" s="993" t="s">
        <v>2524</v>
      </c>
      <c r="S5" s="9" t="s">
        <v>97</v>
      </c>
      <c r="T5" s="9" t="s">
        <v>98</v>
      </c>
      <c r="U5" s="9" t="s">
        <v>97</v>
      </c>
      <c r="W5" s="9" t="s">
        <v>869</v>
      </c>
    </row>
    <row r="6" spans="1:23">
      <c r="A6" s="8" t="s">
        <v>99</v>
      </c>
      <c r="B6" s="1132" t="s">
        <v>1631</v>
      </c>
      <c r="C6" s="1492" t="s">
        <v>1704</v>
      </c>
      <c r="F6" s="9" t="s">
        <v>71</v>
      </c>
      <c r="H6" s="9" t="s">
        <v>72</v>
      </c>
      <c r="I6" s="9" t="s">
        <v>100</v>
      </c>
      <c r="K6" s="9" t="s">
        <v>101</v>
      </c>
      <c r="L6" s="9" t="s">
        <v>101</v>
      </c>
      <c r="M6" s="9" t="s">
        <v>101</v>
      </c>
      <c r="N6" s="9" t="s">
        <v>101</v>
      </c>
      <c r="O6" s="9" t="s">
        <v>101</v>
      </c>
      <c r="P6" s="993" t="s">
        <v>872</v>
      </c>
      <c r="Q6" s="9" t="s">
        <v>101</v>
      </c>
      <c r="R6" s="993" t="s">
        <v>2525</v>
      </c>
      <c r="S6" s="9" t="s">
        <v>101</v>
      </c>
      <c r="T6" s="9"/>
      <c r="U6" s="9" t="s">
        <v>101</v>
      </c>
      <c r="W6" s="9" t="s">
        <v>870</v>
      </c>
    </row>
    <row r="7" spans="1:23">
      <c r="A7" s="8" t="s">
        <v>102</v>
      </c>
      <c r="B7" s="8" t="s">
        <v>103</v>
      </c>
      <c r="C7" s="1490" t="s">
        <v>1705</v>
      </c>
      <c r="F7" s="9" t="s">
        <v>154</v>
      </c>
      <c r="H7" s="9" t="s">
        <v>104</v>
      </c>
      <c r="I7" s="9" t="s">
        <v>105</v>
      </c>
    </row>
    <row r="8" spans="1:23">
      <c r="A8" s="8" t="s">
        <v>106</v>
      </c>
      <c r="B8" s="8" t="s">
        <v>107</v>
      </c>
      <c r="C8" s="1490" t="s">
        <v>1706</v>
      </c>
      <c r="F8" s="9" t="s">
        <v>155</v>
      </c>
      <c r="H8" s="9"/>
      <c r="I8" s="9" t="s">
        <v>108</v>
      </c>
    </row>
    <row r="9" spans="1:23">
      <c r="A9" s="8" t="s">
        <v>109</v>
      </c>
      <c r="B9" s="8" t="s">
        <v>156</v>
      </c>
      <c r="C9" s="1490" t="s">
        <v>1707</v>
      </c>
      <c r="F9" s="9" t="s">
        <v>110</v>
      </c>
      <c r="H9" s="9"/>
    </row>
    <row r="10" spans="1:23">
      <c r="A10" s="8" t="s">
        <v>111</v>
      </c>
      <c r="B10" s="8" t="s">
        <v>157</v>
      </c>
      <c r="C10" s="1490" t="s">
        <v>1708</v>
      </c>
      <c r="F10" s="9" t="s">
        <v>6</v>
      </c>
    </row>
    <row r="11" spans="1:23">
      <c r="A11" s="8" t="s">
        <v>112</v>
      </c>
      <c r="B11" s="8" t="s">
        <v>158</v>
      </c>
      <c r="C11" s="1490" t="s">
        <v>1709</v>
      </c>
    </row>
    <row r="12" spans="1:23">
      <c r="A12" s="8" t="s">
        <v>113</v>
      </c>
      <c r="B12" s="8" t="s">
        <v>159</v>
      </c>
      <c r="C12" s="1490" t="s">
        <v>1710</v>
      </c>
    </row>
    <row r="13" spans="1:23">
      <c r="A13" s="8" t="s">
        <v>114</v>
      </c>
      <c r="B13" s="8" t="s">
        <v>160</v>
      </c>
      <c r="C13" s="1490" t="s">
        <v>1711</v>
      </c>
    </row>
    <row r="14" spans="1:23">
      <c r="A14" s="8" t="s">
        <v>115</v>
      </c>
      <c r="B14" s="8" t="s">
        <v>161</v>
      </c>
      <c r="C14" s="1493" t="s">
        <v>1887</v>
      </c>
    </row>
    <row r="15" spans="1:23">
      <c r="A15" s="8" t="s">
        <v>116</v>
      </c>
      <c r="B15" s="8" t="s">
        <v>1672</v>
      </c>
      <c r="C15" s="1493"/>
    </row>
    <row r="16" spans="1:23">
      <c r="A16" s="8" t="s">
        <v>117</v>
      </c>
      <c r="B16" s="8" t="s">
        <v>1673</v>
      </c>
      <c r="C16" s="1493"/>
    </row>
    <row r="17" spans="1:3">
      <c r="A17" s="8" t="s">
        <v>118</v>
      </c>
      <c r="B17" s="8" t="s">
        <v>1674</v>
      </c>
      <c r="C17" s="1493"/>
    </row>
    <row r="18" spans="1:3">
      <c r="A18" s="8" t="s">
        <v>119</v>
      </c>
      <c r="B18" s="2792" t="s">
        <v>2910</v>
      </c>
      <c r="C18" s="1493"/>
    </row>
    <row r="19" spans="1:3">
      <c r="A19" s="8" t="s">
        <v>120</v>
      </c>
      <c r="B19" s="2792" t="s">
        <v>2917</v>
      </c>
      <c r="C19" s="1493"/>
    </row>
    <row r="20" spans="1:3">
      <c r="A20" s="8" t="s">
        <v>121</v>
      </c>
      <c r="B20" s="2792" t="s">
        <v>2963</v>
      </c>
      <c r="C20" s="1493"/>
    </row>
    <row r="21" spans="1:3">
      <c r="A21" s="8" t="s">
        <v>122</v>
      </c>
      <c r="B21" s="8" t="s">
        <v>1632</v>
      </c>
      <c r="C21" s="1493"/>
    </row>
    <row r="22" spans="1:3">
      <c r="A22" s="8" t="s">
        <v>123</v>
      </c>
      <c r="B22" s="8" t="s">
        <v>1632</v>
      </c>
      <c r="C22" s="1493"/>
    </row>
    <row r="23" spans="1:3">
      <c r="A23" s="8" t="s">
        <v>124</v>
      </c>
      <c r="B23" s="8" t="s">
        <v>1632</v>
      </c>
      <c r="C23" s="1493"/>
    </row>
    <row r="24" spans="1:3">
      <c r="A24" s="8" t="s">
        <v>12</v>
      </c>
      <c r="B24" s="8" t="s">
        <v>1632</v>
      </c>
      <c r="C24" s="1493"/>
    </row>
    <row r="25" spans="1:3">
      <c r="A25" s="8" t="s">
        <v>125</v>
      </c>
      <c r="B25" s="8" t="s">
        <v>1632</v>
      </c>
      <c r="C25" s="1493"/>
    </row>
    <row r="26" spans="1:3">
      <c r="A26" s="8" t="s">
        <v>126</v>
      </c>
      <c r="B26" s="8" t="s">
        <v>1632</v>
      </c>
      <c r="C26" s="1493"/>
    </row>
    <row r="27" spans="1:3">
      <c r="A27" s="8" t="s">
        <v>1632</v>
      </c>
      <c r="B27" s="8" t="s">
        <v>1632</v>
      </c>
      <c r="C27" s="1493"/>
    </row>
    <row r="28" spans="1:3">
      <c r="A28" s="8" t="s">
        <v>1632</v>
      </c>
      <c r="B28" s="8" t="s">
        <v>1632</v>
      </c>
      <c r="C28" s="1493"/>
    </row>
    <row r="29" spans="1:3">
      <c r="A29" s="8" t="s">
        <v>1632</v>
      </c>
      <c r="B29" s="8" t="s">
        <v>1632</v>
      </c>
      <c r="C29" s="1493"/>
    </row>
    <row r="30" spans="1:3">
      <c r="A30" s="8" t="s">
        <v>1632</v>
      </c>
      <c r="B30" s="8" t="s">
        <v>1632</v>
      </c>
      <c r="C30" s="1493"/>
    </row>
    <row r="31" spans="1:3">
      <c r="A31" s="8" t="s">
        <v>1632</v>
      </c>
      <c r="B31" s="8" t="s">
        <v>1632</v>
      </c>
      <c r="C31" s="1493"/>
    </row>
    <row r="32" spans="1:3">
      <c r="A32" s="8" t="s">
        <v>1632</v>
      </c>
      <c r="B32" s="8" t="s">
        <v>1632</v>
      </c>
      <c r="C32" s="1493"/>
    </row>
    <row r="33" spans="1:3">
      <c r="A33" s="8" t="s">
        <v>1632</v>
      </c>
      <c r="B33" s="8" t="s">
        <v>1632</v>
      </c>
      <c r="C33" s="1493"/>
    </row>
    <row r="34" spans="1:3">
      <c r="A34" s="8" t="s">
        <v>1632</v>
      </c>
      <c r="B34" s="8" t="s">
        <v>1632</v>
      </c>
      <c r="C34" s="1493"/>
    </row>
    <row r="35" spans="1:3">
      <c r="A35" s="8" t="s">
        <v>1632</v>
      </c>
      <c r="B35" s="8" t="s">
        <v>1632</v>
      </c>
      <c r="C35" s="1493"/>
    </row>
    <row r="36" spans="1:3">
      <c r="A36" s="8" t="s">
        <v>1632</v>
      </c>
      <c r="B36" s="8" t="s">
        <v>1632</v>
      </c>
      <c r="C36" s="1493"/>
    </row>
    <row r="37" spans="1:3">
      <c r="A37" s="8" t="s">
        <v>1632</v>
      </c>
      <c r="B37" s="8" t="s">
        <v>1632</v>
      </c>
      <c r="C37" s="1493"/>
    </row>
    <row r="38" spans="1:3">
      <c r="A38" s="8" t="s">
        <v>1632</v>
      </c>
      <c r="B38" s="8" t="s">
        <v>1632</v>
      </c>
      <c r="C38" s="1493"/>
    </row>
    <row r="39" spans="1:3">
      <c r="A39" s="8" t="s">
        <v>1632</v>
      </c>
      <c r="B39" s="8" t="s">
        <v>1632</v>
      </c>
      <c r="C39" s="1493"/>
    </row>
    <row r="40" spans="1:3">
      <c r="A40" s="8" t="s">
        <v>1632</v>
      </c>
      <c r="B40" s="8" t="s">
        <v>1632</v>
      </c>
      <c r="C40" s="1493"/>
    </row>
    <row r="41" spans="1:3">
      <c r="A41" s="8" t="s">
        <v>1632</v>
      </c>
      <c r="B41" s="8" t="s">
        <v>1632</v>
      </c>
      <c r="C41" s="1493"/>
    </row>
    <row r="42" spans="1:3">
      <c r="A42" s="8" t="s">
        <v>1632</v>
      </c>
      <c r="B42" s="8" t="s">
        <v>1632</v>
      </c>
      <c r="C42" s="1493"/>
    </row>
    <row r="43" spans="1:3">
      <c r="A43" s="8" t="s">
        <v>1632</v>
      </c>
      <c r="B43" s="8" t="s">
        <v>1632</v>
      </c>
      <c r="C43" s="1493"/>
    </row>
    <row r="44" spans="1:3">
      <c r="A44" s="8" t="s">
        <v>1632</v>
      </c>
      <c r="B44" s="8" t="s">
        <v>1632</v>
      </c>
      <c r="C44" s="1493"/>
    </row>
    <row r="45" spans="1:3">
      <c r="A45" s="8" t="s">
        <v>1632</v>
      </c>
      <c r="B45" s="8" t="s">
        <v>1632</v>
      </c>
      <c r="C45" s="1493"/>
    </row>
    <row r="46" spans="1:3">
      <c r="A46" s="8" t="s">
        <v>1632</v>
      </c>
      <c r="B46" s="8" t="s">
        <v>1632</v>
      </c>
      <c r="C46" s="1493"/>
    </row>
    <row r="47" spans="1:3">
      <c r="A47" s="8" t="s">
        <v>1632</v>
      </c>
      <c r="B47" s="8" t="s">
        <v>1632</v>
      </c>
      <c r="C47" s="1493"/>
    </row>
    <row r="48" spans="1:3">
      <c r="A48" s="8" t="s">
        <v>1632</v>
      </c>
      <c r="B48" s="8" t="s">
        <v>1632</v>
      </c>
      <c r="C48" s="1493"/>
    </row>
    <row r="49" spans="1:5">
      <c r="A49" s="8" t="s">
        <v>1632</v>
      </c>
      <c r="B49" s="8" t="s">
        <v>1632</v>
      </c>
      <c r="C49" s="1493"/>
    </row>
    <row r="50" spans="1:5">
      <c r="A50" s="8" t="s">
        <v>1632</v>
      </c>
      <c r="B50" s="8" t="s">
        <v>1632</v>
      </c>
      <c r="C50" s="1493"/>
    </row>
    <row r="51" spans="1:5">
      <c r="A51" s="1684" t="s">
        <v>1931</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1975</v>
      </c>
      <c r="B52" s="1687" t="s">
        <v>1976</v>
      </c>
      <c r="C52" s="1685" t="s">
        <v>1977</v>
      </c>
      <c r="D52" s="1685" t="s">
        <v>1978</v>
      </c>
      <c r="E52" s="1686"/>
    </row>
    <row r="53" spans="1:5">
      <c r="A53" s="3328" t="s">
        <v>1979</v>
      </c>
      <c r="B53" s="1685" t="s">
        <v>1985</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13日，在规划利用条件下、设定土地开发程度为红线外“七通”、宗地内场地，设定用途为，剩余土地使用年限为的出让国有建设用地使用权价格。</v>
      </c>
      <c r="D53" s="1686"/>
      <c r="E53" s="1686"/>
    </row>
    <row r="54" spans="1:5">
      <c r="A54" s="3328"/>
      <c r="B54" s="1685" t="s">
        <v>1986</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28"/>
      <c r="B55" s="1685" t="s">
        <v>1980</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28"/>
      <c r="B56" s="1685" t="s">
        <v>1981</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28"/>
      <c r="B57" s="1685" t="s">
        <v>1982</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c r="A58" s="1688" t="s">
        <v>2038</v>
      </c>
      <c r="B58" s="1685"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152</vt:i4>
      </vt:variant>
    </vt:vector>
  </HeadingPairs>
  <TitlesOfParts>
    <vt:vector size="19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2021-05-16T07:32:20Z</dcterms:modified>
</cp:coreProperties>
</file>