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430" windowHeight="119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<sst xmlns="http://schemas.openxmlformats.org/spreadsheetml/2006/main" count="9487" uniqueCount="3200">
  <si>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</si>
  <si>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</si>
  <si>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</si>
  <si>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</si>
  <si>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</si>
  <si>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</si>
  <si>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</si>
  <si>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</si>
  <si>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</si>
  <si>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</si>
  <si>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</si>
  <si>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</si>
  <si>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</si>
  <si>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</si>
  <si>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</si>
  <si>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</si>
  <si>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</si>
  <si>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</si>
  <si>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</si>
  <si>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</si>
  <si>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</si>
  <si>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</si>
  <si>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</si>
  <si>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</si>
  <si>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</si>
  <si>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</si>
  <si>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</si>
  <si>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</si>
  <si>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</si>
  <si>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</si>
  <si>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</si>
  <si>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</si>
  <si>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</si>
  <si>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</si>
  <si>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</si>
  <si>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</si>
  <si>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</si>
  <si>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</si>
  <si>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</si>
  <si>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</si>
  <si>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</si>
  <si>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</si>
  <si>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</si>
  <si>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</si>
  <si>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</si>
  <si>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</si>
  <si>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</si>
  <si>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</si>
  <si>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</si>
  <si>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</si>
  <si>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</si>
  <si>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</si>
  <si>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</si>
  <si>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</si>
  <si>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</si>
  <si>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</si>
  <si>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</si>
  <si>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</si>
  <si>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</si>
  <si>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</si>
  <si>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</si>
  <si>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</si>
  <si>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</si>
  <si>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</si>
  <si>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</si>
  <si>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</si>
  <si>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</si>
  <si>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</si>
  <si>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</si>
  <si>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</si>
  <si>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</si>
  <si>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</si>
  <si>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</si>
  <si>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</si>
  <si>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</si>
  <si>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</si>
  <si>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</si>
  <si>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</si>
  <si>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</si>
  <si>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</si>
  <si>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</si>
  <si>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</si>
  <si>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</si>
  <si>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</si>
  <si>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</si>
  <si>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</si>
  <si>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</si>
  <si>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</si>
  <si>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</si>
  <si>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</si>
  <si>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</si>
  <si>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</si>
  <si>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</si>
  <si>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</si>
  <si>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</si>
  <si>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</si>
  <si>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</si>
  <si>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</si>
  <si>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</si>
  <si>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</si>
  <si>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</si>
  <si>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</si>
  <si>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</si>
  <si>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</si>
  <si>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</si>
  <si>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</si>
  <si>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</si>
  <si>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</si>
  <si>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</si>
  <si>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</si>
  <si>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</si>
  <si>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</si>
  <si>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</si>
  <si>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</si>
  <si>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</si>
  <si>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</si>
  <si>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</si>
  <si>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</si>
  <si>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</si>
  <si>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</si>
  <si>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</si>
  <si>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</si>
  <si>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</si>
  <si>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</si>
  <si>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</si>
  <si>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</si>
  <si>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</si>
  <si>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</si>
  <si>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</si>
  <si>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</si>
  <si>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</si>
  <si>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</si>
  <si>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</si>
  <si>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</si>
  <si>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</si>
  <si>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</si>
  <si>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</si>
  <si>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</si>
  <si>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</si>
  <si>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</si>
  <si>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</si>
  <si>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</si>
  <si>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</si>
  <si>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</si>
  <si>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</si>
  <si>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</si>
  <si>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</si>
  <si>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</si>
  <si>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</si>
  <si>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</si>
  <si>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</si>
  <si>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</si>
  <si>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</si>
  <si>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</si>
  <si>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</si>
  <si>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</si>
  <si>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</si>
  <si>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</si>
  <si>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</si>
  <si>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</si>
  <si>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</si>
  <si>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</si>
  <si>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</si>
  <si>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</si>
  <si>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</si>
  <si>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</si>
  <si>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</si>
  <si>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</si>
  <si>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</si>
  <si>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</si>
  <si>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</si>
  <si>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</si>
  <si>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</si>
  <si>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</si>
  <si>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</si>
  <si>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</si>
  <si>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</si>
  <si>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</si>
  <si>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</si>
  <si>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</si>
  <si>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</si>
  <si>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</si>
  <si>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</si>
  <si>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</si>
  <si>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</si>
  <si>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</si>
  <si>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</si>
  <si>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</si>
  <si>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</si>
  <si>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</si>
  <si>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</si>
  <si>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</si>
  <si>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</si>
  <si>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</si>
  <si>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</si>
  <si>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</si>
  <si>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</si>
  <si>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</si>
  <si>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</si>
  <si>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</si>
  <si>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</si>
  <si>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</si>
  <si>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</si>
  <si>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</si>
  <si>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</si>
  <si>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</si>
  <si>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</si>
  <si>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</si>
  <si>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</si>
  <si>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</si>
  <si>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</si>
  <si>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</si>
  <si>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</si>
  <si>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</si>
  <si>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</si>
  <si>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</si>
  <si>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</si>
  <si>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</si>
  <si>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</si>
  <si>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</si>
  <si>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</si>
  <si>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</si>
  <si>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</si>
  <si>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</si>
  <si>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</si>
  <si>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</si>
  <si>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</si>
  <si>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</si>
  <si>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</si>
  <si>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</si>
  <si>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</si>
  <si>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</si>
  <si>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</si>
  <si>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</si>
  <si>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</si>
  <si>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</si>
  <si>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</si>
  <si>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</si>
  <si>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</si>
  <si>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</si>
  <si>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</si>
  <si>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</si>
  <si>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</si>
  <si>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</si>
  <si>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</si>
  <si>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</si>
  <si>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</si>
  <si>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</si>
  <si>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</si>
  <si>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</si>
  <si>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</si>
  <si>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</si>
  <si>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</si>
  <si>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</si>
  <si>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</si>
  <si>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</si>
  <si>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</si>
  <si>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</si>
  <si>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</si>
  <si>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</si>
  <si>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</si>
  <si>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</si>
  <si>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</si>
  <si>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</si>
  <si>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</si>
  <si>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</si>
  <si>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</si>
  <si>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</si>
  <si>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</si>
  <si>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</si>
  <si>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</si>
  <si>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</si>
  <si>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</si>
  <si>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</si>
  <si>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</si>
  <si>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</si>
  <si>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</si>
  <si>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</si>
  <si>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</si>
  <si>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</si>
  <si>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</si>
  <si>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</si>
  <si>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</si>
  <si>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</si>
  <si>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</si>
  <si>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</si>
  <si>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</si>
  <si>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</si>
  <si>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</si>
  <si>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</si>
  <si>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</si>
  <si>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</si>
  <si>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</si>
  <si>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</si>
  <si>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</si>
  <si>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</si>
  <si>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</si>
  <si>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</si>
  <si>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</si>
  <si>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</si>
  <si>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</si>
  <si>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</si>
  <si>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</si>
  <si>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</si>
  <si>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</si>
  <si>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</si>
  <si>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</si>
  <si>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</si>
  <si>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</si>
  <si>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</si>
  <si>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</si>
  <si>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</si>
  <si>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</si>
  <si>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</si>
  <si>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</si>
  <si>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</si>
  <si>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</si>
  <si>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</si>
  <si>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</si>
  <si>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</si>
  <si>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</si>
  <si>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</si>
  <si>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</si>
  <si>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</si>
  <si>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</si>
  <si>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</si>
  <si>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</si>
  <si>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</si>
  <si>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</si>
  <si>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</si>
  <si>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</si>
  <si>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</si>
  <si>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</si>
  <si>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</si>
  <si>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</si>
  <si>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</si>
  <si>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</si>
  <si>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</si>
  <si>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</si>
  <si>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</si>
  <si>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</si>
  <si>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</si>
  <si>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</si>
  <si>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</si>
  <si>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</si>
  <si>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</si>
  <si>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</si>
  <si>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</si>
  <si>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</si>
  <si>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</si>
  <si>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</si>
  <si>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</si>
  <si>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</si>
  <si>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</si>
  <si>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</si>
  <si>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</si>
  <si>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</si>
  <si>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</si>
  <si>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</si>
  <si>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</si>
  <si>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</si>
  <si>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</si>
  <si>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</si>
  <si>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</si>
  <si>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</si>
  <si>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</si>
  <si>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</si>
  <si>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</si>
  <si>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</si>
  <si>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</si>
  <si>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</si>
  <si>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</si>
  <si>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</si>
  <si>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</si>
  <si>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</si>
  <si>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</si>
  <si>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</si>
  <si>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</si>
  <si>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</si>
  <si>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</si>
  <si>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</si>
  <si>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</si>
  <si>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</si>
  <si>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</si>
  <si>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</si>
  <si>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</si>
  <si>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</si>
  <si>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</si>
  <si>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</si>
  <si>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</si>
  <si>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</si>
  <si>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</si>
  <si>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</si>
  <si>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</si>
  <si>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</si>
  <si>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</si>
  <si>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</si>
  <si>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</si>
  <si>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</si>
  <si>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</si>
  <si>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</si>
  <si>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</si>
  <si>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</si>
  <si>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</si>
  <si>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</si>
  <si>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</si>
  <si>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</si>
  <si>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</si>
  <si>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</si>
  <si>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</si>
  <si>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</si>
  <si>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</si>
  <si>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</si>
  <si>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</si>
  <si>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</si>
  <si>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</si>
  <si>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</si>
  <si>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</si>
  <si>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</si>
  <si>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</si>
  <si>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</si>
  <si>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</si>
  <si>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</si>
  <si>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</si>
  <si>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</si>
  <si>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</si>
  <si>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</si>
  <si>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</si>
  <si>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</si>
  <si>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</si>
  <si>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</si>
  <si>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</si>
  <si>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</si>
  <si>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</si>
  <si>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</si>
  <si>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</si>
  <si>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</si>
  <si>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</si>
  <si>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</si>
  <si>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</si>
  <si>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</si>
  <si>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</si>
  <si>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</si>
  <si>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</si>
  <si>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</si>
  <si>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</si>
  <si>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</si>
  <si>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</si>
  <si>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</si>
  <si>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</si>
  <si>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</si>
  <si>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</si>
  <si>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</si>
  <si>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</si>
  <si>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</si>
  <si>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</si>
  <si>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</si>
  <si>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</si>
  <si>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</si>
  <si>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</si>
  <si>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</si>
  <si>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</si>
  <si>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</si>
  <si>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</si>
  <si>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</si>
  <si>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</si>
  <si>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</si>
  <si>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</si>
  <si>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</si>
  <si>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</si>
  <si>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</si>
  <si>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</si>
  <si>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</si>
  <si>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</si>
  <si>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</si>
  <si>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</si>
  <si>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</si>
  <si>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</si>
  <si>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</si>
  <si>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</si>
  <si>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</si>
  <si>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</si>
  <si>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</si>
  <si>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</si>
  <si>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</si>
  <si>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</si>
  <si>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</si>
  <si>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</si>
  <si>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</si>
  <si>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</si>
  <si>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</si>
  <si>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</si>
  <si>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</si>
  <si>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</si>
  <si>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</si>
  <si>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</si>
  <si>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</si>
  <si>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</si>
  <si>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</si>
  <si>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</si>
  <si>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</si>
  <si>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</si>
  <si>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</si>
  <si>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</si>
  <si>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</si>
  <si>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</si>
  <si>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</si>
  <si>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</si>
  <si>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</si>
  <si>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</si>
  <si>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</si>
  <si>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</si>
  <si>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</si>
  <si>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</si>
  <si>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</si>
  <si>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</si>
  <si>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</si>
  <si>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</si>
  <si>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</si>
  <si>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</si>
  <si>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</si>
  <si>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</si>
  <si>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</si>
  <si>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</si>
  <si>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</si>
  <si>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</si>
  <si>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</si>
  <si>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</si>
  <si>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</si>
  <si>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</si>
  <si>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</si>
  <si>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</si>
  <si>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</si>
  <si>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</si>
  <si>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</si>
  <si>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</si>
  <si>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</si>
  <si>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</si>
  <si>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</si>
  <si>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</si>
  <si>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</si>
  <si>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</si>
  <si>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</si>
  <si>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</si>
  <si>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</si>
  <si>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</si>
  <si>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</si>
  <si>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</si>
  <si>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</si>
  <si>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</si>
  <si>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</si>
  <si>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</si>
  <si>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</si>
  <si>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</si>
  <si>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</si>
  <si>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</si>
  <si>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</si>
  <si>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</si>
  <si>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</si>
  <si>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</si>
  <si>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</si>
  <si>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</si>
  <si>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</si>
  <si>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</si>
  <si>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</si>
  <si>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</si>
  <si>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</si>
  <si>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</si>
  <si>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</si>
  <si>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</si>
  <si>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</si>
  <si>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</si>
  <si>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</si>
  <si>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</si>
  <si>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</si>
  <si>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</si>
  <si>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</si>
  <si>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</si>
  <si>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</si>
  <si>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</si>
  <si>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</si>
  <si>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</si>
  <si>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</si>
  <si>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</si>
  <si>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</si>
  <si>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</si>
  <si>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</si>
  <si>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</si>
  <si>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</si>
  <si>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</si>
  <si>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</si>
  <si>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</si>
  <si>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</si>
  <si>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</si>
  <si>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</si>
  <si>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</si>
  <si>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</si>
  <si>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</si>
  <si>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</si>
  <si>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</si>
  <si>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</si>
  <si>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</si>
  <si>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</si>
  <si>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</si>
  <si>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</si>
  <si>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</si>
  <si>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</si>
  <si>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</si>
  <si>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</si>
  <si>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</si>
  <si>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</si>
  <si>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</si>
  <si>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</si>
  <si>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</si>
  <si>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</si>
  <si>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</si>
  <si>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</si>
  <si>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</si>
  <si>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</si>
  <si>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</si>
  <si>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</si>
  <si>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</si>
  <si>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</si>
  <si>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</si>
  <si>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</si>
  <si>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</si>
  <si>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</si>
  <si>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</si>
  <si>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</si>
  <si>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</si>
  <si>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</si>
  <si>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</si>
  <si>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</si>
  <si>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</si>
  <si>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</si>
  <si>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</si>
  <si>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</si>
  <si>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</si>
  <si>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</si>
  <si>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</si>
  <si>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</si>
  <si>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</si>
  <si>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</si>
  <si>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</si>
  <si>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</si>
  <si>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</si>
  <si>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</si>
  <si>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</si>
  <si>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</si>
  <si>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</si>
  <si>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</si>
  <si>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</si>
  <si>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</si>
  <si>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</si>
  <si>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</si>
  <si>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</si>
  <si>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</si>
  <si>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</si>
  <si>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</si>
  <si>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</si>
  <si>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</si>
  <si>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</si>
  <si>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</si>
  <si>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</si>
  <si>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</si>
  <si>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</si>
  <si>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</si>
  <si>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</si>
  <si>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</si>
  <si>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</si>
  <si>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</si>
  <si>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</si>
  <si>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</si>
  <si>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</si>
  <si>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</si>
  <si>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</si>
  <si>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</si>
  <si>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</si>
  <si>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</si>
  <si>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</si>
  <si>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</si>
  <si>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</si>
  <si>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</si>
  <si>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</si>
  <si>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</si>
  <si>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</si>
  <si>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</si>
  <si>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</si>
  <si>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</si>
  <si>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</si>
  <si>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</si>
  <si>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</si>
  <si>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</si>
  <si>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</si>
  <si>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</si>
  <si>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</si>
  <si>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</si>
  <si>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</si>
  <si>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</si>
  <si>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</si>
  <si>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</si>
  <si>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</si>
  <si>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</si>
  <si>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</si>
  <si>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</si>
  <si>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</si>
  <si>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</si>
  <si>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</si>
  <si>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</si>
  <si>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</si>
  <si>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</si>
  <si>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</si>
  <si>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</si>
  <si>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</si>
  <si>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</si>
  <si>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</si>
  <si>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</si>
  <si>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</si>
  <si>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</si>
  <si>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</si>
  <si>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</si>
  <si>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</si>
  <si>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</si>
  <si>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</si>
  <si>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</si>
  <si>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</si>
  <si>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</si>
  <si>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</si>
  <si>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</si>
  <si>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</si>
  <si>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</si>
  <si>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</si>
  <si>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</si>
  <si>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</si>
  <si>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</si>
  <si>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</si>
  <si>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</si>
  <si>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</si>
  <si>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</si>
  <si>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</si>
  <si>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</si>
  <si>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</si>
  <si>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</si>
  <si>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</si>
  <si>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</si>
  <si>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</si>
  <si>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</si>
  <si>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</si>
  <si>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</si>
  <si>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</si>
  <si>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</si>
  <si>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</si>
  <si>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</si>
  <si>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</si>
  <si>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</si>
  <si>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</si>
  <si>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</si>
  <si>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</si>
  <si>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</si>
  <si>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</si>
  <si>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</si>
  <si>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</si>
  <si>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</si>
  <si>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</si>
  <si>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</si>
  <si>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</si>
  <si>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</si>
  <si>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</si>
  <si>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</si>
  <si>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</si>
  <si>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</si>
  <si>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</si>
  <si>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</si>
  <si>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</si>
  <si>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</si>
  <si>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</si>
  <si>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</si>
  <si>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</si>
  <si>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</si>
  <si>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</si>
  <si>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</si>
  <si>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</si>
  <si>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</si>
  <si>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</si>
  <si>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</si>
  <si>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</si>
  <si>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</si>
  <si>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</si>
  <si>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</si>
  <si>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</si>
  <si>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</si>
  <si>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</si>
  <si>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</si>
  <si>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</si>
  <si>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</si>
  <si>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</si>
  <si>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</si>
  <si>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</si>
  <si>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</si>
  <si>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</si>
  <si>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</si>
  <si>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</si>
  <si>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</si>
  <si>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</si>
  <si>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</si>
  <si>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</si>
  <si>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</si>
  <si>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</si>
  <si>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</si>
  <si>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</si>
  <si>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</si>
  <si>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</si>
  <si>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</si>
  <si>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</si>
  <si>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</si>
  <si>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</si>
  <si>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</si>
  <si>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</si>
  <si>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</si>
  <si>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</si>
  <si>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</si>
  <si>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</si>
  <si>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</si>
  <si>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</si>
  <si>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</si>
  <si>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</si>
  <si>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</si>
  <si>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</si>
  <si>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</si>
  <si>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</si>
  <si>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</si>
  <si>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</si>
  <si>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</si>
  <si>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</si>
  <si>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</si>
  <si>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</si>
  <si>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</si>
  <si>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</si>
  <si>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</si>
  <si>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</si>
  <si>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</si>
  <si>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</si>
  <si>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</si>
  <si>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</si>
  <si>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</si>
  <si>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</si>
  <si>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</si>
  <si>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</si>
  <si>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</si>
  <si>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</si>
  <si>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</si>
  <si>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</si>
  <si>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</si>
  <si>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</si>
  <si>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</si>
  <si>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</si>
  <si>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</si>
  <si>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</si>
  <si>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</si>
  <si>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</si>
  <si>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</si>
  <si>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</si>
  <si>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</si>
  <si>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</si>
  <si>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</si>
  <si>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</si>
  <si>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</si>
  <si>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</si>
  <si>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</si>
  <si>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</si>
  <si>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</si>
  <si>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</si>
  <si>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</si>
  <si>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</si>
  <si>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</si>
  <si>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</si>
  <si>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</si>
  <si>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</si>
  <si>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</si>
  <si>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</si>
  <si>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</si>
  <si>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</si>
  <si>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</si>
  <si>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</si>
  <si>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</si>
  <si>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</si>
  <si>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</si>
  <si>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</si>
  <si>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</si>
  <si>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</si>
  <si>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</si>
  <si>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</si>
  <si>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</si>
  <si>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</si>
  <si>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</si>
  <si>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</si>
  <si>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</si>
  <si>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</si>
  <si>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</si>
  <si>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</si>
  <si>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</si>
  <si>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</si>
  <si>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</si>
  <si>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</si>
  <si>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</si>
  <si>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</si>
  <si>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</si>
  <si>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</si>
  <si>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</si>
  <si>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</si>
  <si>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</si>
  <si>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</si>
  <si>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</si>
  <si>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</si>
  <si>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</si>
  <si>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</si>
  <si>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</si>
  <si>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</si>
  <si>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</si>
  <si>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</si>
  <si>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</si>
  <si>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</si>
  <si>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</si>
  <si>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</si>
  <si>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</si>
  <si>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</si>
  <si>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</si>
  <si>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</si>
  <si>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</si>
  <si>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</si>
  <si>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</si>
  <si>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</si>
  <si>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</si>
  <si>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</si>
  <si>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</si>
  <si>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</si>
  <si>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</si>
  <si>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</si>
  <si>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</si>
  <si>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</si>
  <si>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</si>
  <si>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</si>
  <si>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</si>
  <si>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</si>
  <si>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</si>
  <si>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</si>
  <si>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</si>
  <si>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</si>
  <si>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</si>
  <si>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</si>
  <si>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</si>
  <si>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</si>
  <si>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</si>
  <si>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</si>
  <si>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</si>
  <si>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</si>
  <si>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</si>
  <si>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</si>
  <si>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</si>
  <si>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</si>
  <si>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</si>
  <si>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</si>
  <si>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</si>
  <si>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</si>
  <si>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</si>
  <si>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</si>
  <si>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</si>
  <si>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</si>
  <si>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</si>
  <si>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</si>
  <si>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</si>
  <si>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</si>
  <si>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</si>
  <si>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</si>
  <si>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</si>
  <si>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</si>
  <si>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</si>
  <si>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</si>
  <si>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</si>
  <si>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</si>
  <si>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</si>
  <si>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</si>
  <si>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</si>
  <si>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</si>
  <si>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</si>
  <si>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</si>
  <si>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</si>
  <si>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</si>
  <si>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</si>
  <si>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</si>
  <si>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</si>
  <si>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</si>
  <si>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</si>
  <si>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</si>
  <si>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</si>
  <si>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</si>
  <si>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</si>
  <si>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</si>
  <si>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</si>
  <si>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</si>
  <si>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</si>
  <si>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</si>
  <si>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</si>
  <si>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</si>
  <si>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</si>
  <si>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</si>
  <si>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</si>
  <si>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</si>
  <si>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</si>
  <si>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</si>
  <si>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</si>
  <si>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</si>
  <si>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</si>
  <si>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</si>
  <si>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</si>
  <si>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</si>
  <si>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</si>
  <si>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</si>
  <si>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</si>
  <si>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</si>
  <si>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</si>
  <si>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</si>
  <si>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</si>
  <si>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</si>
  <si>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</si>
  <si>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</si>
  <si>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</si>
  <si>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</si>
  <si>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</si>
  <si>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</si>
  <si>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</si>
  <si>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</si>
  <si>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</si>
  <si>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</si>
  <si>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</si>
  <si>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</si>
  <si>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</si>
  <si>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</si>
  <si>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</si>
  <si>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</si>
  <si>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</si>
  <si>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</si>
  <si>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</si>
  <si>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</si>
  <si>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</si>
  <si>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</si>
  <si>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</si>
  <si>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</si>
  <si>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</si>
  <si>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</si>
  <si>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</si>
  <si>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</si>
  <si>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</si>
  <si>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</si>
  <si>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</si>
  <si>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</si>
  <si>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</si>
  <si>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</si>
  <si>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</si>
  <si>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</si>
  <si>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</si>
  <si>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</si>
  <si>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</si>
  <si>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</si>
  <si>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</si>
  <si>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</si>
  <si>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</si>
  <si>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</si>
  <si>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</si>
  <si>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</si>
  <si>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</si>
  <si>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</si>
  <si>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</si>
  <si>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</si>
  <si>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</si>
  <si>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</si>
  <si>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</si>
  <si>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</si>
  <si>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</si>
  <si>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</si>
  <si>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</si>
  <si>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</si>
  <si>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</si>
  <si>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</si>
  <si>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</si>
  <si>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</si>
  <si>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</si>
  <si>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</si>
  <si>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</si>
  <si>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</si>
  <si>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</si>
  <si>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</si>
  <si>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</si>
  <si>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</si>
  <si>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</si>
  <si>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</si>
  <si>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</si>
  <si>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</si>
  <si>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</si>
  <si>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</si>
  <si>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</si>
  <si>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</si>
  <si>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</si>
  <si>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</si>
  <si>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</si>
  <si>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</si>
  <si>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</si>
  <si>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</si>
  <si>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</si>
  <si>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</si>
  <si>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</si>
  <si>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</si>
  <si>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</si>
  <si>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</si>
  <si>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</si>
  <si>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</si>
  <si>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</si>
  <si>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</si>
  <si>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</si>
  <si>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</si>
  <si>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</si>
  <si>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</si>
  <si>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</si>
  <si>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</si>
  <si>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</si>
  <si>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</si>
  <si>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</si>
  <si>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</si>
  <si>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</si>
  <si>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</si>
  <si>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</si>
  <si>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</si>
  <si>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</si>
  <si>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</si>
  <si>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</si>
  <si>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</si>
  <si>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</si>
  <si>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</si>
  <si>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</si>
  <si>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</si>
  <si>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</si>
  <si>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</si>
  <si>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</si>
  <si>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</si>
  <si>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</si>
  <si>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</si>
  <si>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</si>
  <si>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</si>
  <si>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</si>
  <si>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</si>
  <si>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</si>
  <si>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</si>
  <si>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</si>
  <si>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</si>
  <si>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</si>
  <si>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</si>
  <si>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</si>
  <si>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</si>
  <si>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</si>
  <si>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</si>
  <si>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</si>
  <si>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</si>
  <si>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</si>
  <si>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</si>
  <si>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</si>
  <si>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</si>
  <si>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</si>
  <si>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</si>
  <si>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</si>
  <si>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</si>
  <si>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</si>
  <si>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</si>
  <si>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</si>
  <si>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</si>
  <si>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</si>
  <si>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</si>
  <si>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</si>
  <si>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</si>
  <si>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</si>
  <si>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</si>
  <si>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</si>
  <si>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</si>
  <si>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</si>
  <si>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</si>
  <si>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</si>
  <si>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</si>
  <si>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</si>
  <si>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</si>
  <si>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</si>
  <si>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</si>
  <si>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</si>
  <si>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</si>
  <si>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</si>
  <si>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</si>
  <si>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</si>
  <si>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</si>
  <si>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</si>
  <si>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</si>
  <si>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</si>
  <si>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</si>
  <si>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</si>
  <si>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</si>
  <si>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</si>
  <si>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</si>
  <si>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</si>
  <si>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</si>
  <si>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</si>
  <si>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</si>
  <si>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</si>
  <si>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</si>
  <si>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</si>
  <si>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</si>
  <si>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</si>
  <si>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</si>
  <si>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</si>
  <si>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</si>
  <si>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</si>
  <si>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</si>
  <si>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</si>
  <si>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</si>
  <si>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</si>
  <si>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</si>
  <si>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</si>
  <si>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</si>
  <si>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</si>
  <si>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</si>
  <si>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</si>
  <si>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</si>
  <si>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</si>
  <si>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</si>
  <si>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</si>
  <si>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</si>
  <si>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</si>
  <si>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</si>
  <si>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</si>
  <si>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</si>
  <si>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</si>
  <si>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</si>
  <si>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</si>
  <si>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</si>
  <si>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</si>
  <si>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</si>
  <si>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</si>
  <si>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</si>
  <si>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</si>
  <si>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</si>
  <si>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</si>
  <si>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</si>
  <si>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</si>
  <si>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</si>
  <si>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</si>
  <si>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</si>
  <si>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</si>
  <si>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</si>
  <si>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</si>
  <si>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</si>
  <si>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</si>
  <si>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</si>
  <si>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</si>
  <si>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</si>
  <si>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</si>
  <si>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</si>
  <si>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</si>
  <si>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</si>
  <si>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</si>
  <si>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</si>
  <si>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</si>
  <si>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</si>
  <si>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</si>
  <si>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</si>
  <si>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</si>
  <si>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</si>
  <si>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</si>
  <si>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</si>
  <si>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</si>
  <si>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</si>
  <si>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</si>
  <si>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</si>
  <si>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</si>
  <si>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</si>
  <si>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</si>
  <si>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</si>
  <si>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</si>
  <si>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</si>
  <si>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</si>
  <si>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</si>
  <si>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</si>
  <si>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</si>
  <si>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</si>
  <si>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</si>
  <si>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</si>
  <si>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</si>
  <si>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</si>
  <si>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</si>
  <si>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</si>
  <si>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</si>
  <si>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</si>
  <si>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</si>
  <si>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</si>
  <si>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</si>
  <si>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</si>
  <si>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</si>
  <si>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</si>
  <si>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</si>
  <si>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</si>
  <si>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</si>
  <si>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</si>
  <si>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</si>
  <si>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</si>
  <si>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</si>
  <si>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</si>
  <si>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</si>
  <si>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</si>
  <si>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</si>
  <si>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</si>
  <si>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</si>
  <si>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</si>
  <si>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</si>
  <si>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</si>
  <si>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</si>
  <si>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</si>
  <si>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</si>
  <si>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</si>
  <si>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</si>
  <si>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</si>
  <si>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</si>
  <si>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</si>
  <si>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</si>
  <si>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</si>
  <si>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</si>
  <si>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</si>
  <si>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</si>
  <si>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</si>
  <si>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</si>
  <si>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</si>
  <si>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</si>
  <si>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</si>
  <si>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</si>
  <si>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</si>
  <si>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</si>
  <si>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</si>
  <si>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</si>
  <si>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</si>
  <si>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</si>
  <si>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</si>
  <si>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</si>
  <si>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</si>
  <si>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</si>
  <si>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</si>
  <si>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</si>
  <si>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</si>
  <si>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</si>
  <si>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</si>
  <si>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</si>
  <si>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</si>
  <si>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</si>
  <si>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</si>
  <si>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</si>
  <si>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</si>
  <si>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</si>
  <si>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</si>
  <si>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</si>
  <si>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</si>
  <si>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</si>
  <si>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</si>
  <si>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</si>
  <si>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</si>
  <si>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</si>
  <si>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</si>
  <si>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</si>
  <si>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</si>
  <si>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</si>
  <si>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</si>
  <si>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</si>
  <si>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</si>
  <si>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</si>
  <si>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</si>
  <si>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</si>
  <si>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</si>
  <si>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</si>
  <si>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</si>
  <si>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</si>
  <si>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</si>
  <si>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</si>
  <si>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</si>
  <si>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</si>
  <si>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</si>
  <si>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</si>
  <si>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</si>
  <si>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</si>
  <si>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</si>
  <si>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</si>
  <si>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</si>
  <si>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</si>
  <si>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</si>
  <si>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</si>
  <si>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</si>
  <si>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</si>
  <si>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</si>
  <si>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</si>
  <si>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</si>
  <si>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</si>
  <si>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</si>
  <si>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</si>
  <si>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</si>
  <si>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</si>
  <si>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</si>
  <si>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</si>
  <si>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</si>
  <si>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</si>
  <si>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</si>
  <si>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</si>
  <si>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</si>
  <si>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</si>
  <si>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</si>
  <si>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</si>
  <si>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</si>
  <si>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</si>
  <si>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</si>
  <si>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</si>
  <si>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</si>
  <si>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</si>
  <si>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</si>
  <si>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</si>
  <si>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</si>
  <si>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</si>
  <si>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</si>
  <si>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</si>
  <si>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</si>
  <si>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</si>
  <si>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</si>
  <si>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</si>
  <si>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</si>
  <si>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</si>
  <si>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</si>
  <si>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</si>
  <si>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</si>
  <si>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</si>
  <si>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</si>
  <si>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</si>
  <si>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</si>
  <si>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</si>
  <si>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</si>
  <si>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</si>
  <si>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</si>
  <si>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</si>
  <si>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</si>
  <si>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</si>
  <si>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</si>
  <si>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</si>
  <si>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</si>
  <si>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</si>
  <si>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</si>
  <si>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</si>
  <si>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</si>
  <si>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</si>
  <si>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</si>
  <si>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</si>
  <si>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</si>
  <si>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</si>
  <si>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</si>
  <si>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</si>
  <si>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</si>
  <si>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</si>
  <si>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</si>
  <si>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</si>
  <si>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</si>
  <si>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</si>
  <si>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</si>
  <si>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</si>
  <si>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</si>
  <si>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</si>
  <si>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</si>
  <si>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</si>
  <si>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</si>
  <si>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</si>
  <si>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</si>
  <si>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</si>
  <si>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</si>
  <si>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</si>
  <si>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</si>
  <si>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</si>
  <si>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</si>
  <si>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</si>
  <si>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</si>
  <si>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</si>
  <si>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</si>
  <si>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</si>
  <si>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</si>
  <si>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</si>
  <si>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</si>
  <si>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</si>
  <si>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</si>
  <si>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</si>
  <si>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</si>
  <si>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</si>
  <si>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</si>
  <si>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</si>
  <si>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</si>
  <si>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</si>
  <si>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</si>
  <si>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</si>
  <si>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</si>
  <si>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</si>
  <si>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</si>
  <si>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</si>
  <si>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</si>
  <si>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</si>
  <si>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</si>
  <si>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</si>
  <si>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</si>
  <si>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</si>
  <si>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</si>
  <si>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</si>
  <si>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</si>
  <si>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</si>
  <si>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</si>
  <si>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</si>
  <si>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</si>
  <si>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</si>
  <si>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</si>
  <si>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保利中央公园</t>
  </si>
  <si>
    <t>万科时代中心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</si>
  <si>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</si>
  <si>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</si>
  <si>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</si>
  <si>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</si>
  <si>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</si>
  <si>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</si>
  <si>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</si>
  <si>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</si>
  <si>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</si>
  <si>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</si>
  <si>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</si>
  <si>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</si>
  <si>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</si>
  <si>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</si>
  <si>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</si>
  <si>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</si>
  <si>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</si>
  <si>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</si>
  <si>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</si>
  <si>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</si>
  <si>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</si>
  <si>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</si>
  <si>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</si>
  <si>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</si>
  <si>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</si>
  <si>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</si>
  <si>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</si>
  <si>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</si>
  <si>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</si>
  <si>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</si>
  <si>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</si>
  <si>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</si>
  <si>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</si>
  <si>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1小2大</t>
  </si>
  <si>
    <t>楼层表外修正</t>
  </si>
  <si>
    <r>
      <rPr>
        <b/>
        <sz val="11"/>
        <rFont val="宋体"/>
        <charset val="134"/>
      </rPr>
      <t>实物状况</t>
    </r>
  </si>
  <si>
    <r>
      <rPr>
        <sz val="11"/>
        <color indexed="8"/>
        <rFont val="宋体"/>
        <charset val="134"/>
      </rPr>
      <t>商业类型</t>
    </r>
  </si>
  <si>
    <t>住宅配套商业</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</si>
  <si>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</si>
  <si>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</si>
  <si>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</si>
  <si>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</si>
  <si>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</si>
  <si>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</si>
  <si>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</si>
  <si>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</si>
  <si>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</si>
  <si>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</si>
  <si>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</si>
  <si>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</si>
  <si>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</si>
  <si>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</si>
  <si>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</si>
  <si>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</si>
  <si>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</si>
  <si>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t>简装</t>
  </si>
  <si>
    <t>精装</t>
  </si>
  <si>
    <r>
      <rPr>
        <sz val="11"/>
        <rFont val="Arial"/>
        <charset val="134"/>
      </rPr>
      <t>1</t>
    </r>
    <r>
      <rPr>
        <sz val="11"/>
        <rFont val="宋体"/>
        <charset val="134"/>
      </rPr>
      <t>至</t>
    </r>
    <r>
      <rPr>
        <sz val="11"/>
        <rFont val="Arial"/>
        <charset val="134"/>
      </rPr>
      <t>2</t>
    </r>
  </si>
  <si>
    <r>
      <rPr>
        <sz val="11"/>
        <color indexed="8"/>
        <rFont val="宋体"/>
        <charset val="134"/>
      </rPr>
      <t>内部装修维护情况</t>
    </r>
  </si>
  <si>
    <r>
      <rPr>
        <sz val="11"/>
        <rFont val="Arial"/>
        <charset val="134"/>
      </rPr>
      <t>1</t>
    </r>
    <r>
      <rPr>
        <sz val="11"/>
        <rFont val="宋体"/>
        <charset val="134"/>
      </rPr>
      <t>小</t>
    </r>
    <r>
      <rPr>
        <sz val="11"/>
        <rFont val="Arial"/>
        <charset val="134"/>
      </rPr>
      <t>2</t>
    </r>
    <r>
      <rPr>
        <sz val="11"/>
        <rFont val="宋体"/>
        <charset val="134"/>
      </rPr>
      <t>大</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</si>
  <si>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</si>
  <si>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</si>
  <si>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</si>
  <si>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</si>
  <si>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</si>
  <si>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</si>
  <si>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</si>
  <si>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</si>
  <si>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</si>
  <si>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</si>
  <si>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</si>
  <si>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</si>
  <si>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30-35</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</si>
  <si>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</si>
  <si>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</si>
  <si>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</si>
  <si>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</si>
  <si>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</si>
  <si>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</si>
  <si>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</si>
  <si>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</si>
  <si>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</si>
  <si>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</si>
  <si>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</si>
  <si>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</si>
  <si>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</si>
  <si>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较小</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</si>
  <si>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</si>
  <si>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1</t>
    </r>
    <r>
      <rPr>
        <sz val="11"/>
        <color rgb="FF000000"/>
        <rFont val="宋体"/>
        <charset val="134"/>
      </rPr>
      <t>至</t>
    </r>
    <r>
      <rPr>
        <sz val="11"/>
        <color rgb="FF000000"/>
        <rFont val="Arial"/>
        <charset val="134"/>
      </rPr>
      <t>2</t>
    </r>
  </si>
  <si>
    <r>
      <rPr>
        <sz val="11"/>
        <color rgb="FF000000"/>
        <rFont val="Arial"/>
        <charset val="134"/>
      </rPr>
      <t>1</t>
    </r>
    <r>
      <rPr>
        <sz val="11"/>
        <color rgb="FF000000"/>
        <rFont val="宋体"/>
        <charset val="134"/>
      </rPr>
      <t>层</t>
    </r>
  </si>
  <si>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</si>
  <si>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</si>
  <si>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</si>
  <si>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</si>
  <si>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</si>
  <si>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</si>
  <si>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</si>
  <si>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</si>
  <si>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</si>
  <si>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</si>
  <si>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</si>
  <si>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</si>
  <si>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</si>
  <si>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</si>
  <si>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</si>
  <si>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</si>
  <si>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</si>
  <si>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</si>
  <si>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</si>
  <si>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</si>
  <si>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</si>
  <si>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</si>
  <si>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1至2</t>
  </si>
  <si>
    <t>加权平均</t>
  </si>
  <si>
    <t>拉面</t>
  </si>
  <si>
    <t>瑞幸</t>
  </si>
  <si>
    <t>烟酒</t>
  </si>
  <si>
    <t>1层</t>
  </si>
  <si>
    <t>2层</t>
  </si>
  <si>
    <t>市调信息</t>
  </si>
  <si>
    <t>1.链家</t>
  </si>
  <si>
    <t>保利中央公园正对浦项中心，建筑面积131平方米，报价1050万元，1-3层，1-2为超过层高隔出来的，各层面积一致</t>
  </si>
  <si>
    <t>单价80153</t>
  </si>
  <si>
    <t>售价案例B</t>
  </si>
  <si>
    <t>2.房管家，现场市调</t>
  </si>
  <si>
    <t>保利中央公园正对浦项中心，建筑面积均131平方米，两个铺子，一个租给拉面，一个租给瑞幸，租金一个35000/月，一个32000/月，1-3层，1-2为超过层高隔出来的，各层面积一致</t>
  </si>
  <si>
    <t>租金案例A</t>
  </si>
  <si>
    <t>租金案例B</t>
  </si>
  <si>
    <t>3.估价对象同楼1层烟酒店老板</t>
  </si>
  <si>
    <t>仅1层，超过高层隔出来的1层，面积32平，租金10000元/月</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</si>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</sst>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sz val="11"/>
      <color rgb="FFFF66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b/>
      <vertAlign val="subscript"/>
      <sz val="10"/>
      <color theme="1"/>
      <name val="Arial"/>
      <charset val="134"/>
    </font>
    <font>
      <vertAlign val="superscript"/>
      <sz val="10"/>
      <color theme="1"/>
      <name val="Arial"/>
      <charset val="134"/>
    </font>
    <font>
      <sz val="11"/>
      <color indexed="53"/>
      <name val="宋体"/>
      <charset val="134"/>
    </font>
    <font>
      <i/>
      <sz val="11"/>
      <color theme="3" tint="0.399975585192419"/>
      <name val="宋体"/>
      <charset val="134"/>
    </font>
    <font>
      <sz val="10"/>
      <color rgb="FF000000"/>
      <name val="宋体"/>
      <charset val="134"/>
    </font>
    <font>
      <b/>
      <sz val="18"/>
      <color theme="1"/>
      <name val="宋体"/>
      <charset val="134"/>
    </font>
    <font>
      <sz val="10"/>
      <color theme="9" tint="-0.249977111117893"/>
      <name val="宋体"/>
      <charset val="134"/>
    </font>
    <font>
      <sz val="12"/>
      <color theme="1"/>
      <name val="宋体"/>
      <charset val="134"/>
    </font>
    <font>
      <i/>
      <sz val="11"/>
      <color theme="1"/>
      <name val="宋体"/>
      <charset val="134"/>
    </font>
    <font>
      <sz val="10"/>
      <color theme="4"/>
      <name val="宋体"/>
      <charset val="134"/>
    </font>
    <font>
      <sz val="9"/>
      <color indexed="8"/>
      <name val="仿宋_GB2312"/>
      <charset val="134"/>
    </font>
    <font>
      <b/>
      <sz val="14"/>
      <color rgb="FF000000"/>
      <name val="宋体"/>
      <charset val="134"/>
    </font>
    <font>
      <b/>
      <sz val="11"/>
      <color indexed="10"/>
      <name val="宋体"/>
      <charset val="134"/>
    </font>
    <font>
      <sz val="14"/>
      <color theme="1"/>
      <name val="宋体"/>
      <charset val="134"/>
    </font>
    <font>
      <b/>
      <vertAlign val="subscript"/>
      <sz val="10"/>
      <name val="楷体_GB2312"/>
      <charset val="134"/>
    </font>
    <font>
      <sz val="14"/>
      <color rgb="FF000000"/>
      <name val="宋体"/>
      <charset val="134"/>
    </font>
    <font>
      <i/>
      <sz val="10"/>
      <name val="楷体_GB2312"/>
      <charset val="134"/>
    </font>
    <font>
      <b/>
      <vertAlign val="superscript"/>
      <sz val="8"/>
      <color rgb="FF666666"/>
      <name val="微软雅黑"/>
      <charset val="134"/>
    </font>
    <font>
      <b/>
      <sz val="11"/>
      <color rgb="FF666666"/>
      <name val="微软雅黑"/>
      <charset val="134"/>
    </font>
    <font>
      <sz val="10"/>
      <color rgb="FF707070"/>
      <name val="宋体"/>
      <charset val="134"/>
    </font>
    <font>
      <sz val="9"/>
      <color indexed="8"/>
      <name val="宋体"/>
      <charset val="134"/>
    </font>
    <font>
      <sz val="12"/>
      <color indexed="8"/>
      <name val="宋体"/>
      <charset val="134"/>
    </font>
    <font>
      <sz val="10"/>
      <color indexed="8"/>
      <name val="楷体_GB2312"/>
      <charset val="134"/>
    </font>
    <font>
      <b/>
      <vertAlign val="subscript"/>
      <sz val="10"/>
      <name val="宋体"/>
      <charset val="134"/>
    </font>
    <font>
      <b/>
      <sz val="14"/>
      <color theme="1"/>
      <name val="宋体"/>
      <charset val="134"/>
    </font>
    <font>
      <b/>
      <i/>
      <sz val="14"/>
      <color theme="3" tint="0.399975585192419"/>
      <name val="宋体"/>
      <charset val="134"/>
    </font>
    <font>
      <sz val="8"/>
      <color indexed="8"/>
      <name val="仿宋_GB2312"/>
      <charset val="134"/>
    </font>
    <font>
      <b/>
      <vertAlign val="subscript"/>
      <sz val="11"/>
      <name val="宋体"/>
      <charset val="134"/>
    </font>
    <font>
      <b/>
      <vertAlign val="subscript"/>
      <sz val="11"/>
      <name val="Arial"/>
      <charset val="134"/>
    </font>
    <font>
      <b/>
      <sz val="10"/>
      <color indexed="53"/>
      <name val="宋体"/>
      <charset val="134"/>
    </font>
    <font>
      <b/>
      <sz val="18"/>
      <color indexed="10"/>
      <name val="΢ȭхڬˎ̥"/>
      <charset val="134"/>
    </font>
    <font>
      <b/>
      <vertAlign val="subscript"/>
      <sz val="10"/>
      <name val="Arial"/>
      <charset val="134"/>
    </font>
    <font>
      <b/>
      <vertAlign val="subscript"/>
      <sz val="10"/>
      <color indexed="8"/>
      <name val="宋体"/>
      <charset val="134"/>
    </font>
    <font>
      <b/>
      <sz val="10"/>
      <color indexed="10"/>
      <name val="楷体_GB2312"/>
      <charset val="134"/>
    </font>
    <font>
      <sz val="10"/>
      <color indexed="53"/>
      <name val="宋体"/>
      <charset val="134"/>
    </font>
    <font>
      <b/>
      <vertAlign val="superscript"/>
      <sz val="10"/>
      <color theme="1"/>
      <name val="宋体"/>
      <charset val="134"/>
    </font>
    <font>
      <sz val="10"/>
      <color indexed="10"/>
      <name val="宋体"/>
      <charset val="134"/>
    </font>
    <font>
      <b/>
      <sz val="12"/>
      <color indexed="8"/>
      <name val="仿宋_GB2312"/>
      <charset val="134"/>
    </font>
    <font>
      <sz val="12"/>
      <color theme="9" tint="-0.249977111117893"/>
      <name val="宋体"/>
      <charset val="134"/>
    </font>
    <font>
      <sz val="10"/>
      <color rgb="FF0070C0"/>
      <name val="Arial"/>
      <charset val="134"/>
    </font>
    <font>
      <b/>
      <sz val="16"/>
      <color indexed="10"/>
      <name val="楷体_GB2312"/>
      <charset val="134"/>
    </font>
    <font>
      <sz val="8"/>
      <color indexed="8"/>
      <name val="宋体"/>
      <charset val="134"/>
    </font>
    <font>
      <b/>
      <sz val="11"/>
      <name val="仿宋_GB2312"/>
      <charset val="134"/>
    </font>
    <font>
      <sz val="11"/>
      <color indexed="8"/>
      <name val="仿宋_GB2312"/>
      <charset val="134"/>
    </font>
    <font>
      <sz val="12"/>
      <color rgb="FF000000"/>
      <name val="宋体"/>
      <charset val="134"/>
    </font>
    <font>
      <b/>
      <sz val="11"/>
      <color theme="9" tint="-0.249977111117893"/>
      <name val="Arial"/>
      <charset val="134"/>
    </font>
    <font>
      <b/>
      <sz val="11"/>
      <color theme="9" tint="-0.249977111117893"/>
      <name val="宋体"/>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vertAlign val="subscript"/>
      <sz val="10"/>
      <color indexed="8"/>
      <name val="宋体"/>
      <charset val="134"/>
    </font>
    <font>
      <vertAlign val="superscript"/>
      <sz val="10"/>
      <color indexed="8"/>
      <name val="Arial"/>
      <charset val="134"/>
    </font>
    <font>
      <vertAlign val="superscript"/>
      <sz val="10"/>
      <color theme="1"/>
      <name val="宋体"/>
      <charset val="134"/>
    </font>
    <font>
      <b/>
      <sz val="12"/>
      <color rgb="FF00000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2"/>
      <name val="宋体"/>
      <charset val="134"/>
    </font>
    <font>
      <sz val="14"/>
      <name val="楷体_GB2312"/>
      <charset val="134"/>
    </font>
    <font>
      <sz val="12"/>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9" fontId="0" fillId="0" borderId="0" xfId="0" applyNumberFormat="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73" fillId="0" borderId="6" xfId="0" applyNumberFormat="1" applyFont="1" applyFill="1" applyBorder="1" applyAlignment="1" applyProtection="1">
      <alignment horizontal="left" vertical="center" wrapText="1"/>
      <protection locked="0"/>
    </xf>
    <xf numFmtId="181" fontId="122" fillId="7" borderId="0" xfId="0" applyNumberFormat="1"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554990</xdr:colOff>
      <xdr:row>23</xdr:row>
      <xdr:rowOff>76200</xdr:rowOff>
    </xdr:to>
    <xdr:pic>
      <xdr:nvPicPr>
        <xdr:cNvPr id="2" name="图片 1"/>
        <xdr:cNvPicPr>
          <a:picLocks noChangeAspect="1"/>
        </xdr:cNvPicPr>
      </xdr:nvPicPr>
      <xdr:blipFill>
        <a:blip r:embed="rId1"/>
        <a:stretch>
          <a:fillRect/>
        </a:stretch>
      </xdr:blipFill>
      <xdr:spPr>
        <a:xfrm>
          <a:off x="0" y="0"/>
          <a:ext cx="5908040" cy="4019550"/>
        </a:xfrm>
        <a:prstGeom prst="rect">
          <a:avLst/>
        </a:prstGeom>
      </xdr:spPr>
    </xdr:pic>
    <xdr:clientData/>
  </xdr:twoCellAnchor>
  <xdr:twoCellAnchor editAs="oneCell">
    <xdr:from>
      <xdr:col>18</xdr:col>
      <xdr:colOff>0</xdr:colOff>
      <xdr:row>0</xdr:row>
      <xdr:rowOff>9525</xdr:rowOff>
    </xdr:from>
    <xdr:to>
      <xdr:col>29</xdr:col>
      <xdr:colOff>667385</xdr:colOff>
      <xdr:row>37</xdr:row>
      <xdr:rowOff>127635</xdr:rowOff>
    </xdr:to>
    <xdr:pic>
      <xdr:nvPicPr>
        <xdr:cNvPr id="3" name="图片 2"/>
        <xdr:cNvPicPr>
          <a:picLocks noChangeAspect="1"/>
        </xdr:cNvPicPr>
      </xdr:nvPicPr>
      <xdr:blipFill>
        <a:blip r:embed="rId2"/>
        <a:stretch>
          <a:fillRect/>
        </a:stretch>
      </xdr:blipFill>
      <xdr:spPr>
        <a:xfrm>
          <a:off x="13173075" y="9525"/>
          <a:ext cx="8211185" cy="6461760"/>
        </a:xfrm>
        <a:prstGeom prst="rect">
          <a:avLst/>
        </a:prstGeom>
        <a:noFill/>
        <a:ln w="9525">
          <a:noFill/>
        </a:ln>
      </xdr:spPr>
    </xdr:pic>
    <xdr:clientData/>
  </xdr:twoCellAnchor>
  <xdr:twoCellAnchor editAs="oneCell">
    <xdr:from>
      <xdr:col>18</xdr:col>
      <xdr:colOff>0</xdr:colOff>
      <xdr:row>43</xdr:row>
      <xdr:rowOff>0</xdr:rowOff>
    </xdr:from>
    <xdr:to>
      <xdr:col>29</xdr:col>
      <xdr:colOff>381635</xdr:colOff>
      <xdr:row>77</xdr:row>
      <xdr:rowOff>161925</xdr:rowOff>
    </xdr:to>
    <xdr:pic>
      <xdr:nvPicPr>
        <xdr:cNvPr id="4" name="图片 3"/>
        <xdr:cNvPicPr>
          <a:picLocks noChangeAspect="1"/>
        </xdr:cNvPicPr>
      </xdr:nvPicPr>
      <xdr:blipFill>
        <a:blip r:embed="rId3"/>
        <a:stretch>
          <a:fillRect/>
        </a:stretch>
      </xdr:blipFill>
      <xdr:spPr>
        <a:xfrm>
          <a:off x="13173075" y="7372350"/>
          <a:ext cx="7925435" cy="5991225"/>
        </a:xfrm>
        <a:prstGeom prst="rect">
          <a:avLst/>
        </a:prstGeom>
        <a:noFill/>
        <a:ln w="9525">
          <a:noFill/>
        </a:ln>
      </xdr:spPr>
    </xdr:pic>
    <xdr:clientData/>
  </xdr:twoCellAnchor>
  <xdr:twoCellAnchor editAs="oneCell">
    <xdr:from>
      <xdr:col>0</xdr:col>
      <xdr:colOff>10795</xdr:colOff>
      <xdr:row>45</xdr:row>
      <xdr:rowOff>76200</xdr:rowOff>
    </xdr:from>
    <xdr:to>
      <xdr:col>16</xdr:col>
      <xdr:colOff>572770</xdr:colOff>
      <xdr:row>91</xdr:row>
      <xdr:rowOff>57150</xdr:rowOff>
    </xdr:to>
    <xdr:pic>
      <xdr:nvPicPr>
        <xdr:cNvPr id="5" name="图片 4"/>
        <xdr:cNvPicPr>
          <a:picLocks noChangeAspect="1"/>
        </xdr:cNvPicPr>
      </xdr:nvPicPr>
      <xdr:blipFill>
        <a:blip r:embed="rId4"/>
        <a:stretch>
          <a:fillRect/>
        </a:stretch>
      </xdr:blipFill>
      <xdr:spPr>
        <a:xfrm>
          <a:off x="10795" y="7791450"/>
          <a:ext cx="12087225" cy="786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9" customWidth="1"/>
    <col min="2" max="2" width="81" style="4740" customWidth="1"/>
    <col min="3" max="16384" width="9" style="4741"/>
  </cols>
  <sheetData>
    <row r="1" s="4736" customFormat="1" ht="16.5" spans="1:2">
      <c r="A1" s="4742" t="s">
        <v>0</v>
      </c>
      <c r="B1" s="4743" t="s">
        <v>1</v>
      </c>
    </row>
    <row r="2" s="4737" customFormat="1" ht="1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5" spans="1:2">
      <c r="A5" s="4748" t="s">
        <v>5</v>
      </c>
      <c r="B5" s="4749" t="str">
        <f>'预评函-封皮'!B49</f>
        <v>康正预评字号</v>
      </c>
    </row>
    <row r="6" s="4737" customFormat="1" ht="1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估价对象为北京市房地产，为所有。根据《国有土地使用证》[]，估价对象（分摊）出让国有建设用地使用权面积为0平方米，建筑面积为138.87平方米。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估价对象为北京市房地产,属开发建设的，该项目尚在开发建设中。根据《国有土地使用证》[]，估价对象（分摊）出让国有建设用地使用权面积为0平方米，规划建筑面积为138.87平方米。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2026年1月28日（评估专业人员实地查勘之日）</v>
      </c>
    </row>
    <row r="13" s="4738" customFormat="1" spans="1:2">
      <c r="A13" s="4746" t="s">
        <v>13</v>
      </c>
      <c r="B13" s="4747"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5" spans="1:2">
      <c r="A18" s="4748" t="s">
        <v>18</v>
      </c>
      <c r="B18" s="4749" t="str">
        <f>'预评函-1'!A24</f>
        <v>本次评估采用的主估价方法为比较法和收益法。</v>
      </c>
    </row>
    <row r="19" s="4737" customFormat="1" ht="1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740.2049</v>
      </c>
    </row>
    <row r="21" s="4738" customFormat="1" spans="1:2">
      <c r="A21" s="4746" t="s">
        <v>21</v>
      </c>
      <c r="B21" s="4747">
        <f ca="1">'预评函-2'!D7</f>
        <v>53302</v>
      </c>
    </row>
    <row r="22" s="4738" customFormat="1" spans="1:2">
      <c r="A22" s="4746" t="s">
        <v>22</v>
      </c>
      <c r="B22" s="4747" t="str">
        <f ca="1">'预评函-2'!D6</f>
        <v>柒佰肆拾万贰仟零肆拾玖元整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740.2049</v>
      </c>
    </row>
    <row r="31" s="4738" customFormat="1" spans="1:2">
      <c r="A31" s="4746" t="s">
        <v>31</v>
      </c>
      <c r="B31" s="4747">
        <f ca="1">'预评函-2'!D15</f>
        <v>53302</v>
      </c>
    </row>
    <row r="32" s="4738" customFormat="1" spans="1:2">
      <c r="A32" s="4746" t="s">
        <v>32</v>
      </c>
      <c r="B32" s="4747" t="str">
        <f ca="1">'预评函-2'!D14</f>
        <v>柒佰肆拾万贰仟零肆拾玖元整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北京市房地产</v>
      </c>
    </row>
    <row r="42" s="4738" customFormat="1" spans="1:2">
      <c r="A42" s="4746" t="s">
        <v>42</v>
      </c>
      <c r="B42" s="4747" t="str">
        <f>'预评函-3'!B2</f>
        <v>建筑面积</v>
      </c>
    </row>
    <row r="43" s="4738" customFormat="1" spans="1:2">
      <c r="A43" s="4746" t="s">
        <v>43</v>
      </c>
      <c r="B43" s="4747">
        <f>'预评函-3'!B4</f>
        <v>138.87</v>
      </c>
    </row>
    <row r="44" s="4738" customFormat="1"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f ca="1">'预评函-3'!E4</f>
        <v>53302</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f ca="1">'预评函-3'!G4</f>
        <v>0</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5" spans="1:2">
      <c r="A57" s="4748" t="s">
        <v>57</v>
      </c>
      <c r="B57" s="4749" t="str">
        <f>'预评函-3'!A6</f>
        <v>估价师知悉的法定优先受偿款</v>
      </c>
    </row>
    <row r="58" s="4737" customFormat="1" ht="1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5" spans="1:2">
      <c r="A69" s="4748" t="s">
        <v>69</v>
      </c>
      <c r="B69" s="4749">
        <f>'预评函-4'!C31</f>
        <v>42551</v>
      </c>
    </row>
    <row r="70" ht="15" spans="1:2">
      <c r="A70" s="4750" t="s">
        <v>70</v>
      </c>
      <c r="B70" s="4751">
        <f>'预评函-4'!A4</f>
        <v>0</v>
      </c>
    </row>
    <row r="71" spans="1:2">
      <c r="A71" s="4746" t="s">
        <v>71</v>
      </c>
      <c r="B71" s="4747">
        <f ca="1">'预评函-4'!B4</f>
        <v>0</v>
      </c>
    </row>
    <row r="72" spans="1:2">
      <c r="A72" s="4746" t="s">
        <v>72</v>
      </c>
      <c r="B72" s="4752">
        <f>'预评函-4'!A5</f>
        <v>0</v>
      </c>
    </row>
    <row r="73" s="4736" customFormat="1" ht="15" spans="1:2">
      <c r="A73" s="4748" t="s">
        <v>73</v>
      </c>
      <c r="B73" s="4749">
        <f ca="1">'预评函-4'!B5</f>
        <v>0</v>
      </c>
    </row>
    <row r="74" ht="1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8" customWidth="1"/>
    <col min="2" max="2" width="23.25" style="511" customWidth="1"/>
    <col min="3" max="3" width="13" style="4579" customWidth="1"/>
    <col min="4" max="4" width="5.75" style="4580" customWidth="1"/>
    <col min="5" max="5" width="7.125" style="4580" customWidth="1"/>
    <col min="6" max="6" width="10.625" style="4580" customWidth="1"/>
    <col min="7" max="7" width="7.5" style="4580" customWidth="1"/>
    <col min="8" max="8" width="11.875" style="4579" customWidth="1"/>
    <col min="9" max="9" width="11.625" style="4579" customWidth="1"/>
    <col min="10" max="10" width="9" style="4579" customWidth="1"/>
    <col min="11" max="19" width="9" style="4580" customWidth="1"/>
    <col min="20" max="23" width="9" style="4579" customWidth="1"/>
    <col min="24" max="28" width="15.125" style="4579" customWidth="1"/>
    <col min="29" max="16384" width="9" style="511"/>
  </cols>
  <sheetData>
    <row r="1" s="4577" customFormat="1" ht="40.5"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T26" sqref="T26"/>
    </sheetView>
  </sheetViews>
  <sheetFormatPr defaultColWidth="15.25" defaultRowHeight="13.5"/>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46050</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0.89</v>
      </c>
      <c r="D5" s="4442">
        <f>IF(ISERROR(ROUND(POWER(1+E5,A5-C5)*(POWER(1+E5,C5)-1)/(POWER(1+E5,A5)-1),3)),0,ROUND(POWER(1+E5,A5-C5)*(POWER(1+E5,C5)-1)/(POWER(1+E5,A5)-1),4))</f>
        <v>0.0433</v>
      </c>
      <c r="E5" s="4443">
        <v>0.04</v>
      </c>
      <c r="F5" s="4428"/>
      <c r="I5" s="4434" t="s">
        <v>398</v>
      </c>
      <c r="J5" s="4438">
        <v>70</v>
      </c>
      <c r="K5" s="4438">
        <v>60</v>
      </c>
      <c r="L5" s="4438">
        <v>15</v>
      </c>
      <c r="M5" s="4438">
        <v>25</v>
      </c>
      <c r="N5" s="4439">
        <v>40</v>
      </c>
      <c r="O5" s="4439">
        <v>50</v>
      </c>
      <c r="P5" s="4439">
        <v>40</v>
      </c>
      <c r="Q5" s="4439">
        <v>15</v>
      </c>
      <c r="R5" s="4440">
        <v>315</v>
      </c>
    </row>
    <row r="6" ht="14.25" spans="1:19">
      <c r="A6" s="4441">
        <v>50</v>
      </c>
      <c r="B6" s="4432">
        <v>50028</v>
      </c>
      <c r="C6" s="4439">
        <f>ROUNDDOWN(MIN((B6-B3)/365,A6),2)</f>
        <v>10.89</v>
      </c>
      <c r="D6" s="4442">
        <f>IF(ISERROR(ROUND(POWER(1+E6,A6-C6)*(POWER(1+E6,C6)-1)/(POWER(1+E6,A6)-1),3)),0,ROUND(POWER(1+E6,A6-C6)*(POWER(1+E6,C6)-1)/(POWER(1+E6,A6)-1),4))</f>
        <v>0.4045</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30.91</v>
      </c>
      <c r="D7" s="4442">
        <f>IF(ISERROR(ROUND(POWER(1+E7,A7-C7)*(POWER(1+E7,C7)-1)/(POWER(1+E7,A7)-1),3)),0,ROUND(POWER(1+E7,A7-C7)*(POWER(1+E7,C7)-1)/(POWER(1+E7,A7)-1),4))</f>
        <v>0.7507</v>
      </c>
      <c r="E7" s="4443">
        <v>0.04</v>
      </c>
      <c r="F7" s="4428"/>
      <c r="I7" s="4448" t="s">
        <v>400</v>
      </c>
      <c r="J7" s="4449" t="s">
        <v>401</v>
      </c>
      <c r="K7" s="4450">
        <v>2.5</v>
      </c>
      <c r="L7" s="4451"/>
      <c r="M7" s="4452"/>
      <c r="N7" s="4420"/>
      <c r="O7" s="4420"/>
      <c r="P7" s="4420"/>
      <c r="Q7" s="4420"/>
      <c r="R7" s="4421"/>
    </row>
    <row r="8" ht="14.2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32</v>
      </c>
      <c r="K10" s="4438">
        <f t="shared" ref="K10:Q12" si="0">ROUND(K4/$K$7,0)</f>
        <v>28</v>
      </c>
      <c r="L10" s="4438">
        <f t="shared" si="0"/>
        <v>8</v>
      </c>
      <c r="M10" s="4438">
        <f t="shared" si="0"/>
        <v>12</v>
      </c>
      <c r="N10" s="4438">
        <f t="shared" si="0"/>
        <v>18</v>
      </c>
      <c r="O10" s="4438">
        <f t="shared" si="0"/>
        <v>24</v>
      </c>
      <c r="P10" s="4438">
        <f t="shared" si="0"/>
        <v>20</v>
      </c>
      <c r="Q10" s="4438">
        <f t="shared" si="0"/>
        <v>8</v>
      </c>
      <c r="R10" s="4455">
        <f>SUM(J10:Q10)</f>
        <v>150</v>
      </c>
      <c r="S10" s="4456"/>
    </row>
    <row r="11" spans="1:19">
      <c r="A11" s="4457" t="s">
        <v>406</v>
      </c>
      <c r="B11" s="4458">
        <v>70</v>
      </c>
      <c r="C11" s="4459" t="s">
        <v>407</v>
      </c>
      <c r="D11" s="4443">
        <v>0.045</v>
      </c>
      <c r="E11" s="4459" t="s">
        <v>408</v>
      </c>
      <c r="F11" s="4460">
        <f>ROUND(1-(1/(POWER(1+D11,B11))),4)</f>
        <v>0.9541</v>
      </c>
      <c r="I11" s="4434" t="s">
        <v>398</v>
      </c>
      <c r="J11" s="4438">
        <f>ROUND(J5/$K$7,0)</f>
        <v>28</v>
      </c>
      <c r="K11" s="4438">
        <f t="shared" si="0"/>
        <v>24</v>
      </c>
      <c r="L11" s="4438">
        <f t="shared" si="0"/>
        <v>6</v>
      </c>
      <c r="M11" s="4438">
        <f t="shared" si="0"/>
        <v>10</v>
      </c>
      <c r="N11" s="4438">
        <f t="shared" si="0"/>
        <v>16</v>
      </c>
      <c r="O11" s="4438">
        <f t="shared" si="0"/>
        <v>20</v>
      </c>
      <c r="P11" s="4438">
        <f t="shared" si="0"/>
        <v>16</v>
      </c>
      <c r="Q11" s="4438">
        <f t="shared" si="0"/>
        <v>6</v>
      </c>
      <c r="R11" s="4455">
        <f t="shared" ref="R11:R12" si="1">SUM(J11:Q11)</f>
        <v>126</v>
      </c>
      <c r="S11" s="4456"/>
    </row>
    <row r="12" ht="14.25" spans="1:19">
      <c r="A12" s="4457" t="s">
        <v>409</v>
      </c>
      <c r="B12" s="4458">
        <v>40</v>
      </c>
      <c r="C12" s="4459" t="s">
        <v>410</v>
      </c>
      <c r="D12" s="4443">
        <v>0.045</v>
      </c>
      <c r="E12" s="4459" t="s">
        <v>411</v>
      </c>
      <c r="F12" s="4460">
        <f>ROUND(1-(1/(POWER(1+D12,B12))),4)</f>
        <v>0.8281</v>
      </c>
      <c r="I12" s="4461" t="s">
        <v>399</v>
      </c>
      <c r="J12" s="4438">
        <f>ROUND(J6/$K$7,0)</f>
        <v>24</v>
      </c>
      <c r="K12" s="4438">
        <f t="shared" si="0"/>
        <v>20</v>
      </c>
      <c r="L12" s="4438">
        <f t="shared" si="0"/>
        <v>4</v>
      </c>
      <c r="M12" s="4438">
        <f t="shared" si="0"/>
        <v>8</v>
      </c>
      <c r="N12" s="4438">
        <f t="shared" si="0"/>
        <v>14</v>
      </c>
      <c r="O12" s="4438">
        <f t="shared" si="0"/>
        <v>16</v>
      </c>
      <c r="P12" s="4438">
        <f t="shared" si="0"/>
        <v>12</v>
      </c>
      <c r="Q12" s="4438">
        <f t="shared" si="0"/>
        <v>4</v>
      </c>
      <c r="R12" s="4455">
        <f t="shared" si="1"/>
        <v>102</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30</v>
      </c>
      <c r="K15" s="4438">
        <f t="shared" ref="K15:Q15" si="2">ROUND(K10*$L$13,0)</f>
        <v>26</v>
      </c>
      <c r="L15" s="4438">
        <f t="shared" si="2"/>
        <v>7</v>
      </c>
      <c r="M15" s="4438">
        <f t="shared" si="2"/>
        <v>11</v>
      </c>
      <c r="N15" s="4438">
        <f t="shared" si="2"/>
        <v>17</v>
      </c>
      <c r="O15" s="4438">
        <f t="shared" si="2"/>
        <v>22</v>
      </c>
      <c r="P15" s="4438">
        <f t="shared" si="2"/>
        <v>19</v>
      </c>
      <c r="Q15" s="4438">
        <f t="shared" si="2"/>
        <v>7</v>
      </c>
      <c r="R15" s="4468">
        <f>SUM(J15:Q15)</f>
        <v>139</v>
      </c>
      <c r="S15" s="4456"/>
    </row>
    <row r="16" spans="1:19">
      <c r="A16" s="526" t="s">
        <v>417</v>
      </c>
      <c r="B16" s="4469"/>
      <c r="C16" s="4469"/>
      <c r="D16" s="4427"/>
      <c r="E16" s="4427"/>
      <c r="F16" s="4428"/>
      <c r="I16" s="4434" t="s">
        <v>398</v>
      </c>
      <c r="J16" s="4438">
        <f t="shared" ref="J16:Q16" si="3">ROUND(J11*$L$13,0)</f>
        <v>26</v>
      </c>
      <c r="K16" s="4438">
        <f t="shared" si="3"/>
        <v>22</v>
      </c>
      <c r="L16" s="4438">
        <f t="shared" si="3"/>
        <v>6</v>
      </c>
      <c r="M16" s="4438">
        <f t="shared" si="3"/>
        <v>9</v>
      </c>
      <c r="N16" s="4438">
        <f t="shared" si="3"/>
        <v>15</v>
      </c>
      <c r="O16" s="4438">
        <f t="shared" si="3"/>
        <v>19</v>
      </c>
      <c r="P16" s="4438">
        <f t="shared" si="3"/>
        <v>15</v>
      </c>
      <c r="Q16" s="4438">
        <f t="shared" si="3"/>
        <v>6</v>
      </c>
      <c r="R16" s="4468">
        <f t="shared" ref="R16:R17" si="4">SUM(J16:Q16)</f>
        <v>118</v>
      </c>
      <c r="S16" s="4456"/>
    </row>
    <row r="17" ht="14.25" spans="1:19">
      <c r="A17" s="4457" t="s">
        <v>416</v>
      </c>
      <c r="B17" s="4470">
        <v>4810</v>
      </c>
      <c r="C17" s="4466"/>
      <c r="D17" s="4427"/>
      <c r="E17" s="4427"/>
      <c r="F17" s="4428"/>
      <c r="I17" s="4444" t="s">
        <v>399</v>
      </c>
      <c r="J17" s="4438">
        <f t="shared" ref="J17:Q17" si="5">ROUND(J12*$L$13,0)</f>
        <v>22</v>
      </c>
      <c r="K17" s="4438">
        <f t="shared" si="5"/>
        <v>19</v>
      </c>
      <c r="L17" s="4438">
        <f t="shared" si="5"/>
        <v>4</v>
      </c>
      <c r="M17" s="4438">
        <f t="shared" si="5"/>
        <v>7</v>
      </c>
      <c r="N17" s="4438">
        <f t="shared" si="5"/>
        <v>13</v>
      </c>
      <c r="O17" s="4438">
        <f t="shared" si="5"/>
        <v>15</v>
      </c>
      <c r="P17" s="4438">
        <f t="shared" si="5"/>
        <v>11</v>
      </c>
      <c r="Q17" s="4438">
        <f t="shared" si="5"/>
        <v>4</v>
      </c>
      <c r="R17" s="4468">
        <f t="shared" si="4"/>
        <v>95</v>
      </c>
      <c r="S17" s="4471"/>
    </row>
    <row r="18" ht="14.25" spans="1:19">
      <c r="A18" s="4472" t="s">
        <v>415</v>
      </c>
      <c r="B18" s="4473">
        <f>ROUND(B17*F11/F12,2)</f>
        <v>5541.87</v>
      </c>
      <c r="C18" s="4474">
        <f>ROUND(F11/F12,4)</f>
        <v>1.1522</v>
      </c>
      <c r="D18" s="4475"/>
      <c r="E18" s="4475"/>
      <c r="F18" s="4476"/>
    </row>
    <row r="19" s="4414" customFormat="1" ht="14.2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4.2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4.25" spans="1:15">
      <c r="N48" s="4414"/>
      <c r="O48" s="4414"/>
    </row>
    <row r="49" s="4416" customFormat="1" ht="15.75"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ht="15"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ht="14.25"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ht="15" spans="1:16">
      <c r="A54" s="4522" t="s">
        <v>491</v>
      </c>
      <c r="B54" s="4523">
        <f>B51</f>
        <v>9993</v>
      </c>
      <c r="C54" s="4523">
        <f>E54/B54</f>
        <v>1283.86370459322</v>
      </c>
      <c r="D54" s="4544"/>
      <c r="E54" s="4525">
        <f>E55+E56</f>
        <v>12829650</v>
      </c>
      <c r="F54" s="4526">
        <f>E54/$E$62</f>
        <v>0.157793281027751</v>
      </c>
      <c r="G54" s="4535"/>
      <c r="H54" s="4535"/>
    </row>
    <row r="55" ht="15" spans="1:16">
      <c r="A55" s="4529" t="s">
        <v>487</v>
      </c>
      <c r="B55" s="4545">
        <f>B52</f>
        <v>5508</v>
      </c>
      <c r="C55" s="4523"/>
      <c r="D55" s="4546">
        <v>1800</v>
      </c>
      <c r="E55" s="4533">
        <f>D55*B55</f>
        <v>9914400</v>
      </c>
      <c r="F55" s="4534"/>
      <c r="G55" s="4535" t="s">
        <v>492</v>
      </c>
      <c r="H55" s="4535"/>
    </row>
    <row r="56" ht="15" spans="1:16">
      <c r="A56" s="4529" t="s">
        <v>490</v>
      </c>
      <c r="B56" s="4545">
        <f>B53</f>
        <v>4485</v>
      </c>
      <c r="C56" s="4523"/>
      <c r="D56" s="4546">
        <v>650</v>
      </c>
      <c r="E56" s="4533">
        <f>D56*B56</f>
        <v>2915250</v>
      </c>
      <c r="F56" s="4534"/>
      <c r="G56" s="4535" t="s">
        <v>493</v>
      </c>
      <c r="H56" s="4535"/>
    </row>
    <row r="57" ht="15"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ht="14.25"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ht="14.25"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ht="15"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ht="15" spans="1:16">
      <c r="A61" s="4522" t="s">
        <v>499</v>
      </c>
      <c r="B61" s="4559">
        <f>B51</f>
        <v>9993</v>
      </c>
      <c r="C61" s="4523">
        <f>E61/B61</f>
        <v>159.536565595917</v>
      </c>
      <c r="D61" s="4560">
        <v>0.02</v>
      </c>
      <c r="E61" s="4525">
        <f>(E51+E54+E57+E60)*D61</f>
        <v>1594248.9</v>
      </c>
      <c r="F61" s="4534">
        <f>E61/$E$62</f>
        <v>0.0196078431372549</v>
      </c>
      <c r="G61" s="4535" t="s">
        <v>500</v>
      </c>
    </row>
    <row r="62" ht="15.7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4.2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4.2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4" sqref="L24"/>
    </sheetView>
  </sheetViews>
  <sheetFormatPr defaultColWidth="10" defaultRowHeight="12.75"/>
  <cols>
    <col min="1" max="1" width="16.875" style="3900" customWidth="1"/>
    <col min="2" max="2" width="10" style="3900" customWidth="1"/>
    <col min="3" max="3" width="11.5" style="3900" customWidth="1"/>
    <col min="4" max="4" width="10" style="3900" customWidth="1"/>
    <col min="5" max="5" width="12.625" style="3900" customWidth="1"/>
    <col min="6" max="6" width="10" style="3900" customWidth="1"/>
    <col min="7" max="7" width="10.75" style="3900" customWidth="1"/>
    <col min="8" max="8" width="10" style="3900" customWidth="1"/>
    <col min="9" max="9" width="11.125" style="4192" customWidth="1"/>
    <col min="10" max="10" width="10" style="4112" customWidth="1"/>
    <col min="11" max="11" width="10" style="4270" customWidth="1"/>
    <col min="12" max="13" width="10" style="4271" customWidth="1"/>
    <col min="14" max="14" width="10" style="4112" customWidth="1"/>
    <col min="15" max="15" width="10" style="2260" customWidth="1"/>
    <col min="16" max="17" width="10" style="4112"/>
    <col min="18" max="18" width="10" style="4112" customWidth="1"/>
    <col min="19" max="30" width="10" style="4112"/>
    <col min="31" max="16384" width="10" style="3900"/>
  </cols>
  <sheetData>
    <row r="1" ht="13.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v>46050</v>
      </c>
      <c r="C3" s="4286" t="s">
        <v>512</v>
      </c>
      <c r="D3" s="4285">
        <v>46050</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ht="13.5" spans="1:30">
      <c r="A4" s="2744"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5" spans="1:30">
      <c r="A9" s="4310" t="s">
        <v>519</v>
      </c>
      <c r="B9" s="4311" t="s">
        <v>371</v>
      </c>
      <c r="C9" s="4312"/>
      <c r="D9" s="4313"/>
      <c r="E9" s="4311"/>
      <c r="F9" s="4314"/>
      <c r="G9" s="4315"/>
      <c r="H9" s="4315"/>
      <c r="I9" s="4315"/>
      <c r="J9" s="3895"/>
      <c r="K9" s="4302"/>
      <c r="L9" s="4299"/>
      <c r="M9" s="4299"/>
      <c r="N9" s="3895"/>
      <c r="O9" s="4300"/>
      <c r="P9" s="3895"/>
      <c r="Q9" s="3895"/>
      <c r="R9" s="3895"/>
    </row>
    <row r="10" ht="13.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776"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55907</v>
      </c>
      <c r="E13" s="4335"/>
      <c r="F13" s="4335"/>
      <c r="G13" s="4335"/>
      <c r="H13" s="4335"/>
      <c r="I13" s="4335"/>
      <c r="J13" s="4333"/>
      <c r="K13" s="4299"/>
      <c r="L13" s="4299"/>
      <c r="M13" s="3895"/>
      <c r="N13" s="4300"/>
      <c r="O13" s="3895"/>
      <c r="P13" s="3895"/>
      <c r="Q13" s="3895"/>
      <c r="AD13" s="3900"/>
    </row>
    <row r="14" spans="1:30">
      <c r="A14" s="2751"/>
      <c r="B14" s="4334" t="s">
        <v>535</v>
      </c>
      <c r="C14" s="4336"/>
      <c r="D14" s="4336">
        <v>40</v>
      </c>
      <c r="E14" s="4336"/>
      <c r="F14" s="4336"/>
      <c r="G14" s="4336"/>
      <c r="H14" s="4336"/>
      <c r="I14" s="4336"/>
      <c r="J14" s="4337"/>
      <c r="K14" s="4299"/>
      <c r="L14" s="4299"/>
      <c r="M14" s="3895"/>
      <c r="N14" s="4300"/>
      <c r="O14" s="3895"/>
      <c r="P14" s="3895"/>
      <c r="Q14" s="3895"/>
      <c r="AD14" s="3900"/>
    </row>
    <row r="15" spans="1:30">
      <c r="A15" s="2762"/>
      <c r="B15" s="4338" t="s">
        <v>536</v>
      </c>
      <c r="C15" s="2366" t="str">
        <f>IF(A13="出让",IF(C13="","",ROUNDDOWN(MIN((C13-$D$3)/365,C14),2)),C14)</f>
        <v/>
      </c>
      <c r="D15" s="2366">
        <f>IF(A13="出让",IF(D13="","",ROUNDDOWN(MIN((D13-$D$3)/365,D14),2)),D14)</f>
        <v>27</v>
      </c>
      <c r="E15" s="2366" t="str">
        <f>IF(A13="出让",IF(E13="","",ROUNDDOWN(MIN((E13-$D$3)/365,E14),2)),E14)</f>
        <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728" t="s">
        <v>539</v>
      </c>
      <c r="B17" s="1301" t="s">
        <v>540</v>
      </c>
      <c r="C17" s="4255">
        <f>'数据-汇总表'!E3</f>
        <v>138.87</v>
      </c>
      <c r="D17" s="2368"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744" t="s">
        <v>544</v>
      </c>
      <c r="C18" s="4353">
        <f>'数据-汇总表'!D3</f>
        <v>0</v>
      </c>
      <c r="D18" s="2788"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783" t="s">
        <v>546</v>
      </c>
      <c r="B19" s="2722"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120"/>
      <c r="D20" s="4364" t="s">
        <v>551</v>
      </c>
      <c r="E20" s="4365"/>
      <c r="F20" s="4366" t="s">
        <v>552</v>
      </c>
      <c r="G20" s="4109"/>
      <c r="H20" s="4109"/>
      <c r="I20" s="4109"/>
      <c r="J20" s="3895"/>
      <c r="K20" s="4214"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24.75" spans="1:28">
      <c r="A21" s="4362"/>
      <c r="B21" s="4367" t="s">
        <v>554</v>
      </c>
      <c r="C21" s="3889" t="s">
        <v>555</v>
      </c>
      <c r="D21" s="4368" t="s">
        <v>556</v>
      </c>
      <c r="E21" s="4369" t="s">
        <v>555</v>
      </c>
      <c r="F21" s="4370"/>
      <c r="G21" s="4109"/>
      <c r="H21" s="4109"/>
      <c r="I21" s="4109"/>
      <c r="J21" s="3895"/>
      <c r="K21" s="4214"/>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24.75" spans="1:28">
      <c r="A22" s="4362"/>
      <c r="B22" s="4371" t="s">
        <v>557</v>
      </c>
      <c r="C22" s="3889" t="s">
        <v>558</v>
      </c>
      <c r="D22" s="4284"/>
      <c r="E22" s="4284"/>
      <c r="F22" s="4284"/>
      <c r="G22" s="4109"/>
      <c r="H22" s="4109"/>
      <c r="I22" s="4109"/>
      <c r="J22" s="3895"/>
      <c r="K22" s="4214"/>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2806"/>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2806"/>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5" spans="1:28">
      <c r="A27" s="2751" t="s">
        <v>564</v>
      </c>
      <c r="B27" s="2762"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2751"/>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2751"/>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2762"/>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2761" t="str">
        <f>IF(B31="现房","成新及维护状况正常否",IF(B31="在建","工程状态是否正常",IF(B31="土地","是否闲置","-")))</f>
        <v>-</v>
      </c>
      <c r="D31" s="3187"/>
      <c r="E31" s="4392"/>
      <c r="F31" s="4109"/>
      <c r="G31" s="4109"/>
      <c r="H31" s="4109"/>
      <c r="I31" s="4109"/>
      <c r="J31" s="3895"/>
      <c r="K31" s="4298"/>
      <c r="L31" s="4299"/>
      <c r="M31" s="4299"/>
      <c r="N31" s="3895"/>
      <c r="O31" s="4300"/>
      <c r="P31" s="3895"/>
      <c r="Q31" s="3895"/>
      <c r="R31" s="3895"/>
      <c r="S31" s="3895"/>
      <c r="T31" s="3895"/>
      <c r="U31" s="3895"/>
      <c r="V31" s="3895"/>
    </row>
    <row r="32" spans="1:28">
      <c r="A32" s="3572"/>
      <c r="B32" s="4391"/>
      <c r="C32" s="2761" t="str">
        <f>IF(B32="现房","成新及维护状况是否正常",IF(B32="在建","工程状态是否正常",IF(B32="土地","是否闲置","-")))</f>
        <v>-</v>
      </c>
      <c r="D32" s="3187"/>
      <c r="E32" s="4392"/>
      <c r="F32" s="4109"/>
      <c r="G32" s="4109"/>
      <c r="H32" s="4109"/>
      <c r="I32" s="4109"/>
      <c r="J32" s="3895"/>
      <c r="K32" s="4302"/>
      <c r="L32" s="4299"/>
      <c r="M32" s="4299"/>
      <c r="N32" s="3895"/>
      <c r="O32" s="4300"/>
      <c r="P32" s="3895"/>
      <c r="Q32" s="3895"/>
      <c r="R32" s="3895"/>
      <c r="S32" s="3895"/>
      <c r="T32" s="3895"/>
      <c r="U32" s="3895"/>
      <c r="V32" s="3895"/>
    </row>
    <row r="33" spans="1:30">
      <c r="A33" s="3572"/>
      <c r="B33" s="4393"/>
      <c r="C33" s="4215" t="str">
        <f>IF(B33="现房","成新及维护状况是否正常",IF(B33="在建","工程状态是否正常",IF(B33="土地","是否闲置","-")))</f>
        <v>-</v>
      </c>
      <c r="D33" s="2730"/>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5"/>
      <c r="V34" s="3895"/>
    </row>
    <row r="35" spans="1:30">
      <c r="A35" s="3068"/>
      <c r="B35" s="2366" t="s">
        <v>579</v>
      </c>
      <c r="C35" s="2366"/>
      <c r="D35" s="2366"/>
      <c r="E35" s="2366"/>
      <c r="F35" s="2366">
        <f>C10</f>
        <v>0</v>
      </c>
      <c r="G35" s="4109"/>
      <c r="H35" s="4109"/>
      <c r="I35" s="4109"/>
      <c r="J35" s="3895"/>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5"/>
      <c r="V35" s="3895"/>
    </row>
    <row r="36" spans="1:30">
      <c r="A36" s="4276"/>
      <c r="B36" s="2366" t="s">
        <v>528</v>
      </c>
      <c r="C36" s="2366" t="s">
        <v>529</v>
      </c>
      <c r="D36" s="2366" t="s">
        <v>527</v>
      </c>
      <c r="E36" s="2366"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c r="C37" s="4397"/>
      <c r="D37" s="4397"/>
      <c r="E37" s="4397"/>
      <c r="F37" s="4397"/>
      <c r="G37" s="4109"/>
      <c r="H37" s="4109"/>
      <c r="I37" s="4109"/>
      <c r="J37" s="3895"/>
      <c r="K37" s="4302"/>
      <c r="L37" s="4299"/>
      <c r="M37" s="4299"/>
      <c r="N37" s="3895"/>
      <c r="O37" s="4300"/>
      <c r="P37" s="3895"/>
      <c r="Q37" s="3895"/>
      <c r="R37" s="3895"/>
      <c r="S37" s="3895"/>
      <c r="T37" s="3895"/>
      <c r="U37" s="3895"/>
      <c r="V37" s="3895"/>
    </row>
    <row r="38" ht="13.5" spans="1:30">
      <c r="A38" s="4398" t="s">
        <v>581</v>
      </c>
      <c r="B38" s="4399"/>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25"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4"/>
      <c r="J40" s="3895"/>
      <c r="K40" s="4298"/>
      <c r="L40" s="4300"/>
      <c r="M40" s="4300"/>
      <c r="N40" s="3895"/>
      <c r="O40" s="4300"/>
      <c r="P40" s="3895"/>
      <c r="Q40" s="3895"/>
      <c r="R40" s="3895"/>
      <c r="S40" s="3895"/>
      <c r="T40" s="3895"/>
      <c r="U40" s="3895"/>
      <c r="V40" s="3895"/>
    </row>
    <row r="41" spans="1:30">
      <c r="A41" s="4406" t="s">
        <v>583</v>
      </c>
      <c r="B41" s="3443"/>
      <c r="C41" s="3187"/>
      <c r="D41" s="4278"/>
      <c r="E41" s="4278"/>
      <c r="F41" s="4278"/>
      <c r="G41" s="4278"/>
      <c r="H41" s="4278"/>
      <c r="I41" s="4200"/>
      <c r="J41" s="3895"/>
      <c r="K41" s="4302"/>
      <c r="L41" s="4299"/>
      <c r="M41" s="4299"/>
      <c r="N41" s="3895"/>
      <c r="O41" s="4300"/>
      <c r="P41" s="3895"/>
      <c r="Q41" s="3895"/>
      <c r="R41" s="3895"/>
      <c r="S41" s="3895"/>
      <c r="T41" s="3895"/>
      <c r="U41" s="3895"/>
      <c r="V41" s="3895"/>
    </row>
    <row r="42" ht="24.75" spans="1:30">
      <c r="A42" s="2776" t="s">
        <v>584</v>
      </c>
      <c r="B42" s="2366" t="s">
        <v>585</v>
      </c>
      <c r="C42" s="2366" t="s">
        <v>586</v>
      </c>
      <c r="D42" s="2366" t="s">
        <v>587</v>
      </c>
      <c r="E42" s="2366" t="s">
        <v>588</v>
      </c>
      <c r="F42" s="2366" t="s">
        <v>589</v>
      </c>
      <c r="G42" s="2366" t="s">
        <v>590</v>
      </c>
      <c r="H42" s="2366" t="s">
        <v>591</v>
      </c>
      <c r="I42" s="2366" t="s">
        <v>592</v>
      </c>
      <c r="J42" s="4407" t="s">
        <v>593</v>
      </c>
      <c r="K42" s="4408" t="s">
        <v>594</v>
      </c>
      <c r="L42" s="4408" t="s">
        <v>595</v>
      </c>
      <c r="M42" s="4408" t="s">
        <v>596</v>
      </c>
      <c r="N42" s="4409" t="s">
        <v>597</v>
      </c>
      <c r="O42" s="4409" t="s">
        <v>598</v>
      </c>
      <c r="P42" s="4409" t="s">
        <v>599</v>
      </c>
      <c r="Q42" s="4410" t="s">
        <v>600</v>
      </c>
      <c r="R42" s="4410" t="s">
        <v>601</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875" defaultRowHeight="14.25"/>
  <cols>
    <col min="1" max="1" width="10.625" style="4196" customWidth="1"/>
    <col min="2" max="2" width="11" style="4196" customWidth="1"/>
    <col min="3" max="3" width="10.375" style="4196" customWidth="1"/>
    <col min="4" max="4" width="9.125" style="4196" customWidth="1"/>
    <col min="5" max="6" width="10" style="4194" customWidth="1"/>
    <col min="7" max="8" width="10" style="4196" customWidth="1"/>
    <col min="9" max="9" width="10.625" style="4196" customWidth="1"/>
    <col min="10" max="10" width="9.5" style="4196" customWidth="1"/>
    <col min="11" max="11" width="11" style="4196" customWidth="1"/>
    <col min="12" max="14" width="9.5" style="4196" customWidth="1"/>
    <col min="15" max="15" width="9.875" style="4196" customWidth="1"/>
    <col min="16" max="16" width="9.75" style="4196" customWidth="1"/>
    <col min="17" max="17" width="9.375" style="4196" customWidth="1"/>
    <col min="18" max="18" width="9.25" style="4196" customWidth="1"/>
    <col min="19" max="19" width="10.875" style="4196" customWidth="1"/>
    <col min="20" max="21" width="10.75" style="4196" customWidth="1"/>
    <col min="22" max="22" width="10.875" style="4196" customWidth="1"/>
    <col min="23" max="27" width="10.75" style="4196" customWidth="1"/>
    <col min="28" max="28" width="10.875" style="4196" customWidth="1"/>
    <col min="29" max="29" width="11" style="4196" customWidth="1"/>
    <col min="30" max="30" width="10" style="4196" customWidth="1"/>
    <col min="31" max="31" width="9.75" style="4196" customWidth="1"/>
    <col min="32" max="46" width="9.5" style="4196" customWidth="1"/>
    <col min="47" max="47" width="18.125" style="4196" customWidth="1"/>
    <col min="48" max="50" width="9.75" style="4196" customWidth="1"/>
    <col min="51" max="55" width="10.5" style="4196" customWidth="1"/>
    <col min="56" max="56" width="9.5" style="4196" customWidth="1"/>
    <col min="57" max="63" width="9.125" style="4196" customWidth="1"/>
    <col min="64" max="64" width="9.5" style="4196" customWidth="1"/>
    <col min="65" max="65" width="9.125" style="4196" customWidth="1"/>
    <col min="66" max="66" width="9.5" style="4196" customWidth="1"/>
    <col min="67" max="69" width="9.125" style="4196" customWidth="1"/>
    <col min="70" max="70" width="9.5" style="4196" customWidth="1"/>
    <col min="71" max="71" width="9" style="4196" customWidth="1"/>
    <col min="72" max="72" width="9.125" style="4196" customWidth="1"/>
    <col min="73" max="16384" width="8.875" style="4196"/>
  </cols>
  <sheetData>
    <row r="1" ht="20.25"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366" t="s">
        <v>544</v>
      </c>
      <c r="B2" s="2366" t="s">
        <v>540</v>
      </c>
      <c r="C2" s="2366" t="s">
        <v>604</v>
      </c>
      <c r="D2" s="4200"/>
      <c r="E2" s="3536"/>
      <c r="F2" s="3624"/>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366"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2.75" spans="1:72">
      <c r="A3" s="4203"/>
      <c r="B3" s="1165">
        <f>IF(C3="否",G5-AT5,G5)</f>
        <v>138.87</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2.75" spans="1:72">
      <c r="A5" s="2761" t="s">
        <v>608</v>
      </c>
      <c r="B5" s="3438"/>
      <c r="C5" s="3438"/>
      <c r="D5" s="3439"/>
      <c r="E5" s="2366" t="s">
        <v>124</v>
      </c>
      <c r="F5" s="2366">
        <f>SUM(F13:F587)</f>
        <v>0</v>
      </c>
      <c r="G5" s="2366">
        <f>SUM(G13:G587)</f>
        <v>138.87</v>
      </c>
      <c r="H5" s="2366">
        <f t="shared" ref="H5:AT5" si="0">SUM(H13:H656)</f>
        <v>138.87</v>
      </c>
      <c r="I5" s="2366">
        <f t="shared" si="0"/>
        <v>138.87</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7"/>
      <c r="AV5" s="2761" t="s">
        <v>608</v>
      </c>
      <c r="AW5" s="3438"/>
      <c r="AX5" s="3438"/>
      <c r="AY5" s="2272" t="s">
        <v>124</v>
      </c>
      <c r="AZ5" s="2273">
        <f t="shared" ref="AZ5:BT5" si="1">SUM(AZ13:AZ656)</f>
        <v>138.87</v>
      </c>
      <c r="BA5" s="2273">
        <f t="shared" si="1"/>
        <v>138.87</v>
      </c>
      <c r="BB5" s="2273">
        <f t="shared" si="1"/>
        <v>138.87</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10">
        <f t="shared" si="1"/>
        <v>0</v>
      </c>
    </row>
    <row r="6" s="4192" customFormat="1" ht="12.75" spans="1:72">
      <c r="A6" s="2761" t="s">
        <v>609</v>
      </c>
      <c r="B6" s="3438"/>
      <c r="C6" s="3438"/>
      <c r="D6" s="3439"/>
      <c r="E6" s="2366">
        <f>H6+AC6+AT6</f>
        <v>0</v>
      </c>
      <c r="F6" s="2366" t="s">
        <v>124</v>
      </c>
      <c r="G6" s="2366" t="s">
        <v>124</v>
      </c>
      <c r="H6" s="4211">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11">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11">
        <f>IF(C3="是",ROUND($A$3*AT5/$B$3,2),0)</f>
        <v>0</v>
      </c>
      <c r="AU6" s="3437"/>
      <c r="AV6" s="2761" t="s">
        <v>609</v>
      </c>
      <c r="AW6" s="3438"/>
      <c r="AX6" s="3438"/>
      <c r="AY6" s="4212">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13">
        <f t="shared" si="5"/>
        <v>0</v>
      </c>
    </row>
    <row r="7" s="4192" customFormat="1" ht="24.75"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9"/>
      <c r="AU7" s="4216" t="s">
        <v>615</v>
      </c>
      <c r="AV7" s="4211" t="s">
        <v>610</v>
      </c>
      <c r="AW7" s="3624" t="s">
        <v>611</v>
      </c>
      <c r="AX7" s="4211" t="s">
        <v>585</v>
      </c>
      <c r="AY7" s="3438"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617</v>
      </c>
      <c r="H8" s="4221" t="s">
        <v>618</v>
      </c>
      <c r="I8" s="4222"/>
      <c r="J8" s="2363"/>
      <c r="K8" s="2363"/>
      <c r="L8" s="2363"/>
      <c r="M8" s="2363"/>
      <c r="N8" s="2363"/>
      <c r="O8" s="2363"/>
      <c r="P8" s="2363"/>
      <c r="Q8" s="2363"/>
      <c r="R8" s="2363"/>
      <c r="S8" s="2363"/>
      <c r="T8" s="2363"/>
      <c r="U8" s="2363"/>
      <c r="V8" s="4223"/>
      <c r="W8" s="2363"/>
      <c r="X8" s="2363"/>
      <c r="Y8" s="2363"/>
      <c r="Z8" s="2363"/>
      <c r="AA8" s="4223"/>
      <c r="AB8" s="4224"/>
      <c r="AC8" s="789" t="s">
        <v>619</v>
      </c>
      <c r="AD8" s="4225"/>
      <c r="AE8" s="4217"/>
      <c r="AF8" s="2363"/>
      <c r="AG8" s="2363"/>
      <c r="AH8" s="2363"/>
      <c r="AI8" s="2363"/>
      <c r="AJ8" s="2363"/>
      <c r="AK8" s="2363"/>
      <c r="AL8" s="2363"/>
      <c r="AM8" s="2363"/>
      <c r="AN8" s="2363"/>
      <c r="AO8" s="2363"/>
      <c r="AP8" s="2363"/>
      <c r="AQ8" s="2363"/>
      <c r="AR8" s="2363"/>
      <c r="AS8" s="2363"/>
      <c r="AT8" s="2708" t="s">
        <v>620</v>
      </c>
      <c r="AU8" s="4219" t="s">
        <v>621</v>
      </c>
      <c r="AV8" s="2708"/>
      <c r="AW8" s="3536"/>
      <c r="AX8" s="2708"/>
      <c r="AY8" s="3624"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903" customFormat="1" ht="12.75" spans="1:72">
      <c r="A9" s="4219"/>
      <c r="B9" s="4219"/>
      <c r="C9" s="4219"/>
      <c r="D9" s="4219"/>
      <c r="E9" s="4219"/>
      <c r="F9" s="4219"/>
      <c r="G9" s="2708"/>
      <c r="H9" s="4226" t="s">
        <v>622</v>
      </c>
      <c r="I9" s="4227" t="s">
        <v>487</v>
      </c>
      <c r="J9" s="789"/>
      <c r="K9" s="4227"/>
      <c r="L9" s="789"/>
      <c r="M9" s="4227"/>
      <c r="N9" s="789"/>
      <c r="O9" s="4227"/>
      <c r="P9" s="789"/>
      <c r="Q9" s="4227"/>
      <c r="R9" s="789"/>
      <c r="S9" s="4227"/>
      <c r="T9" s="789"/>
      <c r="U9" s="4227"/>
      <c r="V9" s="789"/>
      <c r="W9" s="4227"/>
      <c r="X9" s="4228"/>
      <c r="Y9" s="4227"/>
      <c r="Z9" s="789"/>
      <c r="AA9" s="4227"/>
      <c r="AB9" s="789"/>
      <c r="AC9" s="4220"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9"/>
      <c r="AT9" s="4219"/>
      <c r="AU9" s="4219" t="s">
        <v>625</v>
      </c>
      <c r="AV9" s="2708"/>
      <c r="AW9" s="3536"/>
      <c r="AX9" s="2708"/>
      <c r="AY9" s="4230"/>
      <c r="AZ9" s="4230" t="s">
        <v>617</v>
      </c>
      <c r="BA9" s="4231" t="s">
        <v>626</v>
      </c>
      <c r="BB9" s="4232"/>
      <c r="BC9" s="2770"/>
      <c r="BD9" s="2770"/>
      <c r="BE9" s="2770"/>
      <c r="BF9" s="2770"/>
      <c r="BG9" s="2770"/>
      <c r="BH9" s="2770"/>
      <c r="BI9" s="2770"/>
      <c r="BJ9" s="2770"/>
      <c r="BK9" s="4233"/>
      <c r="BL9" s="2761" t="s">
        <v>627</v>
      </c>
      <c r="BM9" s="2363"/>
      <c r="BN9" s="4222"/>
      <c r="BO9" s="2363"/>
      <c r="BP9" s="2363"/>
      <c r="BQ9" s="2363"/>
      <c r="BR9" s="2363"/>
      <c r="BS9" s="2363"/>
      <c r="BT9" s="2771"/>
    </row>
    <row r="10" s="3903" customFormat="1" ht="12.75" spans="1:72">
      <c r="A10" s="4219"/>
      <c r="B10" s="4219"/>
      <c r="C10" s="4219"/>
      <c r="D10" s="4219"/>
      <c r="E10" s="4219"/>
      <c r="F10" s="4219"/>
      <c r="G10" s="2708"/>
      <c r="H10" s="4230"/>
      <c r="I10" s="4227" t="s">
        <v>229</v>
      </c>
      <c r="J10" s="789"/>
      <c r="K10" s="4234"/>
      <c r="L10" s="789"/>
      <c r="M10" s="4234"/>
      <c r="N10" s="789"/>
      <c r="O10" s="4234"/>
      <c r="P10" s="789"/>
      <c r="Q10" s="4234"/>
      <c r="R10" s="789"/>
      <c r="S10" s="4234"/>
      <c r="T10" s="789"/>
      <c r="U10" s="4234"/>
      <c r="V10" s="789"/>
      <c r="W10" s="4234"/>
      <c r="X10" s="789"/>
      <c r="Y10" s="4234"/>
      <c r="Z10" s="789"/>
      <c r="AA10" s="4234"/>
      <c r="AB10" s="789"/>
      <c r="AC10" s="2708"/>
      <c r="AD10" s="2761" t="s">
        <v>628</v>
      </c>
      <c r="AE10" s="4235"/>
      <c r="AF10" s="2761" t="s">
        <v>628</v>
      </c>
      <c r="AG10" s="4235"/>
      <c r="AH10" s="2761" t="s">
        <v>629</v>
      </c>
      <c r="AI10" s="4235"/>
      <c r="AJ10" s="2761" t="s">
        <v>629</v>
      </c>
      <c r="AK10" s="4235"/>
      <c r="AL10" s="2761" t="s">
        <v>630</v>
      </c>
      <c r="AM10" s="2723"/>
      <c r="AN10" s="2761" t="s">
        <v>630</v>
      </c>
      <c r="AO10" s="2723"/>
      <c r="AP10" s="2761" t="s">
        <v>631</v>
      </c>
      <c r="AQ10" s="2723"/>
      <c r="AR10" s="2761" t="s">
        <v>631</v>
      </c>
      <c r="AS10" s="2723"/>
      <c r="AT10" s="4219"/>
      <c r="AU10" s="4219"/>
      <c r="AV10" s="2708"/>
      <c r="AW10" s="3536"/>
      <c r="AX10" s="2708"/>
      <c r="AY10" s="4230"/>
      <c r="AZ10" s="4230"/>
      <c r="BA10" s="4236" t="s">
        <v>622</v>
      </c>
      <c r="BB10" s="4237"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8" t="str">
        <f>AR9</f>
        <v>地下</v>
      </c>
    </row>
    <row r="11" s="3903" customFormat="1" ht="12.75" spans="1:72">
      <c r="A11" s="4219"/>
      <c r="B11" s="4219"/>
      <c r="C11" s="4219"/>
      <c r="D11" s="4219"/>
      <c r="E11" s="4219"/>
      <c r="F11" s="4219"/>
      <c r="G11" s="2708"/>
      <c r="H11" s="4236"/>
      <c r="I11" s="4239" t="s">
        <v>632</v>
      </c>
      <c r="J11" s="4240"/>
      <c r="K11" s="4239"/>
      <c r="L11" s="4240"/>
      <c r="M11" s="4239"/>
      <c r="N11" s="4240"/>
      <c r="O11" s="4239"/>
      <c r="P11" s="4240"/>
      <c r="Q11" s="4239"/>
      <c r="R11" s="4240"/>
      <c r="S11" s="4239"/>
      <c r="T11" s="4240"/>
      <c r="U11" s="4239"/>
      <c r="V11" s="4240"/>
      <c r="W11" s="4239"/>
      <c r="X11" s="4240"/>
      <c r="Y11" s="4239"/>
      <c r="Z11" s="4240"/>
      <c r="AA11" s="4239"/>
      <c r="AB11" s="4240"/>
      <c r="AC11" s="2708"/>
      <c r="AD11" s="4241" t="s">
        <v>633</v>
      </c>
      <c r="AE11" s="2364"/>
      <c r="AF11" s="4241" t="s">
        <v>633</v>
      </c>
      <c r="AG11" s="2364"/>
      <c r="AH11" s="4241" t="s">
        <v>634</v>
      </c>
      <c r="AI11" s="4242"/>
      <c r="AJ11" s="4241" t="s">
        <v>634</v>
      </c>
      <c r="AK11" s="2364"/>
      <c r="AL11" s="2362"/>
      <c r="AM11" s="2364"/>
      <c r="AN11" s="2362"/>
      <c r="AO11" s="2364"/>
      <c r="AP11" s="2362"/>
      <c r="AQ11" s="2364"/>
      <c r="AR11" s="2362"/>
      <c r="AS11" s="2364"/>
      <c r="AT11" s="3536"/>
      <c r="AU11" s="4219"/>
      <c r="AV11" s="2708"/>
      <c r="AW11" s="3536"/>
      <c r="AX11" s="2708"/>
      <c r="AY11" s="4230"/>
      <c r="AZ11" s="4230"/>
      <c r="BA11" s="4230"/>
      <c r="BB11" s="4224" t="str">
        <f>I10</f>
        <v>商业</v>
      </c>
      <c r="BC11" s="4224">
        <f>K10</f>
        <v>0</v>
      </c>
      <c r="BD11" s="4224">
        <f>M10</f>
        <v>0</v>
      </c>
      <c r="BE11" s="4224">
        <f>O10</f>
        <v>0</v>
      </c>
      <c r="BF11" s="4224">
        <f>Q10</f>
        <v>0</v>
      </c>
      <c r="BG11" s="4224">
        <f>S10</f>
        <v>0</v>
      </c>
      <c r="BH11" s="4224">
        <f>U10</f>
        <v>0</v>
      </c>
      <c r="BI11" s="4224">
        <f>W10</f>
        <v>0</v>
      </c>
      <c r="BJ11" s="4224">
        <f>Y10</f>
        <v>0</v>
      </c>
      <c r="BK11" s="4224">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43" t="str">
        <f>AR10</f>
        <v>未注明</v>
      </c>
    </row>
    <row r="12" s="4192" customFormat="1" ht="12.75" spans="1:72">
      <c r="A12" s="4244"/>
      <c r="B12" s="4244"/>
      <c r="C12" s="4244"/>
      <c r="D12" s="4244"/>
      <c r="E12" s="4244"/>
      <c r="F12" s="4244"/>
      <c r="G12" s="945"/>
      <c r="H12" s="4245"/>
      <c r="I12" s="3439"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7" t="s">
        <v>636</v>
      </c>
      <c r="W12" s="2366" t="s">
        <v>635</v>
      </c>
      <c r="X12" s="2366" t="s">
        <v>636</v>
      </c>
      <c r="Y12" s="2366" t="s">
        <v>635</v>
      </c>
      <c r="Z12" s="2366" t="s">
        <v>636</v>
      </c>
      <c r="AA12" s="2366" t="s">
        <v>635</v>
      </c>
      <c r="AB12" s="2366" t="s">
        <v>636</v>
      </c>
      <c r="AC12" s="4246"/>
      <c r="AD12" s="3439"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4" t="s">
        <v>636</v>
      </c>
      <c r="AT12" s="4247"/>
      <c r="AU12" s="4244"/>
      <c r="AV12" s="4248"/>
      <c r="AW12" s="3624"/>
      <c r="AX12" s="4248"/>
      <c r="AY12" s="4249"/>
      <c r="AZ12" s="4230"/>
      <c r="BA12" s="4236"/>
      <c r="BB12" s="1291" t="str">
        <f>I11</f>
        <v>底商</v>
      </c>
      <c r="BC12" s="4250">
        <f>K11</f>
        <v>0</v>
      </c>
      <c r="BD12" s="4250">
        <f>M11</f>
        <v>0</v>
      </c>
      <c r="BE12" s="4224">
        <f>O11</f>
        <v>0</v>
      </c>
      <c r="BF12" s="4224">
        <f>Q11</f>
        <v>0</v>
      </c>
      <c r="BG12" s="4224">
        <f>S11</f>
        <v>0</v>
      </c>
      <c r="BH12" s="4224">
        <f>U11</f>
        <v>0</v>
      </c>
      <c r="BI12" s="4224">
        <f>W11</f>
        <v>0</v>
      </c>
      <c r="BJ12" s="4224">
        <f>Y11</f>
        <v>0</v>
      </c>
      <c r="BK12" s="4224">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43">
        <f>AR11</f>
        <v>0</v>
      </c>
    </row>
    <row r="13" s="4192" customFormat="1" ht="12.75" spans="1:72">
      <c r="A13" s="4203"/>
      <c r="B13" s="4203"/>
      <c r="C13" s="4203"/>
      <c r="D13" s="4251" t="s">
        <v>637</v>
      </c>
      <c r="E13" s="2366">
        <f>IF($C$3="是",ROUND($A$3*G13/$B$3,2),ROUND($A$3*(G13-AT13)/$B$3,2))</f>
        <v>0</v>
      </c>
      <c r="F13" s="2309"/>
      <c r="G13" s="945">
        <f>H13+AC13+AT13</f>
        <v>138.87</v>
      </c>
      <c r="H13" s="4211">
        <f>SUMIF(I$12:AB$12,"总值",I13:AB13)</f>
        <v>138.87</v>
      </c>
      <c r="I13" s="4252">
        <v>138.87</v>
      </c>
      <c r="J13" s="4252"/>
      <c r="K13" s="4252"/>
      <c r="L13" s="4252"/>
      <c r="M13" s="4252"/>
      <c r="N13" s="4252"/>
      <c r="O13" s="4252"/>
      <c r="P13" s="4252"/>
      <c r="Q13" s="4252"/>
      <c r="R13" s="4252"/>
      <c r="S13" s="4252"/>
      <c r="T13" s="4252"/>
      <c r="U13" s="4252"/>
      <c r="V13" s="4252"/>
      <c r="W13" s="4252"/>
      <c r="X13" s="4252"/>
      <c r="Y13" s="4252"/>
      <c r="Z13" s="4252"/>
      <c r="AA13" s="4252"/>
      <c r="AB13" s="4252"/>
      <c r="AC13" s="2366">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366">
        <f t="shared" ref="AV13:AX17" si="6">A13</f>
        <v>0</v>
      </c>
      <c r="AW13" s="2366">
        <f t="shared" si="6"/>
        <v>0</v>
      </c>
      <c r="AX13" s="2366">
        <f t="shared" si="6"/>
        <v>0</v>
      </c>
      <c r="AY13" s="3439">
        <f>ROUND($AY$6*AZ13/$AZ$5,2)</f>
        <v>0</v>
      </c>
      <c r="AZ13" s="4255">
        <f>BA13+BL13</f>
        <v>138.87</v>
      </c>
      <c r="BA13" s="4255">
        <f>SUM(BB13:BK13)</f>
        <v>138.87</v>
      </c>
      <c r="BB13" s="4255">
        <f>IF($D13="是",I13-J13,0)</f>
        <v>138.87</v>
      </c>
      <c r="BC13" s="4255">
        <f>IF($D13="是",K13-L13,0)</f>
        <v>0</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2.75" spans="1:72">
      <c r="A14" s="4203"/>
      <c r="B14" s="4203"/>
      <c r="C14" s="4252"/>
      <c r="D14" s="4251"/>
      <c r="E14" s="2366">
        <f>IF($C$3="是",ROUND($A$3*G14/$B$3,2),ROUND($A$3*(G14-AT14)/$B$3,2))</f>
        <v>0</v>
      </c>
      <c r="F14" s="2309"/>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366">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366">
        <f t="shared" si="6"/>
        <v>0</v>
      </c>
      <c r="AW14" s="2366">
        <f t="shared" si="6"/>
        <v>0</v>
      </c>
      <c r="AX14" s="2366">
        <f t="shared" si="6"/>
        <v>0</v>
      </c>
      <c r="AY14" s="3439">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2.75" spans="1:72">
      <c r="A15" s="4203"/>
      <c r="B15" s="4203"/>
      <c r="C15" s="4252"/>
      <c r="D15" s="4251"/>
      <c r="E15" s="2366">
        <f>IF($C$3="是",ROUND($A$3*G15/$B$3,2),ROUND($A$3*(G15-AT15)/$B$3,2))</f>
        <v>0</v>
      </c>
      <c r="F15" s="2309"/>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366">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366">
        <f t="shared" si="6"/>
        <v>0</v>
      </c>
      <c r="AW15" s="2366">
        <f t="shared" si="6"/>
        <v>0</v>
      </c>
      <c r="AX15" s="2366">
        <f t="shared" si="6"/>
        <v>0</v>
      </c>
      <c r="AY15" s="3439">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2.75" spans="1:72">
      <c r="A16" s="4203"/>
      <c r="B16" s="4203"/>
      <c r="C16" s="4252"/>
      <c r="D16" s="4251"/>
      <c r="E16" s="2366">
        <f>IF($C$3="是",ROUND($A$3*G16/$B$3,2),ROUND($A$3*(G16-AT16)/$B$3,2))</f>
        <v>0</v>
      </c>
      <c r="F16" s="2309"/>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366">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366">
        <f t="shared" si="6"/>
        <v>0</v>
      </c>
      <c r="AW16" s="2366">
        <f t="shared" si="6"/>
        <v>0</v>
      </c>
      <c r="AX16" s="2366">
        <f t="shared" si="6"/>
        <v>0</v>
      </c>
      <c r="AY16" s="3439">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2.75" spans="1:72">
      <c r="A17" s="4203"/>
      <c r="B17" s="4203"/>
      <c r="C17" s="4252"/>
      <c r="D17" s="4251"/>
      <c r="E17" s="2366">
        <f>IF($C$3="是",ROUND($A$3*G17/$B$3,2),ROUND($A$3*(G17-AT17)/$B$3,2))</f>
        <v>0</v>
      </c>
      <c r="F17" s="2309"/>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366">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366">
        <f t="shared" si="6"/>
        <v>0</v>
      </c>
      <c r="AW17" s="2366">
        <f t="shared" si="6"/>
        <v>0</v>
      </c>
      <c r="AX17" s="2366">
        <f t="shared" si="6"/>
        <v>0</v>
      </c>
      <c r="AY17" s="3439">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5">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5">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5">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5">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5">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5">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5">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5">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5">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5">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5">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5">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5">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5">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5">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5">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5">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5">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5">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5">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5">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5">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5">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5">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5">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5">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5">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5">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5">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5">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5">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5">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5">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5">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5">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5">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5">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5">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5">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5">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5">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5">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5">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5">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5">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5">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5">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5">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5">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5">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5">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5">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5">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5">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5">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5">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5">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5">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5">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5">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5">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5">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5">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5">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5">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5">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5">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5">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5">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5">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5">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5">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5">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5">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5">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5">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5">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5">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5">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5">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5">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5">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5">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5">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5">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5">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5">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5">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5">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5">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5">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5">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5">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5">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5">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5">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5">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5">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5">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5">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5">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5">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5">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5">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5">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5">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5">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5">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5">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5">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5">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5">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5">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5">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5">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5">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5">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5">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5">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5">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5">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5">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5">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5">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5">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5">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5">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5">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5">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5">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5">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5">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5">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5">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5">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5">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5">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5">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5">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5">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5">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5">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5">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5">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5">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5">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5">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5">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5">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5">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5">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5">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5">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5">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5">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5">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5">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5">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5">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5">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5">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5">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5">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5">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5">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5">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5">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5">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5">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5">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5">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5">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5">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5">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5">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5">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5">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5">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5">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5">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5">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5">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5">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5">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5">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5">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5">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5">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5">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5">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5">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5">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5">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5">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5">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5">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5">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5">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5">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5">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5">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5">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5">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5">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5">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5">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5">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5">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5">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5">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5">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5">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5">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5">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5">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5">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5">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5">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5">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5">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5">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5">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5">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5">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5">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5">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5">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5">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5">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5">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5">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5">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5">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5">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5">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5">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5">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5">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5">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5">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5">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5">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5">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5">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5">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5">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5">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5">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5">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5">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5">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5">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5">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5">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5">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5">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5">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5">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5">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5">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5">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5">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5">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5">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5">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5">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5">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5">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5">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5">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5">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5">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5">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5">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5">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5">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5">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5">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5">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5">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5">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5">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5">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5">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5">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5">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5">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5">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5">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5">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5">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5">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5">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5">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5">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5">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5">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5">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5">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5">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5">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5">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5">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5">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5">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5">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5">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5">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5">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5">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5">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5">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5">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5">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5">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5">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5">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5">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5">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5">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5">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5">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5">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5">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5">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5">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5">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5">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5">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5">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5">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5">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5">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5">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5">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5">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5">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5">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5">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5">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5">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5">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5">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5">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5">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5">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5">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5">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5">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5">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5">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5">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5">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5">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5">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5">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5">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5">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5">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5">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5">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5">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5">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5">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5">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5">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5">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5">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5">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5">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5">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5">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5">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5">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5">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5">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5">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5">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5">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5">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5">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5">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5">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5">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5">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5">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5">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5">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5">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5">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5">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5">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5">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5">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5">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5">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5">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5">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5">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5">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5">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5">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5">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5">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5">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5">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5">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5">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5">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5">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5">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5">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5">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5">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5">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5">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5">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5">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5">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5">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5">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5">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5">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5">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5">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5">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5">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5">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5">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5">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5">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5">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5">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5">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5">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5">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5">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5">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5">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5">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5">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5">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5">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5">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5">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5">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5">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5">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5">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5">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5">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5">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5">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5">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5">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5">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5">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5">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5">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5">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5">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5">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5">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5">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5">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5">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5">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5">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5">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5">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5">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5">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5">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5">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5">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5">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5">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5">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5">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5">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5">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5">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5">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5">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5">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5">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5">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5">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5">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5">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5">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5">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5">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5">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5">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5">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5">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5">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5">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5">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5">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5">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5">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5">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5">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5">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5">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5">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5">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5">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5">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5">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5">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5">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5">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5">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5">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5">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5">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5">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5">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5">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5">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5">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5">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5">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5">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5">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5">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5">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5">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5">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5">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5">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5">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5">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5">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5">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5">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5">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5">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5">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5">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5">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5">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5">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5">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5">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5">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5">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5">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5">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5">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5">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5">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5">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5">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5">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5">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5">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5">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5">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5">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5">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5">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5">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5">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5">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5">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5">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14" customWidth="1"/>
    <col min="2" max="2" width="10.25" style="4114" customWidth="1"/>
    <col min="3" max="3" width="18.5" style="4114" customWidth="1"/>
    <col min="4" max="4" width="11.625" style="4114" customWidth="1"/>
    <col min="5" max="5" width="13.375" style="4114" customWidth="1"/>
    <col min="6" max="8" width="11.5" style="4114" customWidth="1"/>
    <col min="9" max="9" width="11.125" style="4114" customWidth="1"/>
    <col min="10" max="10" width="3.125" style="4115" customWidth="1"/>
    <col min="11" max="16" width="10" style="4114" customWidth="1"/>
    <col min="17" max="17" width="2.625" style="4114" customWidth="1"/>
    <col min="18" max="18" width="9.625" style="4114" customWidth="1"/>
    <col min="19" max="19" width="10.625" style="4114" customWidth="1"/>
    <col min="20" max="16384" width="9.25" style="4114"/>
  </cols>
  <sheetData>
    <row r="1" ht="19.5" spans="1:16">
      <c r="A1" s="3424" t="s">
        <v>638</v>
      </c>
      <c r="B1" s="3521"/>
      <c r="C1" s="3521"/>
      <c r="D1" s="3521"/>
      <c r="E1" s="3521"/>
      <c r="F1" s="3521"/>
      <c r="G1" s="3521"/>
      <c r="H1" s="3521"/>
      <c r="I1" s="3521"/>
      <c r="J1" s="3521"/>
      <c r="K1" s="3521"/>
      <c r="L1" s="3521"/>
      <c r="M1" s="3521"/>
      <c r="N1" s="3521"/>
      <c r="O1" s="3521"/>
      <c r="P1" s="3521"/>
    </row>
    <row r="2" spans="1:16">
      <c r="A2" s="755" t="s">
        <v>639</v>
      </c>
      <c r="B2" s="755"/>
      <c r="C2" s="755"/>
      <c r="D2" s="755" t="s">
        <v>640</v>
      </c>
      <c r="E2" s="4116" t="s">
        <v>641</v>
      </c>
      <c r="F2" s="4117"/>
      <c r="G2" s="4118"/>
      <c r="H2" s="4119"/>
      <c r="I2" s="3733" t="s">
        <v>642</v>
      </c>
      <c r="J2" s="4117"/>
      <c r="K2" s="4117"/>
      <c r="L2" s="4117"/>
      <c r="M2" s="4117"/>
      <c r="N2" s="1651"/>
      <c r="O2" s="4117"/>
      <c r="P2" s="4117"/>
    </row>
    <row r="3" ht="15.75" spans="1:16">
      <c r="A3" s="4120" t="s">
        <v>643</v>
      </c>
      <c r="B3" s="4120"/>
      <c r="C3" s="4120"/>
      <c r="D3" s="4121">
        <f>'数据-基础表'!AY6</f>
        <v>0</v>
      </c>
      <c r="E3" s="4121">
        <f>'数据-基础表'!AZ5</f>
        <v>138.87</v>
      </c>
      <c r="F3" s="4117"/>
      <c r="G3" s="4122"/>
      <c r="H3" s="3459" t="s">
        <v>644</v>
      </c>
      <c r="I3" s="4123" t="e">
        <f>ROUND('数据-基础表'!B3/'数据-基础表'!A3,2)</f>
        <v>#DIV/0!</v>
      </c>
      <c r="J3" s="4117"/>
      <c r="K3" s="4117"/>
      <c r="L3" s="4117"/>
      <c r="M3" s="4117"/>
      <c r="N3" s="1651"/>
      <c r="O3" s="4117"/>
      <c r="P3" s="4117"/>
    </row>
    <row r="4" ht="15" spans="1:16">
      <c r="A4" s="3731"/>
      <c r="B4" s="3732"/>
      <c r="C4" s="4124"/>
      <c r="D4" s="1341" t="s">
        <v>640</v>
      </c>
      <c r="E4" s="4125" t="s">
        <v>641</v>
      </c>
      <c r="F4" s="4117"/>
      <c r="G4" s="4126" t="s">
        <v>645</v>
      </c>
      <c r="H4" s="3459" t="s">
        <v>646</v>
      </c>
      <c r="I4" s="4123" t="e">
        <f>ROUND(SUMIF('数据-基础表'!I9:AS9,"地上",'数据-基础表'!I5:AS5)/'数据-基础表'!A3,2)</f>
        <v>#DIV/0!</v>
      </c>
      <c r="J4" s="4117"/>
      <c r="K4" s="4117"/>
      <c r="L4" s="4117"/>
      <c r="M4" s="4117"/>
      <c r="N4" s="1651"/>
      <c r="O4" s="4117"/>
      <c r="P4" s="4117"/>
    </row>
    <row r="5" spans="1:16">
      <c r="A5" s="4127" t="s">
        <v>647</v>
      </c>
      <c r="B5" s="1443" t="s">
        <v>648</v>
      </c>
      <c r="C5" s="1443"/>
      <c r="D5" s="3960">
        <f>ROUND($D$3*E5/$E$3,2)</f>
        <v>0</v>
      </c>
      <c r="E5" s="3760">
        <f>SUMIF('数据-基础表'!$11:$11,"住宅",'数据-基础表'!$5:$5)</f>
        <v>0</v>
      </c>
      <c r="F5" s="4117"/>
      <c r="G5" s="4122"/>
      <c r="H5" s="3459" t="s">
        <v>644</v>
      </c>
      <c r="I5" s="4123" t="e">
        <f>ROUND(E31/D31,2)</f>
        <v>#DIV/0!</v>
      </c>
      <c r="J5" s="4117"/>
      <c r="K5" s="4117"/>
      <c r="L5" s="4117"/>
      <c r="M5" s="4117"/>
      <c r="N5" s="4117"/>
      <c r="O5" s="4117"/>
      <c r="P5" s="4117"/>
    </row>
    <row r="6" ht="15" spans="1:16">
      <c r="A6" s="4128"/>
      <c r="B6" s="1443" t="s">
        <v>649</v>
      </c>
      <c r="C6" s="1443"/>
      <c r="D6" s="3960">
        <f>ROUND($D$3*E6/$E$3,2)</f>
        <v>0</v>
      </c>
      <c r="E6" s="3760">
        <f>E3-E5</f>
        <v>138.87</v>
      </c>
      <c r="F6" s="4117"/>
      <c r="G6" s="4129" t="s">
        <v>650</v>
      </c>
      <c r="H6" s="3465" t="s">
        <v>646</v>
      </c>
      <c r="I6" s="4130" t="e">
        <f>ROUND(F31/D31,2)</f>
        <v>#DIV/0!</v>
      </c>
      <c r="J6" s="4117"/>
      <c r="K6" s="4117"/>
      <c r="L6" s="4117"/>
      <c r="M6" s="4117"/>
      <c r="N6" s="4117"/>
      <c r="O6" s="4117"/>
      <c r="P6" s="4117"/>
    </row>
    <row r="7" ht="15" spans="1:16">
      <c r="A7" s="4131"/>
      <c r="B7" s="4132"/>
      <c r="C7" s="4133"/>
      <c r="D7" s="1341" t="s">
        <v>640</v>
      </c>
      <c r="E7" s="4134" t="s">
        <v>651</v>
      </c>
      <c r="F7" s="4117"/>
      <c r="G7" s="4135" t="s">
        <v>652</v>
      </c>
      <c r="H7" s="4136"/>
      <c r="I7" s="4137"/>
      <c r="J7" s="4117"/>
      <c r="K7" s="4117"/>
      <c r="L7" s="4117"/>
      <c r="M7" s="4117"/>
      <c r="N7" s="4117"/>
      <c r="O7" s="4117"/>
      <c r="P7" s="4117"/>
    </row>
    <row r="8" spans="1:16">
      <c r="A8" s="4127" t="s">
        <v>653</v>
      </c>
      <c r="B8" s="4138" t="s">
        <v>654</v>
      </c>
      <c r="C8" s="1275" t="s">
        <v>655</v>
      </c>
      <c r="D8" s="3960">
        <f t="shared" ref="D8:D15" si="0">ROUND($D$3*E8/$E$3,2)</f>
        <v>0</v>
      </c>
      <c r="E8" s="3760">
        <f>SUMIF('数据-基础表'!BB10:BK10,"地上",'数据-基础表'!BB5:BK5)</f>
        <v>138.87</v>
      </c>
      <c r="F8" s="4117"/>
      <c r="G8" s="4139"/>
      <c r="H8" s="4139"/>
      <c r="I8" s="4117"/>
      <c r="J8" s="4117"/>
      <c r="K8" s="4117"/>
      <c r="L8" s="4117"/>
      <c r="M8" s="4117"/>
      <c r="N8" s="4117"/>
      <c r="O8" s="4117"/>
      <c r="P8" s="4117"/>
    </row>
    <row r="9" spans="1:16">
      <c r="A9" s="4140"/>
      <c r="B9" s="4141"/>
      <c r="C9" s="1275" t="s">
        <v>656</v>
      </c>
      <c r="D9" s="3960">
        <f t="shared" si="0"/>
        <v>0</v>
      </c>
      <c r="E9" s="4142"/>
      <c r="F9" s="4117"/>
      <c r="G9" s="4139"/>
      <c r="H9" s="4139"/>
      <c r="I9" s="4117"/>
      <c r="J9" s="4117"/>
      <c r="K9" s="4117"/>
      <c r="L9" s="4117"/>
      <c r="M9" s="4117"/>
      <c r="N9" s="4117"/>
      <c r="O9" s="4117"/>
      <c r="P9" s="4117"/>
    </row>
    <row r="10" spans="1:16">
      <c r="A10" s="4140"/>
      <c r="B10" s="4141"/>
      <c r="C10" s="1275" t="s">
        <v>657</v>
      </c>
      <c r="D10" s="3960">
        <f t="shared" si="0"/>
        <v>0</v>
      </c>
      <c r="E10" s="3760">
        <f>SUMPRODUCT(('数据-基础表'!BB10:BK10="地下")*('数据-基础表'!BB11:BK11="商业")*('数据-基础表'!BB5:BK5))</f>
        <v>0</v>
      </c>
      <c r="F10" s="4117"/>
      <c r="G10" s="4139"/>
      <c r="H10" s="4139"/>
      <c r="I10" s="4117"/>
      <c r="J10" s="4117"/>
      <c r="K10" s="4117"/>
      <c r="L10" s="4117"/>
      <c r="M10" s="4117"/>
      <c r="N10" s="4117"/>
      <c r="O10" s="4117"/>
      <c r="P10" s="4117"/>
    </row>
    <row r="11" spans="1:16">
      <c r="A11" s="4140"/>
      <c r="B11" s="4141"/>
      <c r="C11" s="1275" t="s">
        <v>658</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spans="1:16">
      <c r="A12" s="4140"/>
      <c r="B12" s="4141"/>
      <c r="C12" s="1275" t="s">
        <v>659</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spans="1:16">
      <c r="A13" s="4140"/>
      <c r="B13" s="4141"/>
      <c r="C13" s="1275" t="s">
        <v>660</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spans="1:16">
      <c r="A14" s="4140"/>
      <c r="B14" s="4141"/>
      <c r="C14" s="1275" t="s">
        <v>661</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 spans="1:16">
      <c r="A15" s="4140"/>
      <c r="B15" s="4141"/>
      <c r="C15" s="1275" t="s">
        <v>662</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 spans="1:16">
      <c r="A16" s="4128"/>
      <c r="B16" s="4141"/>
      <c r="C16" s="4138" t="s">
        <v>663</v>
      </c>
      <c r="D16" s="3450">
        <f>SUM(D8:D15)</f>
        <v>0</v>
      </c>
      <c r="E16" s="4143">
        <f>SUM(E8:E15)</f>
        <v>138.87</v>
      </c>
      <c r="F16" s="4117"/>
      <c r="G16" s="4139"/>
      <c r="H16" s="4144" t="s">
        <v>664</v>
      </c>
      <c r="I16" s="4145"/>
      <c r="J16" s="3521"/>
      <c r="K16" s="4146" t="s">
        <v>664</v>
      </c>
      <c r="L16" s="4147"/>
      <c r="M16" s="4147"/>
      <c r="N16" s="4147"/>
      <c r="O16" s="4147"/>
      <c r="P16" s="4148"/>
    </row>
    <row r="17" ht="15" spans="1:19">
      <c r="A17" s="3926" t="s">
        <v>665</v>
      </c>
      <c r="B17" s="4149" t="s">
        <v>666</v>
      </c>
      <c r="C17" s="3925" t="s">
        <v>667</v>
      </c>
      <c r="D17" s="4147" t="s">
        <v>640</v>
      </c>
      <c r="E17" s="4150" t="s">
        <v>641</v>
      </c>
      <c r="F17" s="4151"/>
      <c r="G17" s="4152"/>
      <c r="H17" s="4153" t="s">
        <v>668</v>
      </c>
      <c r="I17" s="4154" t="s">
        <v>669</v>
      </c>
      <c r="J17" s="3521"/>
      <c r="K17" s="4155" t="s">
        <v>670</v>
      </c>
      <c r="L17" s="4156"/>
      <c r="M17" s="4157"/>
      <c r="N17" s="4155" t="s">
        <v>671</v>
      </c>
      <c r="O17" s="4156"/>
      <c r="P17" s="4157"/>
      <c r="R17" s="4158" t="s">
        <v>672</v>
      </c>
      <c r="S17" s="4159"/>
    </row>
    <row r="18" ht="15" spans="1:19">
      <c r="A18" s="4140"/>
      <c r="B18" s="4160"/>
      <c r="C18" s="4161"/>
      <c r="D18" s="4162"/>
      <c r="E18" s="4163" t="s">
        <v>673</v>
      </c>
      <c r="F18" s="4164" t="s">
        <v>646</v>
      </c>
      <c r="G18" s="4165" t="s">
        <v>674</v>
      </c>
      <c r="H18" s="3969" t="s">
        <v>675</v>
      </c>
      <c r="I18" s="4166" t="s">
        <v>676</v>
      </c>
      <c r="J18" s="3521"/>
      <c r="K18" s="3969" t="s">
        <v>677</v>
      </c>
      <c r="L18" s="3754" t="s">
        <v>678</v>
      </c>
      <c r="M18" s="2117" t="s">
        <v>679</v>
      </c>
      <c r="N18" s="3969" t="s">
        <v>677</v>
      </c>
      <c r="O18" s="3754" t="s">
        <v>678</v>
      </c>
      <c r="P18" s="2117" t="s">
        <v>679</v>
      </c>
      <c r="R18" s="3459" t="s">
        <v>675</v>
      </c>
      <c r="S18" s="3459" t="s">
        <v>676</v>
      </c>
    </row>
    <row r="19" spans="1:19">
      <c r="A19" s="4167"/>
      <c r="B19" s="4138" t="s">
        <v>680</v>
      </c>
      <c r="C19" s="4168" t="s">
        <v>229</v>
      </c>
      <c r="D19" s="3960">
        <f>ROUND($D$3*E19/$E$3,2)</f>
        <v>0</v>
      </c>
      <c r="E19" s="3960">
        <f t="shared" ref="E19:E26" si="1">SUM(F19:G19)</f>
        <v>138.87</v>
      </c>
      <c r="F19" s="4169">
        <f>'数据-基础表'!I13</f>
        <v>138.87</v>
      </c>
      <c r="G19" s="3532"/>
      <c r="H19" s="4170">
        <f>ROUND($D$3*I19/$E$3,2)</f>
        <v>0</v>
      </c>
      <c r="I19" s="3760">
        <f t="shared" ref="I19:I26" si="2">IF($I$17="自定义",P19,M19)</f>
        <v>0</v>
      </c>
      <c r="J19" s="3521"/>
      <c r="K19" s="4170">
        <f t="shared" ref="K19:K26" si="3">ROUND(E$28*E19/E$27,2)</f>
        <v>0</v>
      </c>
      <c r="L19" s="3960">
        <f t="shared" ref="L19:L26" si="4">ROUND(IF(COUNTIF(C19,"*住宅*")&gt;0,E$29*E19/E$32,0),2)</f>
        <v>0</v>
      </c>
      <c r="M19" s="3760">
        <f>K19+L19</f>
        <v>0</v>
      </c>
      <c r="N19" s="4171"/>
      <c r="O19" s="3442"/>
      <c r="P19" s="3760">
        <f>N19+O19</f>
        <v>0</v>
      </c>
      <c r="R19" s="3960">
        <f t="shared" ref="R19:S26" si="5">D19+H19</f>
        <v>0</v>
      </c>
      <c r="S19" s="3960">
        <f t="shared" si="5"/>
        <v>138.87</v>
      </c>
    </row>
    <row r="20" spans="1:19">
      <c r="A20" s="4172"/>
      <c r="B20" s="4138" t="s">
        <v>680</v>
      </c>
      <c r="C20" s="4168"/>
      <c r="D20" s="3960">
        <f t="shared" ref="D20:D26" si="6">ROUND($D$3*E20/$E$3,2)</f>
        <v>0</v>
      </c>
      <c r="E20" s="3960">
        <f t="shared" si="1"/>
        <v>0</v>
      </c>
      <c r="F20" s="4169"/>
      <c r="G20" s="3532"/>
      <c r="H20" s="4170">
        <f t="shared" ref="H20:H26" si="7">ROUND($D$3*I20/$E$3,2)</f>
        <v>0</v>
      </c>
      <c r="I20" s="3760">
        <f t="shared" si="2"/>
        <v>0</v>
      </c>
      <c r="J20" s="3521"/>
      <c r="K20" s="4170">
        <f t="shared" si="3"/>
        <v>0</v>
      </c>
      <c r="L20" s="3960">
        <f t="shared" si="4"/>
        <v>0</v>
      </c>
      <c r="M20" s="3760">
        <f t="shared" ref="M20:M26" si="8">K20+L20</f>
        <v>0</v>
      </c>
      <c r="N20" s="4171"/>
      <c r="O20" s="3442"/>
      <c r="P20" s="3760">
        <f t="shared" ref="P20:P26" si="9">N20+O20</f>
        <v>0</v>
      </c>
      <c r="R20" s="3960">
        <f t="shared" si="5"/>
        <v>0</v>
      </c>
      <c r="S20" s="3960">
        <f t="shared" si="5"/>
        <v>0</v>
      </c>
    </row>
    <row r="21" spans="1:19">
      <c r="A21" s="4172"/>
      <c r="B21" s="4138" t="s">
        <v>680</v>
      </c>
      <c r="C21" s="4168"/>
      <c r="D21" s="3960">
        <f t="shared" si="6"/>
        <v>0</v>
      </c>
      <c r="E21" s="3960">
        <f t="shared" si="1"/>
        <v>0</v>
      </c>
      <c r="F21" s="4169"/>
      <c r="G21" s="3532"/>
      <c r="H21" s="4170">
        <f t="shared" si="7"/>
        <v>0</v>
      </c>
      <c r="I21" s="3760">
        <f t="shared" si="2"/>
        <v>0</v>
      </c>
      <c r="J21" s="3521"/>
      <c r="K21" s="4170">
        <f t="shared" si="3"/>
        <v>0</v>
      </c>
      <c r="L21" s="3960">
        <f t="shared" si="4"/>
        <v>0</v>
      </c>
      <c r="M21" s="3760">
        <f t="shared" si="8"/>
        <v>0</v>
      </c>
      <c r="N21" s="4171"/>
      <c r="O21" s="3442"/>
      <c r="P21" s="3760">
        <f t="shared" si="9"/>
        <v>0</v>
      </c>
      <c r="R21" s="3960">
        <f t="shared" si="5"/>
        <v>0</v>
      </c>
      <c r="S21" s="3960">
        <f t="shared" si="5"/>
        <v>0</v>
      </c>
    </row>
    <row r="22" spans="1:19">
      <c r="A22" s="4172"/>
      <c r="B22" s="4138" t="s">
        <v>680</v>
      </c>
      <c r="C22" s="4173"/>
      <c r="D22" s="3960">
        <f t="shared" si="6"/>
        <v>0</v>
      </c>
      <c r="E22" s="3960">
        <f t="shared" si="1"/>
        <v>0</v>
      </c>
      <c r="F22" s="4174"/>
      <c r="G22" s="4175"/>
      <c r="H22" s="4170">
        <f t="shared" si="7"/>
        <v>0</v>
      </c>
      <c r="I22" s="3760">
        <f t="shared" si="2"/>
        <v>0</v>
      </c>
      <c r="J22" s="3521"/>
      <c r="K22" s="4170">
        <f t="shared" si="3"/>
        <v>0</v>
      </c>
      <c r="L22" s="3960">
        <f t="shared" si="4"/>
        <v>0</v>
      </c>
      <c r="M22" s="3760">
        <f t="shared" si="8"/>
        <v>0</v>
      </c>
      <c r="N22" s="4171"/>
      <c r="O22" s="3442"/>
      <c r="P22" s="3760">
        <f t="shared" si="9"/>
        <v>0</v>
      </c>
      <c r="R22" s="3960">
        <f t="shared" si="5"/>
        <v>0</v>
      </c>
      <c r="S22" s="3960">
        <f t="shared" si="5"/>
        <v>0</v>
      </c>
    </row>
    <row r="23" spans="1:19">
      <c r="A23" s="4172"/>
      <c r="B23" s="4138" t="s">
        <v>680</v>
      </c>
      <c r="C23" s="4173"/>
      <c r="D23" s="3960">
        <f t="shared" si="6"/>
        <v>0</v>
      </c>
      <c r="E23" s="3960">
        <f t="shared" si="1"/>
        <v>0</v>
      </c>
      <c r="F23" s="4174"/>
      <c r="G23" s="4175"/>
      <c r="H23" s="4170">
        <f t="shared" si="7"/>
        <v>0</v>
      </c>
      <c r="I23" s="3760">
        <f t="shared" si="2"/>
        <v>0</v>
      </c>
      <c r="J23" s="3521"/>
      <c r="K23" s="4170">
        <f t="shared" si="3"/>
        <v>0</v>
      </c>
      <c r="L23" s="3960">
        <f t="shared" si="4"/>
        <v>0</v>
      </c>
      <c r="M23" s="3760">
        <f t="shared" si="8"/>
        <v>0</v>
      </c>
      <c r="N23" s="4171"/>
      <c r="O23" s="3442"/>
      <c r="P23" s="3760">
        <f t="shared" si="9"/>
        <v>0</v>
      </c>
      <c r="R23" s="3960">
        <f t="shared" si="5"/>
        <v>0</v>
      </c>
      <c r="S23" s="3960">
        <f t="shared" si="5"/>
        <v>0</v>
      </c>
    </row>
    <row r="24" spans="1:19">
      <c r="A24" s="4172"/>
      <c r="B24" s="4138" t="s">
        <v>680</v>
      </c>
      <c r="C24" s="4173"/>
      <c r="D24" s="3960">
        <f t="shared" si="6"/>
        <v>0</v>
      </c>
      <c r="E24" s="3960">
        <f t="shared" si="1"/>
        <v>0</v>
      </c>
      <c r="F24" s="4174"/>
      <c r="G24" s="4175"/>
      <c r="H24" s="4170">
        <f t="shared" si="7"/>
        <v>0</v>
      </c>
      <c r="I24" s="3760">
        <f t="shared" si="2"/>
        <v>0</v>
      </c>
      <c r="J24" s="3521"/>
      <c r="K24" s="4170">
        <f t="shared" si="3"/>
        <v>0</v>
      </c>
      <c r="L24" s="3960">
        <f t="shared" si="4"/>
        <v>0</v>
      </c>
      <c r="M24" s="3760">
        <f t="shared" si="8"/>
        <v>0</v>
      </c>
      <c r="N24" s="4171"/>
      <c r="O24" s="3442"/>
      <c r="P24" s="3760">
        <f t="shared" si="9"/>
        <v>0</v>
      </c>
      <c r="R24" s="3960">
        <f t="shared" si="5"/>
        <v>0</v>
      </c>
      <c r="S24" s="3960">
        <f t="shared" si="5"/>
        <v>0</v>
      </c>
    </row>
    <row r="25" spans="1:19">
      <c r="A25" s="4172"/>
      <c r="B25" s="4138" t="s">
        <v>680</v>
      </c>
      <c r="C25" s="4173"/>
      <c r="D25" s="3960">
        <f t="shared" si="6"/>
        <v>0</v>
      </c>
      <c r="E25" s="3960">
        <f t="shared" si="1"/>
        <v>0</v>
      </c>
      <c r="F25" s="4174"/>
      <c r="G25" s="4175"/>
      <c r="H25" s="4176">
        <f t="shared" si="7"/>
        <v>0</v>
      </c>
      <c r="I25" s="3760">
        <f t="shared" si="2"/>
        <v>0</v>
      </c>
      <c r="J25" s="3521"/>
      <c r="K25" s="4170">
        <f t="shared" si="3"/>
        <v>0</v>
      </c>
      <c r="L25" s="3960">
        <f t="shared" si="4"/>
        <v>0</v>
      </c>
      <c r="M25" s="3760">
        <f t="shared" si="8"/>
        <v>0</v>
      </c>
      <c r="N25" s="4171"/>
      <c r="O25" s="3442"/>
      <c r="P25" s="3760">
        <f t="shared" si="9"/>
        <v>0</v>
      </c>
      <c r="R25" s="3960">
        <f t="shared" si="5"/>
        <v>0</v>
      </c>
      <c r="S25" s="3960">
        <f t="shared" si="5"/>
        <v>0</v>
      </c>
    </row>
    <row r="26" spans="1:19">
      <c r="A26" s="4172"/>
      <c r="B26" s="4138" t="s">
        <v>680</v>
      </c>
      <c r="C26" s="4177"/>
      <c r="D26" s="3960">
        <f t="shared" si="6"/>
        <v>0</v>
      </c>
      <c r="E26" s="3960">
        <f t="shared" si="1"/>
        <v>0</v>
      </c>
      <c r="F26" s="4174"/>
      <c r="G26" s="4175"/>
      <c r="H26" s="4176">
        <f t="shared" si="7"/>
        <v>0</v>
      </c>
      <c r="I26" s="3760">
        <f t="shared" si="2"/>
        <v>0</v>
      </c>
      <c r="J26" s="3521"/>
      <c r="K26" s="4176">
        <f t="shared" si="3"/>
        <v>0</v>
      </c>
      <c r="L26" s="3450">
        <f t="shared" si="4"/>
        <v>0</v>
      </c>
      <c r="M26" s="4143">
        <f t="shared" si="8"/>
        <v>0</v>
      </c>
      <c r="N26" s="4178"/>
      <c r="O26" s="3441"/>
      <c r="P26" s="4143">
        <f t="shared" si="9"/>
        <v>0</v>
      </c>
      <c r="R26" s="3960">
        <f t="shared" si="5"/>
        <v>0</v>
      </c>
      <c r="S26" s="3960">
        <f t="shared" si="5"/>
        <v>0</v>
      </c>
    </row>
    <row r="27" ht="15.75" spans="1:19">
      <c r="A27" s="4172"/>
      <c r="B27" s="1275"/>
      <c r="C27" s="3738" t="s">
        <v>681</v>
      </c>
      <c r="D27" s="1313">
        <f>SUM(D19:D26)</f>
        <v>0</v>
      </c>
      <c r="E27" s="1313">
        <f>IF(SUM(E19:E26)='数据-基础表'!BA5,SUM(E19:E26),IF(F27="地上面积有误","面积有误","地下面积有误"))</f>
        <v>138.87</v>
      </c>
      <c r="F27" s="1313">
        <f>IF(SUM(F19:F26)=E8,SUM(F19:F26),"地上面积有误")</f>
        <v>138.87</v>
      </c>
      <c r="G27" s="3741">
        <f>SUM(G19:G26)</f>
        <v>0</v>
      </c>
      <c r="H27" s="4179">
        <f>SUM(H19:H26)</f>
        <v>0</v>
      </c>
      <c r="I27" s="4180">
        <f>SUM(I19:I26)</f>
        <v>0</v>
      </c>
      <c r="J27" s="3521"/>
      <c r="K27" s="4179">
        <f>SUM(K19:K26)</f>
        <v>0</v>
      </c>
      <c r="L27" s="4181">
        <f>SUM(L19:L26)</f>
        <v>0</v>
      </c>
      <c r="M27" s="4182">
        <f>SUM(M19:M26)</f>
        <v>0</v>
      </c>
      <c r="N27" s="4179">
        <f t="shared" ref="N27:P27" si="10">SUM(N19:N26)</f>
        <v>0</v>
      </c>
      <c r="O27" s="4181">
        <f t="shared" si="10"/>
        <v>0</v>
      </c>
      <c r="P27" s="3464">
        <f t="shared" si="10"/>
        <v>0</v>
      </c>
      <c r="R27" s="3440">
        <f>IF(SUM(R19:R26)=$D$3,SUM(R19:R26),SUM(R19:R26)&amp;"误差"&amp;ROUND(SUM(R19:R26)-$D$3,2))</f>
        <v>0</v>
      </c>
      <c r="S27" s="3960">
        <f>IF(SUM(S19:S26)=$E$3,SUM(S19:S26),SUM(S19:S26)&amp;"误差"&amp;ROUND(SUM(S19:S26)-E3,2))</f>
        <v>138.87</v>
      </c>
    </row>
    <row r="28" spans="1:19">
      <c r="A28" s="4172"/>
      <c r="B28" s="4138" t="s">
        <v>682</v>
      </c>
      <c r="C28" s="3997" t="s">
        <v>683</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spans="1:19">
      <c r="A29" s="4172"/>
      <c r="B29" s="4138" t="s">
        <v>682</v>
      </c>
      <c r="C29" s="1445" t="s">
        <v>684</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5" spans="1:19">
      <c r="A30" s="4172"/>
      <c r="B30" s="4138"/>
      <c r="C30" s="4185" t="s">
        <v>681</v>
      </c>
      <c r="D30" s="1313">
        <f>SUM(D28:D29)</f>
        <v>0</v>
      </c>
      <c r="E30" s="1313">
        <f>SUM(E28:E29)</f>
        <v>0</v>
      </c>
      <c r="F30" s="1313">
        <f>SUM(F28:F29)</f>
        <v>0</v>
      </c>
      <c r="G30" s="3741">
        <f>SUM(G28:G29)</f>
        <v>0</v>
      </c>
      <c r="H30" s="4117"/>
      <c r="I30" s="4117"/>
      <c r="J30" s="4117"/>
      <c r="K30" s="4117"/>
      <c r="L30" s="4117"/>
      <c r="M30" s="4117"/>
      <c r="N30" s="4117"/>
      <c r="O30" s="4117"/>
      <c r="P30" s="4117"/>
    </row>
    <row r="31" ht="15.75" spans="1:19">
      <c r="A31" s="4186"/>
      <c r="B31" s="4187"/>
      <c r="C31" s="4188" t="s">
        <v>685</v>
      </c>
      <c r="D31" s="4189">
        <f>D27+D30</f>
        <v>0</v>
      </c>
      <c r="E31" s="4189">
        <f>E27+E30</f>
        <v>138.87</v>
      </c>
      <c r="F31" s="4181">
        <f>F27+F30</f>
        <v>138.87</v>
      </c>
      <c r="G31" s="4182">
        <f>G27+G30</f>
        <v>0</v>
      </c>
      <c r="H31" s="4117"/>
      <c r="I31" s="4117"/>
      <c r="J31" s="4117"/>
      <c r="K31" s="4117"/>
      <c r="L31" s="4117"/>
      <c r="M31" s="4117"/>
      <c r="N31" s="4117"/>
      <c r="O31" s="4117"/>
      <c r="P31" s="4117"/>
    </row>
    <row r="32" spans="1:19">
      <c r="A32" s="4190"/>
      <c r="B32" s="4190" t="s">
        <v>686</v>
      </c>
      <c r="C32" s="4190"/>
      <c r="D32" s="3447"/>
      <c r="E32" s="3447">
        <f>SUMIF(C19:C26,"*住宅*",E19:E26)</f>
        <v>0</v>
      </c>
      <c r="F32" s="3447"/>
      <c r="G32" s="3447"/>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AB6" activePane="bottomRight" state="frozen"/>
      <selection/>
      <selection pane="topRight"/>
      <selection pane="bottomLeft"/>
      <selection pane="bottomRight" activeCell="AK7" sqref="AK7"/>
    </sheetView>
  </sheetViews>
  <sheetFormatPr defaultColWidth="13.75" defaultRowHeight="12.75"/>
  <cols>
    <col min="1" max="1" width="31.625" style="3900" customWidth="1"/>
    <col min="2" max="2" width="12" style="3901" customWidth="1"/>
    <col min="3" max="3" width="12.75" style="3901" customWidth="1"/>
    <col min="4" max="4" width="9.125" style="3902" customWidth="1"/>
    <col min="5" max="5" width="15" style="3901" customWidth="1"/>
    <col min="6" max="10" width="8.875" style="3901" customWidth="1"/>
    <col min="11" max="12" width="12.375" style="3903" customWidth="1"/>
    <col min="13" max="13" width="8.625" style="3901" customWidth="1"/>
    <col min="14" max="14" width="11.875" style="3901" customWidth="1"/>
    <col min="15" max="15" width="8.5" style="3901" customWidth="1"/>
    <col min="16" max="17" width="10.875" style="3901" customWidth="1"/>
    <col min="18" max="19" width="12.5" style="3901" customWidth="1"/>
    <col min="20" max="20" width="12.125" style="3901" customWidth="1"/>
    <col min="21" max="21" width="7.5" style="3901" customWidth="1"/>
    <col min="22" max="22" width="6.375" style="3901" customWidth="1"/>
    <col min="23" max="30" width="6.75" style="3901" customWidth="1"/>
    <col min="31" max="31" width="8" style="3901" customWidth="1"/>
    <col min="32" max="33" width="7.25" style="3901" customWidth="1"/>
    <col min="34" max="34" width="9.625" style="3901" customWidth="1"/>
    <col min="35" max="39" width="8" style="3901" customWidth="1"/>
    <col min="40" max="40" width="13.75" style="3899"/>
    <col min="41" max="45" width="14.375" style="3904" customWidth="1"/>
    <col min="46" max="67" width="13.75" style="3899"/>
    <col min="68" max="16384" width="13.75" style="3901"/>
  </cols>
  <sheetData>
    <row r="1" ht="19.5" spans="1:67">
      <c r="A1" s="3905" t="s">
        <v>687</v>
      </c>
      <c r="B1" s="3906"/>
      <c r="C1" s="713"/>
      <c r="D1" s="3907"/>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75" spans="1:67">
      <c r="A2" s="3909" t="s">
        <v>688</v>
      </c>
      <c r="B2" s="3910">
        <f>项目基本情况!D3</f>
        <v>46050</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 spans="1:67">
      <c r="A4" s="1996" t="s">
        <v>689</v>
      </c>
      <c r="B4" s="3466"/>
      <c r="C4" s="3919"/>
      <c r="D4" s="3920"/>
      <c r="E4" s="3919" t="s">
        <v>690</v>
      </c>
      <c r="F4" s="3919"/>
      <c r="G4" s="3919"/>
      <c r="H4" s="3919"/>
      <c r="I4" s="3919"/>
      <c r="J4" s="3921"/>
      <c r="K4" s="3922"/>
      <c r="L4" s="3923"/>
      <c r="M4" s="3919"/>
      <c r="N4" s="3919" t="s">
        <v>691</v>
      </c>
      <c r="O4" s="3919"/>
      <c r="P4" s="3919"/>
      <c r="Q4" s="3919"/>
      <c r="R4" s="3919"/>
      <c r="S4" s="3921"/>
      <c r="T4" s="3924" t="str">
        <f>'数据-汇总表'!I17</f>
        <v>按面积比例</v>
      </c>
      <c r="U4" s="3466" t="s">
        <v>692</v>
      </c>
      <c r="V4" s="3919"/>
      <c r="W4" s="3919"/>
      <c r="X4" s="3919"/>
      <c r="Y4" s="3921"/>
      <c r="Z4" s="3925" t="s">
        <v>693</v>
      </c>
      <c r="AA4" s="3925"/>
      <c r="AB4" s="3925"/>
      <c r="AC4" s="3925"/>
      <c r="AD4" s="3925"/>
      <c r="AE4" s="3926" t="s">
        <v>694</v>
      </c>
      <c r="AF4" s="3925"/>
      <c r="AG4" s="3927"/>
      <c r="AH4" s="3466"/>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2" spans="1:67">
      <c r="A5" s="3928" t="s">
        <v>667</v>
      </c>
      <c r="B5" s="3929" t="s">
        <v>666</v>
      </c>
      <c r="C5" s="3930" t="s">
        <v>695</v>
      </c>
      <c r="D5" s="3931" t="s">
        <v>696</v>
      </c>
      <c r="E5" s="1718" t="s">
        <v>697</v>
      </c>
      <c r="F5" s="3932" t="s">
        <v>698</v>
      </c>
      <c r="G5" s="1718" t="s">
        <v>699</v>
      </c>
      <c r="H5" s="1718" t="s">
        <v>700</v>
      </c>
      <c r="I5" s="1718" t="s">
        <v>701</v>
      </c>
      <c r="J5" s="1753" t="s">
        <v>702</v>
      </c>
      <c r="K5" s="3933" t="s">
        <v>676</v>
      </c>
      <c r="L5" s="3934" t="s">
        <v>703</v>
      </c>
      <c r="M5" s="3935" t="s">
        <v>704</v>
      </c>
      <c r="N5" s="3936" t="s">
        <v>705</v>
      </c>
      <c r="O5" s="3934" t="s">
        <v>706</v>
      </c>
      <c r="P5" s="3937" t="s">
        <v>707</v>
      </c>
      <c r="Q5" s="1916" t="s">
        <v>708</v>
      </c>
      <c r="R5" s="3938" t="s">
        <v>709</v>
      </c>
      <c r="S5" s="3939" t="s">
        <v>710</v>
      </c>
      <c r="T5" s="3940" t="s">
        <v>711</v>
      </c>
      <c r="U5" s="3941" t="s">
        <v>712</v>
      </c>
      <c r="V5" s="1718" t="s">
        <v>713</v>
      </c>
      <c r="W5" s="1718" t="s">
        <v>714</v>
      </c>
      <c r="X5" s="1897"/>
      <c r="Y5" s="1901" t="s">
        <v>715</v>
      </c>
      <c r="Z5" s="1643" t="s">
        <v>712</v>
      </c>
      <c r="AA5" s="1718" t="s">
        <v>713</v>
      </c>
      <c r="AB5" s="1718" t="s">
        <v>714</v>
      </c>
      <c r="AC5" s="1897"/>
      <c r="AD5" s="1897" t="s">
        <v>715</v>
      </c>
      <c r="AE5" s="3941" t="s">
        <v>716</v>
      </c>
      <c r="AF5" s="1718" t="s">
        <v>717</v>
      </c>
      <c r="AG5" s="1901" t="s">
        <v>718</v>
      </c>
      <c r="AH5" s="3941" t="s">
        <v>719</v>
      </c>
      <c r="AI5" s="1643" t="s">
        <v>720</v>
      </c>
      <c r="AJ5" s="1643" t="s">
        <v>721</v>
      </c>
      <c r="AK5" s="1718" t="s">
        <v>722</v>
      </c>
      <c r="AL5" s="1718" t="s">
        <v>723</v>
      </c>
      <c r="AM5" s="1901" t="s">
        <v>724</v>
      </c>
      <c r="AN5" s="3942" t="s">
        <v>725</v>
      </c>
      <c r="AO5" s="3440" t="s">
        <v>726</v>
      </c>
      <c r="AP5" s="3440" t="s">
        <v>727</v>
      </c>
      <c r="AQ5" s="3943" t="s">
        <v>728</v>
      </c>
      <c r="AR5" s="3943" t="s">
        <v>729</v>
      </c>
      <c r="AS5" s="3944" t="s">
        <v>730</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4.25"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55907</v>
      </c>
      <c r="F6" s="3950">
        <f>SUMIF(项目基本情况!C$12:I$12,C6,项目基本情况!C$15:I$15)</f>
        <v>27</v>
      </c>
      <c r="G6" s="3951">
        <f t="shared" ref="G6:G13" si="0">IF(ISERROR(ROUND(POWER(1+H6,D6-F6)*(POWER(1+H6,F6)-1)/(POWER(1+H6,D6)-1),4)),0,ROUND(POWER(1+H6,D6-F6)*(POWER(1+H6,F6)-1)/(POWER(1+H6,D6)-1),4))</f>
        <v>0.8534</v>
      </c>
      <c r="H6" s="3952">
        <v>0.05</v>
      </c>
      <c r="I6" s="3952">
        <v>0.055</v>
      </c>
      <c r="J6" s="3953">
        <v>0.07</v>
      </c>
      <c r="K6" s="3954">
        <f>SUMIF('数据-汇总表'!C$19:C$33,A6,'数据-汇总表'!E$19:E$33)</f>
        <v>138.87</v>
      </c>
      <c r="L6" s="3955">
        <v>3600</v>
      </c>
      <c r="M6" s="3956">
        <f t="shared" ref="M6:M14" si="1">ROUND(K6*L6/10000,0)</f>
        <v>50</v>
      </c>
      <c r="N6" s="3957">
        <f>N21</f>
        <v>0.875</v>
      </c>
      <c r="O6" s="3956" t="str">
        <f>IF($N$5="成新度","——",ROUND(M6*N6,0))</f>
        <v>——</v>
      </c>
      <c r="P6" s="2115"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6.4</v>
      </c>
      <c r="V6" s="3963">
        <v>0.02</v>
      </c>
      <c r="W6" s="3963">
        <v>0.1</v>
      </c>
      <c r="X6" s="3964"/>
      <c r="Y6" s="3965">
        <f>N6</f>
        <v>0.875</v>
      </c>
      <c r="Z6" s="3966"/>
      <c r="AA6" s="3967"/>
      <c r="AB6" s="3967"/>
      <c r="AC6" s="3964"/>
      <c r="AD6" s="3968"/>
      <c r="AE6" s="3969">
        <f ca="1">IF(AN6="",0,SUMIF(INDIRECT("'"&amp;AN6&amp;"'"&amp;"!E:E"),$AE$5,INDIRECT("'"&amp;AN6&amp;"'"&amp;"!F:F")))</f>
        <v>27</v>
      </c>
      <c r="AF6" s="3970"/>
      <c r="AG6" s="2229">
        <f ca="1">IF(AF6="",0,AE6-AF6)</f>
        <v>0</v>
      </c>
      <c r="AH6" s="3962"/>
      <c r="AI6" s="3971">
        <v>365</v>
      </c>
      <c r="AJ6" s="3970"/>
      <c r="AK6" s="3972">
        <v>0.002</v>
      </c>
      <c r="AL6" s="3973">
        <v>0.001</v>
      </c>
      <c r="AM6" s="3974">
        <v>0.005</v>
      </c>
      <c r="AN6" s="3975" t="s">
        <v>285</v>
      </c>
      <c r="AO6" s="3960">
        <f ca="1">SUMIF(INDIRECT("'"&amp;AN6&amp;"'"&amp;"!A:A"),"总价",INDIRECT("'"&amp;AN6&amp;"'"&amp;"!B:B"))</f>
        <v>471.1169</v>
      </c>
      <c r="AP6" s="3960">
        <f>IF(C6="住宅",K6*L6,0)</f>
        <v>0</v>
      </c>
      <c r="AQ6" s="3960">
        <f>ROUND($L$14*$N$14*S6/10000,0)</f>
        <v>0</v>
      </c>
      <c r="AR6" s="3960">
        <f>ROUND($L$14*(1-$N$14)*S6/10000,0)</f>
        <v>0</v>
      </c>
      <c r="AS6" s="3960">
        <f>ROUND(1-1/(1+H6)^F6,3)</f>
        <v>0.732</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4.25"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15"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229">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4.25"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15"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229">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4.25"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15"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229">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4.25"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15"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229">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4.25"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15"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229">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4.25"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15"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229">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4.25"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15"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229">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25" spans="1:67">
      <c r="A14" s="3989" t="s">
        <v>683</v>
      </c>
      <c r="B14" s="3946" t="s">
        <v>682</v>
      </c>
      <c r="C14" s="3990" t="s">
        <v>683</v>
      </c>
      <c r="D14" s="3948"/>
      <c r="E14" s="3949"/>
      <c r="F14" s="3950"/>
      <c r="G14" s="3951"/>
      <c r="H14" s="3991"/>
      <c r="I14" s="3991"/>
      <c r="J14" s="3991"/>
      <c r="K14" s="3954">
        <f>SUMIF('数据-汇总表'!C$19:C$33,A14,'数据-汇总表'!E$19:E$33)</f>
        <v>0</v>
      </c>
      <c r="L14" s="3982"/>
      <c r="M14" s="3956">
        <f t="shared" si="1"/>
        <v>0</v>
      </c>
      <c r="N14" s="3987"/>
      <c r="O14" s="3956" t="str">
        <f t="shared" si="3"/>
        <v>——</v>
      </c>
      <c r="P14" s="2115" t="str">
        <f t="shared" si="4"/>
        <v>——</v>
      </c>
      <c r="Q14" s="3992"/>
      <c r="R14" s="3959"/>
      <c r="S14" s="3960"/>
      <c r="T14" s="3961"/>
      <c r="U14" s="3993"/>
      <c r="V14" s="3994"/>
      <c r="W14" s="3994"/>
      <c r="X14" s="3995"/>
      <c r="Y14" s="3996"/>
      <c r="Z14" s="3997"/>
      <c r="AA14" s="3998"/>
      <c r="AB14" s="3998"/>
      <c r="AC14" s="3964"/>
      <c r="AD14" s="3995"/>
      <c r="AE14" s="3969"/>
      <c r="AF14" s="1443"/>
      <c r="AG14" s="2229"/>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25" spans="1:67">
      <c r="A15" s="3989" t="s">
        <v>684</v>
      </c>
      <c r="B15" s="3946" t="s">
        <v>682</v>
      </c>
      <c r="C15" s="3990" t="s">
        <v>731</v>
      </c>
      <c r="D15" s="3948"/>
      <c r="E15" s="3949"/>
      <c r="F15" s="3950"/>
      <c r="G15" s="3951"/>
      <c r="H15" s="3991"/>
      <c r="I15" s="3991"/>
      <c r="J15" s="3991"/>
      <c r="K15" s="3954">
        <f>SUMIF('数据-汇总表'!C$19:C$33,A15,'数据-汇总表'!E$19:E$33)</f>
        <v>0</v>
      </c>
      <c r="L15" s="3956"/>
      <c r="M15" s="3956"/>
      <c r="N15" s="4002"/>
      <c r="O15" s="3956"/>
      <c r="P15" s="2115"/>
      <c r="Q15" s="3992"/>
      <c r="R15" s="3959"/>
      <c r="S15" s="3960"/>
      <c r="T15" s="3961"/>
      <c r="U15" s="3993"/>
      <c r="V15" s="3994"/>
      <c r="W15" s="3994"/>
      <c r="X15" s="3995"/>
      <c r="Y15" s="3996"/>
      <c r="Z15" s="3997"/>
      <c r="AA15" s="3998"/>
      <c r="AB15" s="3998"/>
      <c r="AC15" s="3964"/>
      <c r="AD15" s="3995"/>
      <c r="AE15" s="3969"/>
      <c r="AF15" s="1443"/>
      <c r="AG15" s="2229"/>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75" spans="1:67">
      <c r="A16" s="4003" t="s">
        <v>685</v>
      </c>
      <c r="B16" s="4004"/>
      <c r="C16" s="4005"/>
      <c r="D16" s="4006"/>
      <c r="E16" s="4004"/>
      <c r="F16" s="4007"/>
      <c r="G16" s="4008">
        <f>ROUND(SUMPRODUCT(G6:G13,K6:K13)/SUMPRODUCT((G6:G13&gt;0)*(K6:K13)),4)</f>
        <v>0.8534</v>
      </c>
      <c r="H16" s="4009">
        <f>ROUND(SUMPRODUCT(H6:H13,K6:K13)/SUMPRODUCT((H6:H13&gt;0)*(K6:K13)),3)</f>
        <v>0.05</v>
      </c>
      <c r="I16" s="4010"/>
      <c r="J16" s="4010"/>
      <c r="K16" s="4011">
        <f>SUM(K6:K15)</f>
        <v>138.87</v>
      </c>
      <c r="L16" s="4012">
        <f>ROUND(M16*10000/SUM(K6:K14),0)</f>
        <v>3600</v>
      </c>
      <c r="M16" s="4012">
        <f>SUM(M6:M14)</f>
        <v>50</v>
      </c>
      <c r="N16" s="4013">
        <f>ROUND(SUMPRODUCT(M6:M14,N6:N14)/M16,3)</f>
        <v>0.875</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0.732</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5" spans="1:67">
      <c r="A17" s="4023"/>
      <c r="B17" s="4024"/>
      <c r="C17" s="717"/>
      <c r="D17" s="4025"/>
      <c r="E17" s="4025"/>
      <c r="F17" s="717"/>
      <c r="G17" s="717"/>
      <c r="H17" s="717"/>
      <c r="I17" s="717"/>
      <c r="J17" s="717"/>
      <c r="K17" s="4026"/>
      <c r="L17" s="4026"/>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 spans="1:67">
      <c r="A18" s="1996" t="s">
        <v>732</v>
      </c>
      <c r="B18" s="4027"/>
      <c r="C18" s="3914"/>
      <c r="D18" s="4028"/>
      <c r="E18" s="3914"/>
      <c r="F18" s="3914"/>
      <c r="G18" s="3914"/>
      <c r="H18" s="3914"/>
      <c r="I18" s="3914"/>
      <c r="J18" s="3914"/>
      <c r="K18" s="4026"/>
      <c r="L18" s="4026"/>
      <c r="M18" s="717"/>
      <c r="N18" s="717">
        <v>2014</v>
      </c>
      <c r="O18" s="717"/>
      <c r="P18" s="717"/>
      <c r="Q18" s="717"/>
      <c r="R18" s="717"/>
      <c r="S18" s="717"/>
      <c r="T18" s="717"/>
      <c r="U18" s="717">
        <f>7.7/1.09</f>
        <v>7.06422018348624</v>
      </c>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25" spans="1:67">
      <c r="A19" s="4029" t="s">
        <v>733</v>
      </c>
      <c r="B19" s="4030">
        <v>0</v>
      </c>
      <c r="C19" s="4031" t="s">
        <v>734</v>
      </c>
      <c r="D19" s="4032"/>
      <c r="E19" s="4033"/>
      <c r="F19" s="4033"/>
      <c r="G19" s="4033"/>
      <c r="H19" s="3914"/>
      <c r="I19" s="3914"/>
      <c r="J19" s="3914"/>
      <c r="K19" s="4026"/>
      <c r="L19" s="4026">
        <f>4000/1.09</f>
        <v>3669.7247706422</v>
      </c>
      <c r="M19" s="4034" t="s">
        <v>735</v>
      </c>
      <c r="N19" s="717">
        <f>ROUND(1-(1-0%)*(2026-N18)/60,2)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25" spans="1:67">
      <c r="A20" s="4035" t="s">
        <v>736</v>
      </c>
      <c r="B20" s="4036">
        <v>1</v>
      </c>
      <c r="C20" s="4037" t="s">
        <v>737</v>
      </c>
      <c r="D20" s="4032"/>
      <c r="E20" s="4033"/>
      <c r="F20" s="4033"/>
      <c r="G20" s="4033"/>
      <c r="H20" s="3914"/>
      <c r="I20" s="3914"/>
      <c r="J20" s="3914"/>
      <c r="K20" s="4026"/>
      <c r="L20" s="4026"/>
      <c r="M20" s="4034" t="s">
        <v>738</v>
      </c>
      <c r="N20" s="717">
        <v>0.95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25" spans="1:67">
      <c r="A21" s="4038" t="s">
        <v>739</v>
      </c>
      <c r="B21" s="4036">
        <v>1</v>
      </c>
      <c r="C21" s="3914"/>
      <c r="D21" s="4028"/>
      <c r="E21" s="3914"/>
      <c r="F21" s="3914"/>
      <c r="G21" s="3914"/>
      <c r="H21" s="3914"/>
      <c r="I21" s="3914"/>
      <c r="J21" s="3914"/>
      <c r="K21" s="4026"/>
      <c r="L21" s="4026"/>
      <c r="M21" s="717"/>
      <c r="N21" s="717">
        <f>(N19+N20)/2</f>
        <v>0.875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25" spans="1:67">
      <c r="A22" s="4035" t="s">
        <v>740</v>
      </c>
      <c r="B22" s="4039">
        <f>B19+B20</f>
        <v>1</v>
      </c>
      <c r="C22" s="3914"/>
      <c r="D22" s="4028"/>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25" spans="1:67">
      <c r="A23" s="4038" t="s">
        <v>741</v>
      </c>
      <c r="B23" s="4039">
        <f>B19+B21</f>
        <v>1</v>
      </c>
      <c r="C23" s="3914"/>
      <c r="D23" s="4028"/>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 spans="1:67">
      <c r="A24" s="4040" t="s">
        <v>742</v>
      </c>
      <c r="B24" s="4041">
        <f>B20-B21</f>
        <v>0</v>
      </c>
      <c r="C24" s="3914"/>
      <c r="D24" s="4028"/>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5" spans="1:67">
      <c r="A25" s="3917"/>
      <c r="B25" s="3918"/>
      <c r="C25" s="3914"/>
      <c r="D25" s="4028"/>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 spans="1:67">
      <c r="A26" s="3909" t="s">
        <v>743</v>
      </c>
      <c r="B26" s="4043" t="s">
        <v>744</v>
      </c>
      <c r="C26" s="3914"/>
      <c r="D26" s="4028"/>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25" spans="1:67">
      <c r="A27" s="4044" t="s">
        <v>745</v>
      </c>
      <c r="B27" s="4045">
        <v>160</v>
      </c>
      <c r="C27" s="4046" t="s">
        <v>746</v>
      </c>
      <c r="D27" s="4047"/>
      <c r="E27" s="4048"/>
      <c r="F27" s="4048"/>
      <c r="G27" s="4033"/>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25" spans="1:67">
      <c r="A28" s="4050" t="s">
        <v>747</v>
      </c>
      <c r="B28" s="4051">
        <v>200</v>
      </c>
      <c r="C28" s="4052"/>
      <c r="D28" s="4047"/>
      <c r="E28" s="4048"/>
      <c r="F28" s="4048"/>
      <c r="G28" s="4033"/>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15" spans="1:67">
      <c r="A29" s="4053" t="s">
        <v>748</v>
      </c>
      <c r="B29" s="4054"/>
      <c r="C29" s="4055" t="s">
        <v>749</v>
      </c>
      <c r="D29" s="4047"/>
      <c r="E29" s="4048"/>
      <c r="F29" s="4048"/>
      <c r="G29" s="4033"/>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25" spans="1:67">
      <c r="A30" s="4056" t="s">
        <v>750</v>
      </c>
      <c r="B30" s="4057">
        <v>130</v>
      </c>
      <c r="C30" s="4058" t="s">
        <v>751</v>
      </c>
      <c r="D30" s="4047"/>
      <c r="E30" s="4048"/>
      <c r="F30" s="4048"/>
      <c r="G30" s="4033"/>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25" spans="1:67">
      <c r="A31" s="4050" t="s">
        <v>752</v>
      </c>
      <c r="B31" s="4039">
        <f>B30-B32</f>
        <v>130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 spans="1:67">
      <c r="A32" s="4061" t="s">
        <v>753</v>
      </c>
      <c r="B32" s="4062">
        <v>0</v>
      </c>
      <c r="C32" s="4063"/>
      <c r="D32" s="4028"/>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25" spans="1:67">
      <c r="A33" s="4064" t="s">
        <v>754</v>
      </c>
      <c r="B33" s="4065">
        <v>0.06</v>
      </c>
      <c r="C33" s="4066" t="s">
        <v>755</v>
      </c>
      <c r="D33" s="4032"/>
      <c r="E33" s="4033"/>
      <c r="F33" s="4033"/>
      <c r="G33" s="4033"/>
      <c r="H33" s="3914"/>
      <c r="I33" s="3914"/>
      <c r="J33" s="3914">
        <f>M16*B33*100</f>
        <v>300</v>
      </c>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25" spans="1:67">
      <c r="A34" s="4050" t="s">
        <v>756</v>
      </c>
      <c r="B34" s="4067">
        <v>0</v>
      </c>
      <c r="C34" s="4037" t="s">
        <v>757</v>
      </c>
      <c r="D34" s="4068"/>
      <c r="E34" s="4069"/>
      <c r="F34" s="4033"/>
      <c r="G34" s="4033"/>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25" spans="1:67">
      <c r="A35" s="4050" t="s">
        <v>758</v>
      </c>
      <c r="B35" s="4070">
        <v>300</v>
      </c>
      <c r="C35" s="4031" t="s">
        <v>759</v>
      </c>
      <c r="D35" s="4047"/>
      <c r="E35" s="4048"/>
      <c r="F35" s="4048"/>
      <c r="G35" s="4033"/>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25" spans="1:67">
      <c r="A36" s="4071" t="s">
        <v>760</v>
      </c>
      <c r="B36" s="4072">
        <v>0.01</v>
      </c>
      <c r="C36" s="4073" t="s">
        <v>761</v>
      </c>
      <c r="D36" s="4047"/>
      <c r="E36" s="4048"/>
      <c r="F36" s="4048"/>
      <c r="G36" s="4033"/>
      <c r="H36" s="3914"/>
      <c r="I36" s="3914"/>
      <c r="J36" s="3914"/>
      <c r="K36" s="4026"/>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4" t="s">
        <v>762</v>
      </c>
      <c r="B37" s="4075">
        <v>0</v>
      </c>
      <c r="C37" s="4031" t="s">
        <v>763</v>
      </c>
      <c r="D37" s="4032"/>
      <c r="E37" s="4033"/>
      <c r="F37" s="4033"/>
      <c r="G37" s="4033"/>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25" spans="1:67">
      <c r="A38" s="4056" t="s">
        <v>764</v>
      </c>
      <c r="B38" s="4076">
        <v>0.02</v>
      </c>
      <c r="C38" s="4037" t="s">
        <v>765</v>
      </c>
      <c r="D38" s="4032"/>
      <c r="E38" s="4033"/>
      <c r="F38" s="4033"/>
      <c r="G38" s="4033"/>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25" spans="1:67">
      <c r="A39" s="4050" t="s">
        <v>766</v>
      </c>
      <c r="B39" s="4072">
        <v>0.02</v>
      </c>
      <c r="C39" s="4037" t="s">
        <v>767</v>
      </c>
      <c r="D39" s="4032"/>
      <c r="E39" s="4033"/>
      <c r="F39" s="4033"/>
      <c r="G39" s="4033"/>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25" spans="1:67">
      <c r="A40" s="4061" t="s">
        <v>768</v>
      </c>
      <c r="B40" s="4077">
        <f ca="1">存贷款利率!I1</f>
        <v>0.015</v>
      </c>
      <c r="C40" s="4078"/>
      <c r="D40" s="4028"/>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 spans="1:67">
      <c r="A41" s="4079" t="s">
        <v>769</v>
      </c>
      <c r="B41" s="4080">
        <f ca="1">IF(A41="利息：取LPR",存贷款利率!G1,存贷款利率!G1+C41)</f>
        <v>0.03</v>
      </c>
      <c r="C41" s="4081"/>
      <c r="D41" s="4082"/>
      <c r="E41" s="4028"/>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25" spans="1:67">
      <c r="A42" s="4064" t="s">
        <v>770</v>
      </c>
      <c r="B42" s="4083"/>
      <c r="C42" s="4059"/>
      <c r="D42" s="717"/>
      <c r="E42" s="4028"/>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25" spans="1:67">
      <c r="A43" s="4084" t="s">
        <v>771</v>
      </c>
      <c r="B43" s="4085">
        <v>0.09</v>
      </c>
      <c r="C43" s="4086"/>
      <c r="D43" s="4028"/>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25" spans="1:67">
      <c r="A44" s="4084" t="s">
        <v>772</v>
      </c>
      <c r="B44" s="4087">
        <f>B45+B46+B47</f>
        <v>0.12</v>
      </c>
      <c r="C44" s="4059"/>
      <c r="D44" s="4028"/>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25" spans="1:67">
      <c r="A45" s="4088" t="s">
        <v>773</v>
      </c>
      <c r="B45" s="4089">
        <v>0.07</v>
      </c>
      <c r="C45" s="4037" t="s">
        <v>774</v>
      </c>
      <c r="D45" s="4032"/>
      <c r="E45" s="4033"/>
      <c r="F45" s="4033"/>
      <c r="G45" s="4033"/>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25" spans="1:67">
      <c r="A46" s="4088" t="s">
        <v>775</v>
      </c>
      <c r="B46" s="4090">
        <v>0.03</v>
      </c>
      <c r="C46" s="4055" t="s">
        <v>776</v>
      </c>
      <c r="D46" s="4091"/>
      <c r="E46" s="4092"/>
      <c r="F46" s="4033"/>
      <c r="G46" s="4033"/>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25" spans="1:67">
      <c r="A47" s="4088" t="s">
        <v>777</v>
      </c>
      <c r="B47" s="4090">
        <v>0.02</v>
      </c>
      <c r="C47" s="4055" t="s">
        <v>778</v>
      </c>
      <c r="D47" s="4091"/>
      <c r="E47" s="4092"/>
      <c r="F47" s="4033"/>
      <c r="G47" s="4033"/>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 spans="1:67">
      <c r="A48" s="4093" t="s">
        <v>779</v>
      </c>
      <c r="B48" s="4094">
        <v>0</v>
      </c>
      <c r="C48" s="4095" t="s">
        <v>780</v>
      </c>
      <c r="D48" s="4091"/>
      <c r="E48" s="4092"/>
      <c r="F48" s="4033"/>
      <c r="G48" s="4033"/>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25" spans="1:44">
      <c r="A49" s="4096" t="s">
        <v>781</v>
      </c>
      <c r="B49" s="4097">
        <v>0.03</v>
      </c>
      <c r="C49" s="4055" t="s">
        <v>776</v>
      </c>
      <c r="D49" s="4091"/>
      <c r="E49" s="4092"/>
      <c r="F49" s="4033"/>
      <c r="G49" s="4033"/>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 spans="1:44">
      <c r="A50" s="4061" t="s">
        <v>782</v>
      </c>
      <c r="B50" s="4090">
        <v>0.0005</v>
      </c>
      <c r="C50" s="4055" t="s">
        <v>783</v>
      </c>
      <c r="D50" s="4091"/>
      <c r="E50" s="4092"/>
      <c r="F50" s="4033"/>
      <c r="G50" s="4033"/>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25" spans="1:44">
      <c r="A51" s="4098" t="s">
        <v>784</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 spans="1:44">
      <c r="A52" s="4053" t="s">
        <v>785</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25" spans="1:44">
      <c r="A53" s="4098" t="s">
        <v>786</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25" spans="1:44">
      <c r="A54" s="4050" t="s">
        <v>787</v>
      </c>
      <c r="B54" s="4102"/>
      <c r="C54" s="4026" t="s">
        <v>788</v>
      </c>
      <c r="D54" s="4103" t="s">
        <v>789</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25" spans="1:44">
      <c r="A55" s="4104" t="s">
        <v>790</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25" spans="1:44">
      <c r="A56" s="4104" t="s">
        <v>791</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25" spans="1:44">
      <c r="A57" s="4104" t="s">
        <v>792</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25" spans="1:44">
      <c r="A58" s="4104" t="s">
        <v>793</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25" spans="1:44">
      <c r="A59" s="4104" t="s">
        <v>794</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25" spans="1:44">
      <c r="A60" s="4104" t="s">
        <v>795</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25" spans="1:44">
      <c r="A61" s="4104" t="s">
        <v>796</v>
      </c>
      <c r="B61" s="4105"/>
      <c r="C61" s="3914"/>
      <c r="D61" s="4028"/>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25" spans="1:44">
      <c r="A62" s="4104" t="s">
        <v>797</v>
      </c>
      <c r="B62" s="4105"/>
      <c r="C62" s="3914"/>
      <c r="D62" s="4028"/>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25" spans="1:44">
      <c r="A63" s="4104" t="s">
        <v>798</v>
      </c>
      <c r="B63" s="4105"/>
      <c r="C63" s="3914"/>
      <c r="D63" s="4028"/>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 spans="1:44">
      <c r="A64" s="4107" t="s">
        <v>799</v>
      </c>
      <c r="B64" s="4108"/>
      <c r="C64" s="3914"/>
      <c r="D64" s="4028"/>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263"/>
      <c r="L135" s="2263"/>
      <c r="AO135" s="3904"/>
      <c r="AP135" s="3904"/>
      <c r="AQ135" s="3904"/>
      <c r="AR135" s="3904"/>
      <c r="AS135" s="3904"/>
    </row>
    <row r="136" s="3899" customFormat="1" spans="1:45">
      <c r="A136" s="4112"/>
      <c r="D136" s="4113"/>
      <c r="K136" s="2263"/>
      <c r="L136" s="2263"/>
      <c r="AO136" s="3904"/>
      <c r="AP136" s="3904"/>
      <c r="AQ136" s="3904"/>
      <c r="AR136" s="3904"/>
      <c r="AS136" s="3904"/>
    </row>
    <row r="137" s="3899" customFormat="1" spans="1:45">
      <c r="A137" s="4112"/>
      <c r="D137" s="4113"/>
      <c r="K137" s="2263"/>
      <c r="L137" s="2263"/>
      <c r="AO137" s="3904"/>
      <c r="AP137" s="3904"/>
      <c r="AQ137" s="3904"/>
      <c r="AR137" s="3904"/>
      <c r="AS137" s="3904"/>
    </row>
    <row r="138" s="3899" customFormat="1" spans="1:45">
      <c r="A138" s="4112"/>
      <c r="D138" s="4113"/>
      <c r="K138" s="2263"/>
      <c r="L138" s="2263"/>
      <c r="AO138" s="3904"/>
      <c r="AP138" s="3904"/>
      <c r="AQ138" s="3904"/>
      <c r="AR138" s="3904"/>
      <c r="AS138" s="3904"/>
    </row>
    <row r="139" s="3899" customFormat="1" spans="1:45">
      <c r="A139" s="4112"/>
      <c r="D139" s="4113"/>
      <c r="K139" s="2263"/>
      <c r="L139" s="2263"/>
      <c r="AO139" s="3904"/>
      <c r="AP139" s="3904"/>
      <c r="AQ139" s="3904"/>
      <c r="AR139" s="3904"/>
      <c r="AS139" s="3904"/>
    </row>
    <row r="140" s="3899" customFormat="1" spans="1:45">
      <c r="A140" s="4112"/>
      <c r="D140" s="4113"/>
      <c r="K140" s="2263"/>
      <c r="L140" s="2263"/>
      <c r="AO140" s="3904"/>
      <c r="AP140" s="3904"/>
      <c r="AQ140" s="3904"/>
      <c r="AR140" s="3904"/>
      <c r="AS140" s="3904"/>
    </row>
    <row r="141" s="3899" customFormat="1" spans="1:45">
      <c r="A141" s="4112"/>
      <c r="D141" s="4113"/>
      <c r="K141" s="2263"/>
      <c r="L141" s="2263"/>
      <c r="AO141" s="3904"/>
      <c r="AP141" s="3904"/>
      <c r="AQ141" s="3904"/>
      <c r="AR141" s="3904"/>
      <c r="AS141" s="3904"/>
    </row>
    <row r="142" s="3899" customFormat="1" spans="1:45">
      <c r="A142" s="4112"/>
      <c r="D142" s="4113"/>
      <c r="K142" s="2263"/>
      <c r="L142" s="2263"/>
      <c r="AO142" s="3904"/>
      <c r="AP142" s="3904"/>
      <c r="AQ142" s="3904"/>
      <c r="AR142" s="3904"/>
      <c r="AS142" s="3904"/>
    </row>
    <row r="143" s="3899" customFormat="1" spans="1:45">
      <c r="A143" s="4112"/>
      <c r="D143" s="4113"/>
      <c r="K143" s="2263"/>
      <c r="L143" s="2263"/>
      <c r="AO143" s="3904"/>
      <c r="AP143" s="3904"/>
      <c r="AQ143" s="3904"/>
      <c r="AR143" s="3904"/>
      <c r="AS143" s="3904"/>
    </row>
    <row r="144" s="3899" customFormat="1" spans="1:45">
      <c r="A144" s="4112"/>
      <c r="D144" s="4113"/>
      <c r="K144" s="2263"/>
      <c r="L144" s="2263"/>
      <c r="AO144" s="3904"/>
      <c r="AP144" s="3904"/>
      <c r="AQ144" s="3904"/>
      <c r="AR144" s="3904"/>
      <c r="AS144" s="3904"/>
    </row>
    <row r="145" s="3899" customFormat="1" spans="1:45">
      <c r="A145" s="4112"/>
      <c r="D145" s="4113"/>
      <c r="K145" s="2263"/>
      <c r="L145" s="2263"/>
      <c r="AO145" s="3904"/>
      <c r="AP145" s="3904"/>
      <c r="AQ145" s="3904"/>
      <c r="AR145" s="3904"/>
      <c r="AS145" s="3904"/>
    </row>
    <row r="146" s="3899" customFormat="1" spans="1:45">
      <c r="A146" s="4112"/>
      <c r="D146" s="4113"/>
      <c r="K146" s="2263"/>
      <c r="L146" s="2263"/>
      <c r="AO146" s="3904"/>
      <c r="AP146" s="3904"/>
      <c r="AQ146" s="3904"/>
      <c r="AR146" s="3904"/>
      <c r="AS146" s="3904"/>
    </row>
    <row r="147" s="3899" customFormat="1" spans="1:45">
      <c r="A147" s="4112"/>
      <c r="D147" s="4113"/>
      <c r="K147" s="2263"/>
      <c r="L147" s="2263"/>
      <c r="AO147" s="3904"/>
      <c r="AP147" s="3904"/>
      <c r="AQ147" s="3904"/>
      <c r="AR147" s="3904"/>
      <c r="AS147" s="3904"/>
    </row>
    <row r="148" s="3899" customFormat="1" spans="1:45">
      <c r="A148" s="4112"/>
      <c r="D148" s="4113"/>
      <c r="K148" s="2263"/>
      <c r="L148" s="2263"/>
      <c r="AO148" s="3904"/>
      <c r="AP148" s="3904"/>
      <c r="AQ148" s="3904"/>
      <c r="AR148" s="3904"/>
      <c r="AS148" s="3904"/>
    </row>
    <row r="149" s="3899" customFormat="1" spans="1:45">
      <c r="A149" s="4112"/>
      <c r="D149" s="4113"/>
      <c r="K149" s="2263"/>
      <c r="L149" s="2263"/>
      <c r="AO149" s="3904"/>
      <c r="AP149" s="3904"/>
      <c r="AQ149" s="3904"/>
      <c r="AR149" s="3904"/>
      <c r="AS149" s="3904"/>
    </row>
    <row r="150" s="3899" customFormat="1" spans="1:45">
      <c r="A150" s="4112"/>
      <c r="D150" s="4113"/>
      <c r="K150" s="2263"/>
      <c r="L150" s="2263"/>
      <c r="AO150" s="3904"/>
      <c r="AP150" s="3904"/>
      <c r="AQ150" s="3904"/>
      <c r="AR150" s="3904"/>
      <c r="AS150" s="3904"/>
    </row>
    <row r="151" s="3899" customFormat="1" spans="1:45">
      <c r="A151" s="4112"/>
      <c r="D151" s="4113"/>
      <c r="K151" s="2263"/>
      <c r="L151" s="2263"/>
      <c r="AO151" s="3904"/>
      <c r="AP151" s="3904"/>
      <c r="AQ151" s="3904"/>
      <c r="AR151" s="3904"/>
      <c r="AS151" s="3904"/>
    </row>
    <row r="152" s="3899" customFormat="1" spans="1:45">
      <c r="A152" s="4112"/>
      <c r="D152" s="4113"/>
      <c r="K152" s="2263"/>
      <c r="L152" s="2263"/>
      <c r="AO152" s="3904"/>
      <c r="AP152" s="3904"/>
      <c r="AQ152" s="3904"/>
      <c r="AR152" s="3904"/>
      <c r="AS152" s="3904"/>
    </row>
    <row r="153" s="3899" customFormat="1" spans="1:45">
      <c r="A153" s="4112"/>
      <c r="D153" s="4113"/>
      <c r="K153" s="2263"/>
      <c r="L153" s="2263"/>
      <c r="AO153" s="3904"/>
      <c r="AP153" s="3904"/>
      <c r="AQ153" s="3904"/>
      <c r="AR153" s="3904"/>
      <c r="AS153" s="3904"/>
    </row>
    <row r="154" s="3899" customFormat="1" spans="1:45">
      <c r="A154" s="4112"/>
      <c r="D154" s="4113"/>
      <c r="K154" s="2263"/>
      <c r="L154" s="2263"/>
      <c r="AO154" s="3904"/>
      <c r="AP154" s="3904"/>
      <c r="AQ154" s="3904"/>
      <c r="AR154" s="3904"/>
      <c r="AS154" s="3904"/>
    </row>
    <row r="155" s="3899" customFormat="1" spans="1:45">
      <c r="A155" s="4112"/>
      <c r="D155" s="4113"/>
      <c r="K155" s="2263"/>
      <c r="L155" s="2263"/>
      <c r="AO155" s="3904"/>
      <c r="AP155" s="3904"/>
      <c r="AQ155" s="3904"/>
      <c r="AR155" s="3904"/>
      <c r="AS155" s="3904"/>
    </row>
    <row r="156" s="3899" customFormat="1" spans="1:45">
      <c r="A156" s="4112"/>
      <c r="D156" s="4113"/>
      <c r="K156" s="2263"/>
      <c r="L156" s="2263"/>
      <c r="AO156" s="3904"/>
      <c r="AP156" s="3904"/>
      <c r="AQ156" s="3904"/>
      <c r="AR156" s="3904"/>
      <c r="AS156" s="3904"/>
    </row>
    <row r="157" s="3899" customFormat="1" spans="1:45">
      <c r="A157" s="4112"/>
      <c r="D157" s="4113"/>
      <c r="K157" s="2263"/>
      <c r="L157" s="2263"/>
      <c r="AO157" s="3904"/>
      <c r="AP157" s="3904"/>
      <c r="AQ157" s="3904"/>
      <c r="AR157" s="3904"/>
      <c r="AS157" s="3904"/>
    </row>
    <row r="158" s="3899" customFormat="1" spans="1:45">
      <c r="A158" s="4112"/>
      <c r="D158" s="4113"/>
      <c r="K158" s="2263"/>
      <c r="L158" s="2263"/>
      <c r="AO158" s="3904"/>
      <c r="AP158" s="3904"/>
      <c r="AQ158" s="3904"/>
      <c r="AR158" s="3904"/>
      <c r="AS158" s="3904"/>
    </row>
    <row r="159" s="3899" customFormat="1" spans="1:45">
      <c r="A159" s="4112"/>
      <c r="D159" s="4113"/>
      <c r="K159" s="2263"/>
      <c r="L159" s="2263"/>
      <c r="AO159" s="3904"/>
      <c r="AP159" s="3904"/>
      <c r="AQ159" s="3904"/>
      <c r="AR159" s="3904"/>
      <c r="AS159" s="3904"/>
    </row>
    <row r="160" s="3899" customFormat="1" spans="1:45">
      <c r="A160" s="4112"/>
      <c r="D160" s="4113"/>
      <c r="K160" s="2263"/>
      <c r="L160" s="2263"/>
      <c r="AO160" s="3904"/>
      <c r="AP160" s="3904"/>
      <c r="AQ160" s="3904"/>
      <c r="AR160" s="3904"/>
      <c r="AS160" s="3904"/>
    </row>
    <row r="161" s="3899" customFormat="1" spans="1:45">
      <c r="A161" s="4112"/>
      <c r="D161" s="4113"/>
      <c r="K161" s="2263"/>
      <c r="L161" s="2263"/>
      <c r="AO161" s="3904"/>
      <c r="AP161" s="3904"/>
      <c r="AQ161" s="3904"/>
      <c r="AR161" s="3904"/>
      <c r="AS161" s="3904"/>
    </row>
    <row r="162" s="3899" customFormat="1" spans="1:45">
      <c r="A162" s="4112"/>
      <c r="D162" s="4113"/>
      <c r="K162" s="2263"/>
      <c r="L162" s="2263"/>
      <c r="AO162" s="3904"/>
      <c r="AP162" s="3904"/>
      <c r="AQ162" s="3904"/>
      <c r="AR162" s="3904"/>
      <c r="AS162" s="3904"/>
    </row>
    <row r="163" s="3899" customFormat="1" spans="1:45">
      <c r="A163" s="4112"/>
      <c r="D163" s="4113"/>
      <c r="K163" s="2263"/>
      <c r="L163" s="2263"/>
      <c r="AO163" s="3904"/>
      <c r="AP163" s="3904"/>
      <c r="AQ163" s="3904"/>
      <c r="AR163" s="3904"/>
      <c r="AS163" s="3904"/>
    </row>
    <row r="164" s="3899" customFormat="1" spans="1:45">
      <c r="A164" s="4112"/>
      <c r="D164" s="4113"/>
      <c r="K164" s="2263"/>
      <c r="L164" s="2263"/>
      <c r="AO164" s="3904"/>
      <c r="AP164" s="3904"/>
      <c r="AQ164" s="3904"/>
      <c r="AR164" s="3904"/>
      <c r="AS164" s="3904"/>
    </row>
    <row r="165" s="3899" customFormat="1" spans="1:45">
      <c r="A165" s="4112"/>
      <c r="D165" s="4113"/>
      <c r="K165" s="2263"/>
      <c r="L165" s="2263"/>
      <c r="AO165" s="3904"/>
      <c r="AP165" s="3904"/>
      <c r="AQ165" s="3904"/>
      <c r="AR165" s="3904"/>
      <c r="AS165" s="3904"/>
    </row>
    <row r="166" s="3899" customFormat="1" spans="1:45">
      <c r="A166" s="4112"/>
      <c r="D166" s="4113"/>
      <c r="K166" s="2263"/>
      <c r="L166" s="2263"/>
      <c r="AO166" s="3904"/>
      <c r="AP166" s="3904"/>
      <c r="AQ166" s="3904"/>
      <c r="AR166" s="3904"/>
      <c r="AS166" s="3904"/>
    </row>
    <row r="167" s="3899" customFormat="1" spans="1:45">
      <c r="A167" s="4112"/>
      <c r="D167" s="4113"/>
      <c r="K167" s="2263"/>
      <c r="L167" s="2263"/>
      <c r="AO167" s="3904"/>
      <c r="AP167" s="3904"/>
      <c r="AQ167" s="3904"/>
      <c r="AR167" s="3904"/>
      <c r="AS167" s="3904"/>
    </row>
    <row r="168" s="3899" customFormat="1" spans="1:45">
      <c r="A168" s="4112"/>
      <c r="D168" s="4113"/>
      <c r="K168" s="2263"/>
      <c r="L168" s="2263"/>
      <c r="AO168" s="3904"/>
      <c r="AP168" s="3904"/>
      <c r="AQ168" s="3904"/>
      <c r="AR168" s="3904"/>
      <c r="AS168" s="3904"/>
    </row>
    <row r="169" s="3899" customFormat="1" spans="1:45">
      <c r="A169" s="4112"/>
      <c r="D169" s="4113"/>
      <c r="K169" s="2263"/>
      <c r="L169" s="2263"/>
      <c r="AO169" s="3904"/>
      <c r="AP169" s="3904"/>
      <c r="AQ169" s="3904"/>
      <c r="AR169" s="3904"/>
      <c r="AS169" s="3904"/>
    </row>
    <row r="170" s="3899" customFormat="1" spans="1:45">
      <c r="A170" s="4112"/>
      <c r="D170" s="4113"/>
      <c r="K170" s="2263"/>
      <c r="L170" s="2263"/>
      <c r="AO170" s="3904"/>
      <c r="AP170" s="3904"/>
      <c r="AQ170" s="3904"/>
      <c r="AR170" s="3904"/>
      <c r="AS170" s="3904"/>
    </row>
    <row r="171" s="3899" customFormat="1" spans="1:45">
      <c r="A171" s="4112"/>
      <c r="D171" s="4113"/>
      <c r="K171" s="2263"/>
      <c r="L171" s="2263"/>
      <c r="AO171" s="3904"/>
      <c r="AP171" s="3904"/>
      <c r="AQ171" s="3904"/>
      <c r="AR171" s="3904"/>
      <c r="AS171" s="3904"/>
    </row>
    <row r="172" s="3899" customFormat="1" spans="1:45">
      <c r="A172" s="4112"/>
      <c r="D172" s="4113"/>
      <c r="K172" s="2263"/>
      <c r="L172" s="2263"/>
      <c r="AO172" s="3904"/>
      <c r="AP172" s="3904"/>
      <c r="AQ172" s="3904"/>
      <c r="AR172" s="3904"/>
      <c r="AS172" s="3904"/>
    </row>
    <row r="173" s="3899" customFormat="1" spans="1:45">
      <c r="A173" s="4112"/>
      <c r="D173" s="4113"/>
      <c r="K173" s="2263"/>
      <c r="L173" s="2263"/>
      <c r="AO173" s="3904"/>
      <c r="AP173" s="3904"/>
      <c r="AQ173" s="3904"/>
      <c r="AR173" s="3904"/>
      <c r="AS173" s="3904"/>
    </row>
    <row r="174" s="3899" customFormat="1" spans="1:45">
      <c r="A174" s="4112"/>
      <c r="D174" s="4113"/>
      <c r="K174" s="2263"/>
      <c r="L174" s="2263"/>
      <c r="AO174" s="3904"/>
      <c r="AP174" s="3904"/>
      <c r="AQ174" s="3904"/>
      <c r="AR174" s="3904"/>
      <c r="AS174" s="3904"/>
    </row>
    <row r="175" s="3899" customFormat="1" spans="1:45">
      <c r="A175" s="4112"/>
      <c r="D175" s="4113"/>
      <c r="K175" s="2263"/>
      <c r="L175" s="2263"/>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5" customWidth="1"/>
    <col min="2" max="2" width="24.5" style="3836" customWidth="1"/>
    <col min="3" max="3" width="24.5" style="3837" customWidth="1"/>
    <col min="4" max="4" width="2.625" style="3837" customWidth="1"/>
    <col min="5" max="5" width="5.875" style="3837" customWidth="1"/>
    <col min="6" max="6" width="27" style="3836" customWidth="1"/>
    <col min="7" max="7" width="27" style="3837" customWidth="1"/>
    <col min="8" max="8" width="11.875" style="3838" customWidth="1"/>
    <col min="9" max="9" width="16.75" style="3838" customWidth="1"/>
    <col min="10" max="10" width="2.625" style="3838" customWidth="1"/>
    <col min="11" max="11" width="11.875" style="3838" customWidth="1"/>
    <col min="12" max="12" width="16.75" style="3838" customWidth="1"/>
    <col min="13" max="13" width="2.625" style="3838" customWidth="1"/>
    <col min="14" max="14" width="11.875" style="3838" customWidth="1"/>
    <col min="15" max="15" width="16.75" style="3838" customWidth="1"/>
    <col min="16" max="16" width="2.625" style="3838" customWidth="1"/>
    <col min="17" max="17" width="11.875" style="3838" customWidth="1"/>
    <col min="18" max="18" width="16.75" style="705" customWidth="1"/>
    <col min="19" max="29" width="9" style="705"/>
    <col min="30" max="16384" width="9" style="3835"/>
  </cols>
  <sheetData>
    <row r="1" s="3833" customFormat="1" ht="18.75" spans="1:29">
      <c r="A1" s="3839" t="s">
        <v>800</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5" spans="1:29">
      <c r="A2" s="3844"/>
      <c r="B2" s="3845"/>
      <c r="C2" s="3846" t="s">
        <v>801</v>
      </c>
      <c r="D2" s="3847"/>
      <c r="E2" s="3844"/>
      <c r="F2" s="3848"/>
      <c r="G2" s="3846" t="s">
        <v>802</v>
      </c>
      <c r="H2" s="705"/>
      <c r="I2" s="705"/>
      <c r="J2" s="705"/>
      <c r="K2" s="705"/>
      <c r="L2" s="705"/>
      <c r="M2" s="705"/>
      <c r="N2" s="705"/>
      <c r="O2" s="705"/>
      <c r="P2" s="705"/>
      <c r="Q2" s="705"/>
    </row>
    <row r="3" ht="48" spans="1:29">
      <c r="A3" s="3849" t="s">
        <v>803</v>
      </c>
      <c r="B3" s="3850" t="s">
        <v>804</v>
      </c>
      <c r="C3" s="3851" t="s">
        <v>805</v>
      </c>
      <c r="D3" s="3852"/>
      <c r="E3" s="3853" t="s">
        <v>803</v>
      </c>
      <c r="F3" s="3854" t="s">
        <v>806</v>
      </c>
      <c r="G3" s="3855" t="s">
        <v>807</v>
      </c>
      <c r="H3" s="705"/>
      <c r="I3" s="705"/>
      <c r="J3" s="705"/>
      <c r="K3" s="705"/>
      <c r="L3" s="705"/>
      <c r="M3" s="705"/>
      <c r="N3" s="705"/>
      <c r="O3" s="705"/>
      <c r="P3" s="705"/>
      <c r="Q3" s="705"/>
    </row>
    <row r="4" ht="36.75" spans="1:29">
      <c r="A4" s="3853"/>
      <c r="B4" s="2776" t="s">
        <v>808</v>
      </c>
      <c r="C4" s="3856" t="s">
        <v>809</v>
      </c>
      <c r="D4" s="3852"/>
      <c r="E4" s="3857"/>
      <c r="F4" s="3187" t="s">
        <v>810</v>
      </c>
      <c r="G4" s="3858" t="s">
        <v>811</v>
      </c>
      <c r="H4" s="705"/>
      <c r="I4" s="705"/>
      <c r="J4" s="705"/>
      <c r="K4" s="705"/>
      <c r="L4" s="705"/>
      <c r="M4" s="705"/>
      <c r="N4" s="705"/>
      <c r="O4" s="705"/>
      <c r="P4" s="705"/>
      <c r="Q4" s="705"/>
    </row>
    <row r="5" ht="36.75" spans="1:29">
      <c r="A5" s="3853"/>
      <c r="B5" s="2776" t="s">
        <v>812</v>
      </c>
      <c r="C5" s="3856" t="s">
        <v>813</v>
      </c>
      <c r="D5" s="3852"/>
      <c r="E5" s="3857"/>
      <c r="F5" s="2776" t="s">
        <v>628</v>
      </c>
      <c r="G5" s="3858" t="s">
        <v>814</v>
      </c>
      <c r="H5" s="705"/>
      <c r="I5" s="705"/>
      <c r="J5" s="705"/>
      <c r="K5" s="705"/>
      <c r="L5" s="705"/>
      <c r="M5" s="705"/>
      <c r="N5" s="705"/>
      <c r="O5" s="705"/>
      <c r="P5" s="705"/>
      <c r="Q5" s="705"/>
    </row>
    <row r="6" ht="36" spans="1:29">
      <c r="A6" s="3853"/>
      <c r="B6" s="2776" t="s">
        <v>810</v>
      </c>
      <c r="C6" s="3858" t="s">
        <v>811</v>
      </c>
      <c r="D6" s="3852"/>
      <c r="E6" s="3857"/>
      <c r="F6" s="2776" t="s">
        <v>815</v>
      </c>
      <c r="G6" s="3858" t="s">
        <v>816</v>
      </c>
      <c r="H6" s="705"/>
      <c r="I6" s="705"/>
      <c r="J6" s="705"/>
      <c r="K6" s="705"/>
      <c r="L6" s="705"/>
      <c r="M6" s="705"/>
      <c r="N6" s="705"/>
      <c r="O6" s="705"/>
      <c r="P6" s="705"/>
      <c r="Q6" s="705"/>
    </row>
    <row r="7" ht="24.75" spans="1:29">
      <c r="A7" s="3853"/>
      <c r="B7" s="2776" t="s">
        <v>628</v>
      </c>
      <c r="C7" s="3858" t="s">
        <v>814</v>
      </c>
      <c r="D7" s="3859"/>
      <c r="E7" s="3860"/>
      <c r="F7" s="3861" t="s">
        <v>817</v>
      </c>
      <c r="G7" s="3862" t="s">
        <v>818</v>
      </c>
      <c r="H7" s="705"/>
      <c r="I7" s="705"/>
      <c r="J7" s="705"/>
      <c r="K7" s="705"/>
      <c r="L7" s="705"/>
      <c r="M7" s="705"/>
      <c r="N7" s="705"/>
      <c r="O7" s="705"/>
      <c r="P7" s="705"/>
      <c r="Q7" s="705"/>
    </row>
    <row r="8" spans="1:29">
      <c r="A8" s="3853"/>
      <c r="B8" s="2776" t="s">
        <v>815</v>
      </c>
      <c r="C8" s="3858" t="s">
        <v>816</v>
      </c>
      <c r="D8" s="3859"/>
      <c r="E8" s="3859"/>
      <c r="F8" s="2806"/>
      <c r="G8" s="2806"/>
      <c r="H8" s="705"/>
      <c r="I8" s="705"/>
      <c r="J8" s="705"/>
      <c r="K8" s="705"/>
      <c r="L8" s="705"/>
      <c r="M8" s="705"/>
      <c r="N8" s="705"/>
      <c r="O8" s="705"/>
      <c r="P8" s="705"/>
      <c r="Q8" s="705"/>
    </row>
    <row r="9" ht="24" spans="1:29">
      <c r="A9" s="3853"/>
      <c r="B9" s="2776" t="s">
        <v>819</v>
      </c>
      <c r="C9" s="3856" t="s">
        <v>820</v>
      </c>
      <c r="D9" s="3852"/>
      <c r="E9" s="3859"/>
      <c r="F9" s="2806"/>
      <c r="G9" s="2806"/>
      <c r="H9" s="705"/>
      <c r="I9" s="705"/>
      <c r="J9" s="705"/>
      <c r="K9" s="705"/>
      <c r="L9" s="705"/>
      <c r="M9" s="705"/>
      <c r="N9" s="705"/>
      <c r="O9" s="705"/>
      <c r="P9" s="705"/>
      <c r="Q9" s="705"/>
    </row>
    <row r="10" s="3834" customFormat="1" ht="15" spans="1:29">
      <c r="A10" s="3863"/>
      <c r="B10" s="3864" t="s">
        <v>821</v>
      </c>
      <c r="C10" s="3865"/>
      <c r="D10" s="3852"/>
      <c r="E10" s="3852"/>
      <c r="F10" s="2806"/>
      <c r="G10" s="2806"/>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8"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spans="1:29">
      <c r="A13" s="3873" t="s">
        <v>822</v>
      </c>
      <c r="B13" s="3869"/>
      <c r="C13" s="3869"/>
      <c r="D13" s="3868"/>
      <c r="E13" s="3869"/>
      <c r="F13" s="3869"/>
      <c r="G13" s="3869"/>
    </row>
    <row r="14" spans="1:29">
      <c r="A14" s="3874"/>
      <c r="B14" s="3874"/>
      <c r="C14" s="3875" t="s">
        <v>801</v>
      </c>
      <c r="D14" s="3852"/>
      <c r="E14" s="3876"/>
      <c r="F14" s="3876"/>
      <c r="G14" s="3846" t="s">
        <v>802</v>
      </c>
    </row>
    <row r="15" ht="48" spans="1:29">
      <c r="A15" s="3877" t="s">
        <v>803</v>
      </c>
      <c r="B15" s="3878" t="s">
        <v>804</v>
      </c>
      <c r="C15" s="3879" t="str">
        <f>C3</f>
        <v>估价对象周边居住用地比例、居住小区规模和社区发展完善程度，综合评价居住社区成熟度一般</v>
      </c>
      <c r="D15" s="3852"/>
      <c r="E15" s="3880" t="s">
        <v>803</v>
      </c>
      <c r="F15" s="3878" t="s">
        <v>806</v>
      </c>
      <c r="G15" s="3881" t="str">
        <f>G3</f>
        <v>估价对象位于XX开发区，园区建设成熟度XX，产业集聚程度XX</v>
      </c>
    </row>
    <row r="16" ht="36.75" spans="1:29">
      <c r="A16" s="3882"/>
      <c r="B16" s="3883" t="s">
        <v>808</v>
      </c>
      <c r="C16" s="3884" t="str">
        <f>C4</f>
        <v>估价对象位于XX商圈，周边商业氛围成熟，人流量大，商业繁华度好</v>
      </c>
      <c r="D16" s="3852"/>
      <c r="E16" s="3885"/>
      <c r="F16" s="3886" t="s">
        <v>810</v>
      </c>
      <c r="G16" s="3887" t="str">
        <f>G4</f>
        <v>估价对象周边道路状况、公共交通通达情况、停车便捷程度，综合评价交通便捷度较好</v>
      </c>
    </row>
    <row r="17" ht="36.75" spans="1:17">
      <c r="A17" s="3882"/>
      <c r="B17" s="3883" t="s">
        <v>812</v>
      </c>
      <c r="C17" s="3884" t="str">
        <f>C5</f>
        <v>估价对象位于XX商圈，周边办公楼项目较多，入驻率高，办公集聚程度较好</v>
      </c>
      <c r="D17" s="3859"/>
      <c r="E17" s="3885"/>
      <c r="F17" s="3886" t="s">
        <v>823</v>
      </c>
      <c r="G17" s="3888"/>
    </row>
    <row r="18" ht="36" spans="1:17">
      <c r="A18" s="3882"/>
      <c r="B18" s="3886" t="s">
        <v>810</v>
      </c>
      <c r="C18" s="3887" t="str">
        <f>C6</f>
        <v>估价对象周边道路状况、公共交通通达情况、停车便捷程度，综合评价交通便捷度较好</v>
      </c>
      <c r="D18" s="3859"/>
      <c r="E18" s="3885"/>
      <c r="F18" s="3886" t="s">
        <v>817</v>
      </c>
      <c r="G18" s="3887" t="str">
        <f>G7</f>
        <v>该园区内是否有污染型企业，绿化情况，卫生条件，整体环境状况判断</v>
      </c>
    </row>
    <row r="19" ht="24" spans="1:17">
      <c r="A19" s="3882"/>
      <c r="B19" s="3886" t="s">
        <v>823</v>
      </c>
      <c r="C19" s="3888"/>
      <c r="D19" s="3852"/>
      <c r="E19" s="3885"/>
      <c r="F19" s="2776" t="s">
        <v>628</v>
      </c>
      <c r="G19" s="3887" t="str">
        <f>G5</f>
        <v>估价对象所在区域公共配套设施齐备情况</v>
      </c>
    </row>
    <row r="20" ht="24" spans="1:17">
      <c r="A20" s="3882"/>
      <c r="B20" s="3886" t="s">
        <v>824</v>
      </c>
      <c r="C20" s="3884" t="str">
        <f>C9</f>
        <v>区域自然环境：；人文环境；综合评价环境状况一般</v>
      </c>
      <c r="D20" s="3859"/>
      <c r="E20" s="3885"/>
      <c r="F20" s="2776" t="s">
        <v>815</v>
      </c>
      <c r="G20" s="3887" t="str">
        <f>G6</f>
        <v>估价对象所在区域基础设施水平</v>
      </c>
    </row>
    <row r="21" ht="24" spans="1:17">
      <c r="A21" s="3882"/>
      <c r="B21" s="2776" t="s">
        <v>628</v>
      </c>
      <c r="C21" s="3887" t="str">
        <f>C7</f>
        <v>估价对象所在区域公共配套设施齐备情况</v>
      </c>
      <c r="D21" s="3852"/>
      <c r="E21" s="3885"/>
      <c r="F21" s="3886" t="s">
        <v>825</v>
      </c>
      <c r="G21" s="3889"/>
    </row>
    <row r="22" ht="13.5" customHeight="1" spans="1:17">
      <c r="A22" s="3882"/>
      <c r="B22" s="2776" t="s">
        <v>815</v>
      </c>
      <c r="C22" s="3887" t="str">
        <f>C8</f>
        <v>估价对象所在区域基础设施水平</v>
      </c>
      <c r="D22" s="3852"/>
      <c r="E22" s="3885"/>
      <c r="F22" s="3886" t="s">
        <v>821</v>
      </c>
      <c r="G22" s="3888"/>
    </row>
    <row r="23" s="705" customFormat="1" ht="15" spans="1:17">
      <c r="A23" s="3882"/>
      <c r="B23" s="3886" t="s">
        <v>825</v>
      </c>
      <c r="C23" s="3889"/>
      <c r="D23" s="3814"/>
      <c r="E23" s="3890"/>
      <c r="F23" s="3891" t="s">
        <v>580</v>
      </c>
      <c r="G23" s="3892"/>
      <c r="H23" s="3838"/>
      <c r="I23" s="3838"/>
      <c r="J23" s="3838"/>
      <c r="K23" s="3838"/>
      <c r="L23" s="3838"/>
      <c r="M23" s="3838"/>
      <c r="N23" s="3838"/>
      <c r="O23" s="3838"/>
      <c r="P23" s="3838"/>
      <c r="Q23" s="3838"/>
    </row>
    <row r="24" s="705" customFormat="1" ht="15" spans="1:17">
      <c r="A24" s="3893"/>
      <c r="B24" s="3891" t="s">
        <v>821</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15" customWidth="1"/>
    <col min="2" max="9" width="15.75" style="3815" customWidth="1"/>
    <col min="10" max="16384" width="9" style="3815"/>
  </cols>
  <sheetData>
    <row r="1" ht="16.5" spans="1:11">
      <c r="A1" s="3816" t="s">
        <v>826</v>
      </c>
      <c r="B1" s="3816">
        <f>SUM(B14:B23)</f>
        <v>138.87</v>
      </c>
      <c r="C1" s="3817"/>
      <c r="D1" s="3817"/>
      <c r="E1" s="3817"/>
      <c r="F1" s="3817"/>
      <c r="G1" s="3818"/>
      <c r="H1" s="3819"/>
      <c r="I1" s="3819"/>
      <c r="J1" s="3819"/>
      <c r="K1" s="3819"/>
    </row>
    <row r="2" ht="16.5" spans="1:11">
      <c r="A2" s="3816" t="s">
        <v>827</v>
      </c>
      <c r="B2" s="3816">
        <f>SUM(C14:C23)</f>
        <v>0</v>
      </c>
      <c r="C2" s="3817"/>
      <c r="D2" s="3817"/>
      <c r="E2" s="3817"/>
      <c r="F2" s="3817"/>
      <c r="G2" s="3818"/>
      <c r="H2" s="3819"/>
      <c r="I2" s="3819"/>
      <c r="J2" s="3819"/>
      <c r="K2" s="3819"/>
    </row>
    <row r="3" ht="16.5" spans="1:11">
      <c r="A3" s="3816" t="s">
        <v>828</v>
      </c>
      <c r="B3" s="3820">
        <f>项目基本情况!D3</f>
        <v>46050</v>
      </c>
      <c r="C3" s="3817"/>
      <c r="D3" s="3817"/>
      <c r="E3" s="3817"/>
      <c r="F3" s="3817"/>
      <c r="G3" s="3818"/>
      <c r="H3" s="3819"/>
      <c r="I3" s="3819"/>
      <c r="J3" s="3819"/>
      <c r="K3" s="3819"/>
    </row>
    <row r="4" ht="33" spans="1:11">
      <c r="A4" s="3816" t="s">
        <v>829</v>
      </c>
      <c r="B4" s="3816" t="s">
        <v>830</v>
      </c>
      <c r="C4" s="3816" t="s">
        <v>831</v>
      </c>
      <c r="D4" s="3816" t="s">
        <v>832</v>
      </c>
      <c r="E4" s="3817"/>
      <c r="F4" s="3818"/>
      <c r="G4" s="3818"/>
      <c r="H4" s="3819"/>
      <c r="I4" s="3819"/>
      <c r="J4" s="3819"/>
      <c r="K4" s="3819"/>
    </row>
    <row r="5" ht="16.5" spans="1:11">
      <c r="A5" s="3816" t="s">
        <v>833</v>
      </c>
      <c r="B5" s="3816">
        <f ca="1">SUM(D14:D23)</f>
        <v>740.2049</v>
      </c>
      <c r="C5" s="3816">
        <f ca="1">ROUND(B5*10000/$B$1,0)</f>
        <v>53302</v>
      </c>
      <c r="D5" s="3816" t="e">
        <f ca="1">ROUND(B5*10000/$B$2,0)</f>
        <v>#DIV/0!</v>
      </c>
      <c r="E5" s="3817"/>
      <c r="F5" s="3818"/>
      <c r="G5" s="3818"/>
      <c r="H5" s="3819"/>
      <c r="I5" s="3819"/>
      <c r="J5" s="3819"/>
      <c r="K5" s="3819"/>
    </row>
    <row r="6" ht="16.5" spans="1:11">
      <c r="A6" s="3816" t="s">
        <v>834</v>
      </c>
      <c r="B6" s="3816">
        <f ca="1">SUM(G14:G23)</f>
        <v>740.2049</v>
      </c>
      <c r="C6" s="3816">
        <f ca="1">ROUND(B6*10000/$B$1,0)</f>
        <v>53302</v>
      </c>
      <c r="D6" s="3816" t="e">
        <f ca="1">ROUND(B6*10000/$B$2,0)</f>
        <v>#DIV/0!</v>
      </c>
      <c r="E6" s="3817"/>
      <c r="F6" s="3818"/>
      <c r="G6" s="3818"/>
      <c r="H6" s="3819"/>
      <c r="I6" s="3819"/>
      <c r="J6" s="3819"/>
      <c r="K6" s="3819"/>
    </row>
    <row r="7" ht="16.5" spans="1:11">
      <c r="A7" s="3816" t="s">
        <v>835</v>
      </c>
      <c r="B7" s="3816">
        <f>SUM(H14:H23)</f>
        <v>0</v>
      </c>
      <c r="C7" s="3816" t="str">
        <f ca="1">IF(B7=H14,结果表!H110,ROUND(B7*10000/$B$1,0))</f>
        <v>——</v>
      </c>
      <c r="D7" s="3816" t="e">
        <f>ROUND(B7*10000/$B$2,0)</f>
        <v>#DIV/0!</v>
      </c>
      <c r="E7" s="3817"/>
      <c r="F7" s="3818"/>
      <c r="G7" s="3818"/>
      <c r="H7" s="3819"/>
      <c r="I7" s="3819"/>
      <c r="J7" s="3819"/>
      <c r="K7" s="3819"/>
    </row>
    <row r="8" ht="16.5" spans="1:11">
      <c r="A8" s="3816" t="s">
        <v>377</v>
      </c>
      <c r="B8" s="3816">
        <f>SUM(I14:I23)</f>
        <v>0</v>
      </c>
      <c r="C8" s="3816" t="str">
        <f ca="1">IF(B8=I14,结果表!H112,ROUND(B8*10000/$B$1,0))</f>
        <v>——</v>
      </c>
      <c r="D8" s="3816" t="e">
        <f>ROUND(B8*10000/$B$2,0)</f>
        <v>#DIV/0!</v>
      </c>
      <c r="E8" s="3817"/>
      <c r="F8" s="3818"/>
      <c r="G8" s="3818"/>
      <c r="H8" s="3819"/>
      <c r="I8" s="3819"/>
      <c r="J8" s="3819"/>
      <c r="K8" s="3819"/>
    </row>
    <row r="9" ht="16.5" spans="1:11">
      <c r="A9" s="3816" t="s">
        <v>836</v>
      </c>
      <c r="B9" s="3821"/>
      <c r="C9" s="3822"/>
      <c r="D9" s="3822"/>
      <c r="E9" s="3817"/>
      <c r="F9" s="3818"/>
      <c r="G9" s="3818"/>
      <c r="H9" s="3819"/>
      <c r="I9" s="3819"/>
      <c r="J9" s="3819"/>
      <c r="K9" s="3819"/>
    </row>
    <row r="10" ht="16.5" spans="1:11">
      <c r="A10" s="3816" t="s">
        <v>837</v>
      </c>
      <c r="B10" s="3816">
        <f>IF(E10="",0,ROUND(B1*(E10*365/G10)/10000,0))</f>
        <v>0</v>
      </c>
      <c r="C10" s="3816" t="s">
        <v>838</v>
      </c>
      <c r="D10" s="3816" t="s">
        <v>837</v>
      </c>
      <c r="E10" s="3823"/>
      <c r="F10" s="3824" t="s">
        <v>839</v>
      </c>
      <c r="G10" s="3825"/>
      <c r="H10" s="3819"/>
      <c r="I10" s="3819"/>
      <c r="J10" s="3819"/>
      <c r="K10" s="3819"/>
    </row>
    <row r="11" ht="16.5" spans="1:11">
      <c r="A11" s="3816" t="s">
        <v>840</v>
      </c>
      <c r="B11" s="3826"/>
      <c r="C11" s="3817"/>
      <c r="D11" s="3817"/>
      <c r="E11" s="3817"/>
      <c r="F11" s="3818"/>
      <c r="G11" s="3818"/>
      <c r="H11" s="3819"/>
      <c r="I11" s="3819"/>
      <c r="J11" s="3819"/>
      <c r="K11" s="3819"/>
    </row>
    <row r="12" ht="16.5" spans="1:11">
      <c r="A12" s="3817"/>
      <c r="B12" s="3817"/>
      <c r="C12" s="3817"/>
      <c r="D12" s="3817"/>
      <c r="E12" s="3817"/>
      <c r="F12" s="3818"/>
      <c r="G12" s="3818"/>
      <c r="H12" s="3819"/>
      <c r="I12" s="3819"/>
      <c r="J12" s="3819"/>
      <c r="K12" s="3819"/>
    </row>
    <row r="13" ht="33" spans="1:11">
      <c r="A13" s="3827" t="s">
        <v>841</v>
      </c>
      <c r="B13" s="3828" t="s">
        <v>826</v>
      </c>
      <c r="C13" s="3828" t="s">
        <v>827</v>
      </c>
      <c r="D13" s="3828" t="s">
        <v>842</v>
      </c>
      <c r="E13" s="3816" t="s">
        <v>831</v>
      </c>
      <c r="F13" s="3816" t="s">
        <v>832</v>
      </c>
      <c r="G13" s="3828" t="s">
        <v>843</v>
      </c>
      <c r="H13" s="3828" t="s">
        <v>844</v>
      </c>
      <c r="I13" s="3828" t="s">
        <v>845</v>
      </c>
      <c r="J13" s="3818"/>
      <c r="K13" s="3819"/>
    </row>
    <row r="14" ht="16.5" spans="1:11">
      <c r="A14" s="3829" t="s">
        <v>846</v>
      </c>
      <c r="B14" s="3830">
        <f>'数据-汇总表'!E3</f>
        <v>138.87</v>
      </c>
      <c r="C14" s="3830"/>
      <c r="D14" s="3830">
        <f ca="1">结果表!H118</f>
        <v>740.2049</v>
      </c>
      <c r="E14" s="3830">
        <f ca="1">ROUND(D14*10000/B14,0)</f>
        <v>53302</v>
      </c>
      <c r="F14" s="3830" t="e">
        <f ca="1">ROUND(D14*10000/C14,0)</f>
        <v>#DIV/0!</v>
      </c>
      <c r="G14" s="3830">
        <f ca="1">D14</f>
        <v>740.2049</v>
      </c>
      <c r="H14" s="3830"/>
      <c r="I14" s="3830"/>
      <c r="J14" s="3818"/>
      <c r="K14" s="3819"/>
    </row>
    <row r="15" ht="16.5" spans="1:11">
      <c r="A15" s="3829" t="s">
        <v>847</v>
      </c>
      <c r="B15" s="3831"/>
      <c r="C15" s="3831"/>
      <c r="D15" s="3831"/>
      <c r="E15" s="3830" t="e">
        <f t="shared" ref="E15:E23" si="0">ROUND(D15*10000/B15,0)</f>
        <v>#DIV/0!</v>
      </c>
      <c r="F15" s="3830" t="e">
        <f t="shared" ref="F15:F23" si="1">ROUND(D15*10000/C15,0)</f>
        <v>#DIV/0!</v>
      </c>
      <c r="G15" s="3832"/>
      <c r="H15" s="3832"/>
      <c r="I15" s="3831"/>
      <c r="J15" s="3818"/>
      <c r="K15" s="3819"/>
    </row>
    <row r="16" ht="16.5" spans="1:11">
      <c r="A16" s="3829" t="s">
        <v>848</v>
      </c>
      <c r="B16" s="3831"/>
      <c r="C16" s="3831"/>
      <c r="D16" s="3831"/>
      <c r="E16" s="3830" t="e">
        <f t="shared" si="0"/>
        <v>#DIV/0!</v>
      </c>
      <c r="F16" s="3830" t="e">
        <f t="shared" si="1"/>
        <v>#DIV/0!</v>
      </c>
      <c r="G16" s="3832"/>
      <c r="H16" s="3832"/>
      <c r="I16" s="3831"/>
      <c r="J16" s="3819"/>
      <c r="K16" s="3819"/>
    </row>
    <row r="17" ht="16.5" spans="1:11">
      <c r="A17" s="3829" t="s">
        <v>849</v>
      </c>
      <c r="B17" s="3831"/>
      <c r="C17" s="3831"/>
      <c r="D17" s="3831"/>
      <c r="E17" s="3830" t="e">
        <f t="shared" si="0"/>
        <v>#DIV/0!</v>
      </c>
      <c r="F17" s="3830" t="e">
        <f t="shared" si="1"/>
        <v>#DIV/0!</v>
      </c>
      <c r="G17" s="3832"/>
      <c r="H17" s="3832"/>
      <c r="I17" s="3831"/>
      <c r="J17" s="3819"/>
      <c r="K17" s="3819"/>
    </row>
    <row r="18" ht="16.5" spans="1:11">
      <c r="A18" s="3829" t="s">
        <v>850</v>
      </c>
      <c r="B18" s="3831"/>
      <c r="C18" s="3831"/>
      <c r="D18" s="3831"/>
      <c r="E18" s="3830" t="e">
        <f t="shared" si="0"/>
        <v>#DIV/0!</v>
      </c>
      <c r="F18" s="3830" t="e">
        <f t="shared" si="1"/>
        <v>#DIV/0!</v>
      </c>
      <c r="G18" s="3831"/>
      <c r="H18" s="3831"/>
      <c r="I18" s="3831"/>
      <c r="J18" s="3819"/>
      <c r="K18" s="3819"/>
    </row>
    <row r="19" ht="16.5" spans="1:11">
      <c r="A19" s="3829" t="s">
        <v>851</v>
      </c>
      <c r="B19" s="3831"/>
      <c r="C19" s="3831"/>
      <c r="D19" s="3831"/>
      <c r="E19" s="3830" t="e">
        <f t="shared" si="0"/>
        <v>#DIV/0!</v>
      </c>
      <c r="F19" s="3830" t="e">
        <f t="shared" si="1"/>
        <v>#DIV/0!</v>
      </c>
      <c r="G19" s="3831"/>
      <c r="H19" s="3831"/>
      <c r="I19" s="3831"/>
      <c r="J19" s="3819"/>
      <c r="K19" s="3819"/>
    </row>
    <row r="20" ht="16.5" spans="1:11">
      <c r="A20" s="3829" t="s">
        <v>852</v>
      </c>
      <c r="B20" s="3831"/>
      <c r="C20" s="3831"/>
      <c r="D20" s="3831"/>
      <c r="E20" s="3830" t="e">
        <f t="shared" si="0"/>
        <v>#DIV/0!</v>
      </c>
      <c r="F20" s="3830" t="e">
        <f t="shared" si="1"/>
        <v>#DIV/0!</v>
      </c>
      <c r="G20" s="3831"/>
      <c r="H20" s="3831"/>
      <c r="I20" s="3831"/>
      <c r="J20" s="3819"/>
      <c r="K20" s="3819"/>
    </row>
    <row r="21" ht="16.5" spans="1:11">
      <c r="A21" s="3829" t="s">
        <v>853</v>
      </c>
      <c r="B21" s="3831"/>
      <c r="C21" s="3831"/>
      <c r="D21" s="3831"/>
      <c r="E21" s="3830" t="e">
        <f t="shared" si="0"/>
        <v>#DIV/0!</v>
      </c>
      <c r="F21" s="3830" t="e">
        <f t="shared" si="1"/>
        <v>#DIV/0!</v>
      </c>
      <c r="G21" s="3831"/>
      <c r="H21" s="3831"/>
      <c r="I21" s="3831"/>
      <c r="J21" s="3819"/>
      <c r="K21" s="3819"/>
    </row>
    <row r="22" ht="16.5" spans="1:11">
      <c r="A22" s="3829" t="s">
        <v>854</v>
      </c>
      <c r="B22" s="3831"/>
      <c r="C22" s="3831"/>
      <c r="D22" s="3831"/>
      <c r="E22" s="3830" t="e">
        <f t="shared" si="0"/>
        <v>#DIV/0!</v>
      </c>
      <c r="F22" s="3830" t="e">
        <f t="shared" si="1"/>
        <v>#DIV/0!</v>
      </c>
      <c r="G22" s="3831"/>
      <c r="H22" s="3831"/>
      <c r="I22" s="3831"/>
      <c r="J22" s="3819"/>
      <c r="K22" s="3819"/>
    </row>
    <row r="23" ht="16.5" spans="1:11">
      <c r="A23" s="3829" t="s">
        <v>855</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I31" sqref="I31"/>
    </sheetView>
  </sheetViews>
  <sheetFormatPr defaultColWidth="12.625" defaultRowHeight="21.75" customHeight="1"/>
  <cols>
    <col min="1" max="2" width="12.625" style="3423"/>
    <col min="3" max="4" width="12.625" style="3423" customWidth="1"/>
    <col min="5" max="9" width="12.625" style="3423"/>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22"/>
    <col min="36" max="16384" width="12.625" style="3423"/>
  </cols>
  <sheetData>
    <row r="1" customHeight="1" spans="1:12">
      <c r="A1" s="3424" t="s">
        <v>856</v>
      </c>
      <c r="B1" s="3425"/>
      <c r="C1" s="3426"/>
      <c r="D1" s="3425"/>
      <c r="E1" s="3425"/>
      <c r="F1" s="3427" t="s">
        <v>857</v>
      </c>
      <c r="G1" s="3428"/>
      <c r="H1" s="3427" t="str">
        <f>IF(G1="现房","——","估价对象范围")</f>
        <v>估价对象范围</v>
      </c>
      <c r="I1" s="3429"/>
    </row>
    <row r="2" customHeight="1" spans="1:12">
      <c r="A2" s="3430" t="str">
        <f>项目基本情况!S2</f>
        <v>北京市房地产</v>
      </c>
      <c r="B2" s="3431"/>
      <c r="C2" s="3431"/>
      <c r="D2" s="3431"/>
      <c r="E2" s="3431"/>
      <c r="F2" s="3431"/>
      <c r="G2" s="3431"/>
      <c r="H2" s="3431"/>
      <c r="I2" s="3432"/>
    </row>
    <row r="3" ht="13.5" spans="1:12">
      <c r="A3" s="3433" t="s">
        <v>858</v>
      </c>
      <c r="B3" s="2770"/>
      <c r="C3" s="2770"/>
      <c r="D3" s="2770"/>
      <c r="E3" s="2770"/>
      <c r="F3" s="2770"/>
      <c r="G3" s="2770"/>
      <c r="H3" s="2770"/>
      <c r="I3" s="2770"/>
    </row>
    <row r="4" ht="14.25" spans="1:12">
      <c r="A4" s="3434" t="s">
        <v>859</v>
      </c>
      <c r="B4" s="3435" t="s">
        <v>860</v>
      </c>
      <c r="C4" s="3436" t="s">
        <v>861</v>
      </c>
      <c r="D4" s="3436" t="s">
        <v>285</v>
      </c>
      <c r="E4" s="3437" t="s">
        <v>862</v>
      </c>
      <c r="F4" s="3438"/>
      <c r="G4" s="3438"/>
      <c r="H4" s="3438"/>
      <c r="I4" s="3439"/>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863</v>
      </c>
      <c r="B5" s="3440">
        <v>25</v>
      </c>
      <c r="C5" s="3441"/>
      <c r="D5" s="3442"/>
      <c r="E5" s="2774" t="s">
        <v>864</v>
      </c>
      <c r="F5" s="3443"/>
      <c r="G5" s="3443"/>
      <c r="H5" s="3443"/>
      <c r="I5" s="3187"/>
    </row>
    <row r="6" ht="13.5" spans="1:12">
      <c r="A6" s="1205"/>
      <c r="B6" s="3440"/>
      <c r="C6" s="3444"/>
      <c r="D6" s="3442"/>
      <c r="E6" s="2774" t="s">
        <v>865</v>
      </c>
      <c r="F6" s="3443"/>
      <c r="G6" s="3443"/>
      <c r="H6" s="3443"/>
      <c r="I6" s="3187"/>
    </row>
    <row r="7" ht="13.5" spans="1:12">
      <c r="A7" s="1205"/>
      <c r="B7" s="3440"/>
      <c r="C7" s="3445"/>
      <c r="D7" s="3442"/>
      <c r="E7" s="2774" t="s">
        <v>866</v>
      </c>
      <c r="F7" s="3443"/>
      <c r="G7" s="3443"/>
      <c r="H7" s="3443"/>
      <c r="I7" s="3187"/>
    </row>
    <row r="8" ht="13.5" spans="1:12">
      <c r="A8" s="1205" t="s">
        <v>867</v>
      </c>
      <c r="B8" s="3440">
        <v>15</v>
      </c>
      <c r="C8" s="3441"/>
      <c r="D8" s="3442"/>
      <c r="E8" s="2774" t="s">
        <v>868</v>
      </c>
      <c r="F8" s="3443"/>
      <c r="G8" s="3443"/>
      <c r="H8" s="3443"/>
      <c r="I8" s="3187"/>
    </row>
    <row r="9" ht="13.5" spans="1:12">
      <c r="A9" s="1205"/>
      <c r="B9" s="3440"/>
      <c r="C9" s="3445"/>
      <c r="D9" s="3442"/>
      <c r="E9" s="2774" t="s">
        <v>869</v>
      </c>
      <c r="F9" s="3443"/>
      <c r="G9" s="3443"/>
      <c r="H9" s="3443"/>
      <c r="I9" s="3187"/>
    </row>
    <row r="10" ht="13.5" spans="1:12">
      <c r="A10" s="1205" t="s">
        <v>870</v>
      </c>
      <c r="B10" s="3440">
        <v>15</v>
      </c>
      <c r="C10" s="3441"/>
      <c r="D10" s="3442"/>
      <c r="E10" s="2774" t="s">
        <v>871</v>
      </c>
      <c r="F10" s="3443"/>
      <c r="G10" s="3443"/>
      <c r="H10" s="3443"/>
      <c r="I10" s="3187"/>
    </row>
    <row r="11" ht="13.5" spans="1:12">
      <c r="A11" s="1205"/>
      <c r="B11" s="3440"/>
      <c r="C11" s="3445"/>
      <c r="D11" s="3442"/>
      <c r="E11" s="2774" t="s">
        <v>872</v>
      </c>
      <c r="F11" s="3443"/>
      <c r="G11" s="3443"/>
      <c r="H11" s="3443"/>
      <c r="I11" s="3187"/>
    </row>
    <row r="12" ht="13.5" spans="1:12">
      <c r="A12" s="1205" t="s">
        <v>873</v>
      </c>
      <c r="B12" s="3440">
        <v>15</v>
      </c>
      <c r="C12" s="3441"/>
      <c r="D12" s="3442"/>
      <c r="E12" s="2774" t="s">
        <v>874</v>
      </c>
      <c r="F12" s="3443"/>
      <c r="G12" s="3443"/>
      <c r="H12" s="3443"/>
      <c r="I12" s="3187"/>
    </row>
    <row r="13" ht="13.5" spans="1:12">
      <c r="A13" s="1205"/>
      <c r="B13" s="3440"/>
      <c r="C13" s="3445"/>
      <c r="D13" s="3442"/>
      <c r="E13" s="2774" t="s">
        <v>875</v>
      </c>
      <c r="F13" s="3443"/>
      <c r="G13" s="3443"/>
      <c r="H13" s="3443"/>
      <c r="I13" s="3187"/>
    </row>
    <row r="14" ht="13.5" spans="1:12">
      <c r="A14" s="1205" t="s">
        <v>876</v>
      </c>
      <c r="B14" s="3440">
        <v>30</v>
      </c>
      <c r="C14" s="3441">
        <v>6</v>
      </c>
      <c r="D14" s="3442">
        <v>4</v>
      </c>
      <c r="E14" s="2774" t="s">
        <v>877</v>
      </c>
      <c r="F14" s="3443"/>
      <c r="G14" s="3443"/>
      <c r="H14" s="3443"/>
      <c r="I14" s="3187"/>
    </row>
    <row r="15" ht="13.5" spans="1:12">
      <c r="A15" s="1205"/>
      <c r="B15" s="3440"/>
      <c r="C15" s="3444"/>
      <c r="D15" s="3442"/>
      <c r="E15" s="2774" t="s">
        <v>878</v>
      </c>
      <c r="F15" s="3443"/>
      <c r="G15" s="3443"/>
      <c r="H15" s="3443"/>
      <c r="I15" s="3187"/>
    </row>
    <row r="16" ht="13.5" spans="1:12">
      <c r="A16" s="1205"/>
      <c r="B16" s="3440"/>
      <c r="C16" s="3445"/>
      <c r="D16" s="3442"/>
      <c r="E16" s="2774" t="s">
        <v>879</v>
      </c>
      <c r="F16" s="3443"/>
      <c r="G16" s="3443"/>
      <c r="H16" s="3443"/>
      <c r="I16" s="3187"/>
    </row>
    <row r="17" ht="14.25" spans="1:36">
      <c r="A17" s="3446" t="s">
        <v>880</v>
      </c>
      <c r="B17" s="1439"/>
      <c r="C17" s="3447">
        <f>SUM(C5:C16)</f>
        <v>6</v>
      </c>
      <c r="D17" s="3447">
        <f>SUM(D5:D16)</f>
        <v>4</v>
      </c>
      <c r="E17" s="2350"/>
      <c r="F17" s="2350"/>
      <c r="G17" s="2350"/>
      <c r="H17" s="2350"/>
      <c r="I17" s="2350"/>
      <c r="K17" s="1301"/>
      <c r="L17" s="1301" t="s">
        <v>881</v>
      </c>
      <c r="M17" s="1301" t="s">
        <v>882</v>
      </c>
    </row>
    <row r="18" ht="31.9" customHeight="1" spans="1:36">
      <c r="A18" s="3448" t="s">
        <v>883</v>
      </c>
      <c r="B18" s="3449"/>
      <c r="C18" s="3450">
        <f>ROUND(C17/SUM(C17:D17),2)</f>
        <v>0.6</v>
      </c>
      <c r="D18" s="3450">
        <f>1-C18</f>
        <v>0.4</v>
      </c>
      <c r="E18" s="3451" t="s">
        <v>884</v>
      </c>
      <c r="F18" s="3452"/>
      <c r="G18" s="3452"/>
      <c r="H18" s="3452"/>
      <c r="I18" s="3452"/>
      <c r="K18" s="1301" t="s">
        <v>540</v>
      </c>
      <c r="L18" s="2365">
        <f>IF(C1="",'数据-汇总表'!E3,SUMIF(项目类型,C1,'数据-汇总表'!E17:E26)+SUMIF(项目类型,C1,'数据-汇总表'!I17:I26))</f>
        <v>138.87</v>
      </c>
      <c r="M18" s="2365">
        <f>IF(C1="",'数据-汇总表'!E3,SUMIF(项目类型,C1,'数据-汇总表'!E17:E26))</f>
        <v>138.87</v>
      </c>
    </row>
    <row r="19" ht="14.25" spans="1:36">
      <c r="A19" s="1641" t="s">
        <v>885</v>
      </c>
      <c r="B19" s="3453" t="s">
        <v>886</v>
      </c>
      <c r="C19" s="3454">
        <f ca="1">SUMIF(INDIRECT("'"&amp;C4&amp;"'"&amp;"!A:A"),结果表!B19,INDIRECT("'"&amp;C4&amp;"'"&amp;"!B:B"))</f>
        <v>919.5971</v>
      </c>
      <c r="D19" s="3455">
        <f ca="1">SUMIF(INDIRECT("'"&amp;D4&amp;"'"&amp;"!A:A"),结果表!B19,INDIRECT("'"&amp;D4&amp;"'"&amp;"!B:B"))</f>
        <v>471.1169</v>
      </c>
      <c r="E19" s="1641" t="s">
        <v>887</v>
      </c>
      <c r="F19" s="3453" t="s">
        <v>886</v>
      </c>
      <c r="G19" s="3456">
        <f ca="1">ROUND(C19*$C$18+D19*$D$18,0)</f>
        <v>740</v>
      </c>
      <c r="H19" s="3457" t="s">
        <v>888</v>
      </c>
      <c r="I19" s="2350">
        <f ca="1">ROUND(C19*$C$18+D19*$D$18,4)</f>
        <v>740.205</v>
      </c>
      <c r="K19" s="1301" t="s">
        <v>544</v>
      </c>
      <c r="L19" s="2365">
        <f>IF(C1="",'数据-汇总表'!D3,SUMIF(项目类型,C1,'数据-汇总表'!D17:D26)+SUMIF(项目类型,C1,'数据-汇总表'!H17:H27))</f>
        <v>0</v>
      </c>
      <c r="M19" s="2365">
        <f>IF(C1="",'数据-汇总表'!D3,SUMIF(项目类型,C1,'数据-汇总表'!D17:D26))</f>
        <v>0</v>
      </c>
    </row>
    <row r="20" ht="15" spans="1:36">
      <c r="A20" s="3458"/>
      <c r="B20" s="3459" t="s">
        <v>889</v>
      </c>
      <c r="C20" s="3460">
        <f ca="1">SUMIF(INDIRECT("'"&amp;C4&amp;"'"&amp;"!A:A"),结果表!B20,INDIRECT("'"&amp;C4&amp;"'"&amp;"!B:B"))</f>
        <v>66220</v>
      </c>
      <c r="D20" s="3461">
        <f ca="1">SUMIF(INDIRECT("'"&amp;D4&amp;"'"&amp;"!A:A"),结果表!B20,INDIRECT("'"&amp;D4&amp;"'"&amp;"!B:B"))</f>
        <v>33925</v>
      </c>
      <c r="E20" s="3458"/>
      <c r="F20" s="3459" t="s">
        <v>889</v>
      </c>
      <c r="G20" s="2115">
        <f ca="1">ROUND(C20*$C$18+D20*$D$18,0)</f>
        <v>53302</v>
      </c>
      <c r="H20" s="768" t="s">
        <v>890</v>
      </c>
      <c r="I20" s="2350"/>
    </row>
    <row r="21" ht="15" customHeight="1" spans="1:36">
      <c r="A21" s="1652"/>
      <c r="B21" s="3462" t="s">
        <v>891</v>
      </c>
      <c r="C21" s="3463">
        <f ca="1">SUMIF(INDIRECT("'"&amp;C4&amp;"'"&amp;"!A:A"),结果表!B21,INDIRECT("'"&amp;C4&amp;"'"&amp;"!B:B"))</f>
        <v>0</v>
      </c>
      <c r="D21" s="3464">
        <f ca="1">SUMIF(INDIRECT("'"&amp;D4&amp;"'"&amp;"!A:A"),结果表!B21,INDIRECT("'"&amp;D4&amp;"'"&amp;"!B:B"))</f>
        <v>0</v>
      </c>
      <c r="E21" s="3458"/>
      <c r="F21" s="3465" t="s">
        <v>892</v>
      </c>
      <c r="G21" s="2115">
        <f ca="1">ROUND(C21*$C$18+D21*$D$18,0)</f>
        <v>0</v>
      </c>
      <c r="H21" s="768" t="s">
        <v>890</v>
      </c>
      <c r="I21" s="2350"/>
    </row>
    <row r="22" ht="15" spans="1:36">
      <c r="A22" s="3466" t="s">
        <v>893</v>
      </c>
      <c r="B22" s="3467"/>
      <c r="C22" s="3468"/>
      <c r="D22" s="3469">
        <f ca="1">IF(C19&lt;D19,D19/C19-1,C19/D19-1)</f>
        <v>0.951950991356922</v>
      </c>
      <c r="E22" s="3470"/>
      <c r="F22" s="3471"/>
      <c r="G22" s="3472" t="e">
        <f ca="1">ROUND(G19/('数据-汇总表'!D3/666.67),0)</f>
        <v>#DIV/0!</v>
      </c>
      <c r="H22" s="3473" t="s">
        <v>894</v>
      </c>
      <c r="I22" s="2350"/>
    </row>
    <row r="23" ht="14.25" spans="1:36">
      <c r="A23" s="3425"/>
      <c r="B23" s="3425"/>
      <c r="C23" s="3425"/>
      <c r="D23" s="3425"/>
      <c r="E23" s="2350"/>
      <c r="F23" s="2350"/>
      <c r="G23" s="2350"/>
      <c r="H23" s="2350"/>
      <c r="I23" s="2350"/>
    </row>
    <row r="24" ht="14.25" spans="1:36">
      <c r="A24" s="1446" t="s">
        <v>895</v>
      </c>
      <c r="B24" s="3453" t="s">
        <v>886</v>
      </c>
      <c r="C24" s="3456">
        <f>IF(B30=0,0,D30)</f>
        <v>0</v>
      </c>
      <c r="D24" s="3474"/>
      <c r="E24" s="2350"/>
      <c r="F24" s="2350"/>
      <c r="G24" s="2350"/>
      <c r="H24" s="2350"/>
      <c r="I24" s="2350"/>
    </row>
    <row r="25" ht="14.25" spans="1:36">
      <c r="A25" s="3475"/>
      <c r="B25" s="3476" t="s">
        <v>896</v>
      </c>
      <c r="C25" s="3477">
        <f>IF(B30=0,0,C30)</f>
        <v>0</v>
      </c>
      <c r="D25" s="3478"/>
      <c r="E25" s="2350"/>
      <c r="F25" s="2350"/>
      <c r="G25" s="2350"/>
      <c r="H25" s="2350"/>
      <c r="I25" s="2350"/>
    </row>
    <row r="26" ht="13.5" customHeight="1" spans="1:36">
      <c r="A26" s="3479" t="s">
        <v>897</v>
      </c>
      <c r="B26" s="3480" t="s">
        <v>898</v>
      </c>
      <c r="C26" s="3480" t="s">
        <v>899</v>
      </c>
      <c r="D26" s="3481" t="s">
        <v>900</v>
      </c>
      <c r="E26" s="2350"/>
      <c r="F26" s="2350"/>
      <c r="G26" s="2350"/>
      <c r="H26" s="2350"/>
      <c r="I26" s="2350"/>
    </row>
    <row r="27" ht="14.25" spans="1:36">
      <c r="A27" s="3479"/>
      <c r="B27" s="3482">
        <v>0</v>
      </c>
      <c r="C27" s="3482">
        <v>0</v>
      </c>
      <c r="D27" s="3483">
        <f>ROUND(C27*B27/10000,0)</f>
        <v>0</v>
      </c>
      <c r="E27" s="2350"/>
      <c r="F27" s="2350"/>
      <c r="G27" s="2350"/>
      <c r="H27" s="2350"/>
      <c r="I27" s="2350"/>
    </row>
    <row r="28" ht="14.25" spans="1:36">
      <c r="A28" s="3479"/>
      <c r="B28" s="3482"/>
      <c r="C28" s="3482"/>
      <c r="D28" s="3483"/>
      <c r="E28" s="2350"/>
      <c r="F28" s="2350"/>
      <c r="G28" s="2350"/>
      <c r="H28" s="2350"/>
      <c r="I28" s="2350"/>
    </row>
    <row r="29" ht="14.25" spans="1:36">
      <c r="A29" s="3479"/>
      <c r="B29" s="3482"/>
      <c r="C29" s="3482"/>
      <c r="D29" s="3483"/>
      <c r="E29" s="2350"/>
      <c r="F29" s="2350"/>
      <c r="G29" s="2350"/>
      <c r="H29" s="2350"/>
      <c r="I29" s="2350"/>
    </row>
    <row r="30" ht="15" spans="1:36">
      <c r="A30" s="3480" t="s">
        <v>901</v>
      </c>
      <c r="B30" s="3482"/>
      <c r="C30" s="3482"/>
      <c r="D30" s="3482"/>
      <c r="E30" s="3484" t="s">
        <v>902</v>
      </c>
      <c r="F30" s="2350"/>
      <c r="G30" s="2350"/>
      <c r="H30" s="2350"/>
      <c r="I30" s="2350"/>
    </row>
    <row r="31" s="3419" customFormat="1" ht="26.45" customHeight="1" spans="1:36">
      <c r="A31" s="3485"/>
      <c r="B31" s="3486"/>
      <c r="C31" s="3486"/>
      <c r="D31" s="3486"/>
      <c r="E31" s="3486"/>
      <c r="F31" s="3486"/>
      <c r="G31" s="3486"/>
      <c r="H31" s="3486"/>
      <c r="I31" s="3487" t="s">
        <v>903</v>
      </c>
      <c r="J31" s="3488"/>
      <c r="K31" s="3489"/>
      <c r="L31" s="3489"/>
      <c r="M31" s="3489"/>
      <c r="N31" s="3489"/>
      <c r="O31" s="3489"/>
      <c r="P31" s="3489"/>
      <c r="Q31" s="3489"/>
      <c r="R31" s="3489"/>
      <c r="S31" s="3489"/>
      <c r="T31" s="3489"/>
      <c r="U31" s="3489"/>
      <c r="V31" s="3489"/>
      <c r="W31" s="3489"/>
      <c r="X31" s="3489"/>
      <c r="Y31" s="3489"/>
      <c r="Z31" s="3489"/>
      <c r="AA31" s="3489"/>
      <c r="AB31" s="3490"/>
      <c r="AC31" s="3490"/>
      <c r="AD31" s="3490"/>
      <c r="AE31" s="3490"/>
      <c r="AF31" s="3490"/>
      <c r="AG31" s="3490"/>
      <c r="AH31" s="3490"/>
      <c r="AI31" s="3490"/>
      <c r="AJ31" s="3490"/>
    </row>
    <row r="32" ht="16.5" spans="1:36">
      <c r="A32" s="3491" t="s">
        <v>904</v>
      </c>
      <c r="B32" s="3492"/>
      <c r="C32" s="3493">
        <f ca="1">IF(D32="总价",G19-C24,G20-C25)</f>
        <v>53302</v>
      </c>
      <c r="D32" s="3494" t="s">
        <v>905</v>
      </c>
      <c r="E32" s="2350"/>
      <c r="F32" s="2350"/>
      <c r="G32" s="2350"/>
      <c r="H32" s="2350"/>
      <c r="I32" s="2350"/>
    </row>
    <row r="33" ht="15" spans="1:19">
      <c r="A33" s="3495" t="s">
        <v>906</v>
      </c>
      <c r="B33" s="3496"/>
      <c r="C33" s="3497"/>
      <c r="D33" s="3498"/>
      <c r="E33" s="3499" t="s">
        <v>907</v>
      </c>
      <c r="F33" s="3500" t="str">
        <f>IF(D32="楼面单价","取值（单价）","取值（总价）")</f>
        <v>取值（单价）</v>
      </c>
      <c r="G33" s="2350"/>
      <c r="H33" s="2350"/>
      <c r="I33" s="2350"/>
    </row>
    <row r="34" ht="15" spans="1:19">
      <c r="A34" s="3501"/>
      <c r="B34" s="3502" t="s">
        <v>908</v>
      </c>
      <c r="C34" s="3503" t="e">
        <f ca="1">IF(C33="自定义",F34,C32-C35)</f>
        <v>#REF!</v>
      </c>
      <c r="D34" s="3504" t="e">
        <f ca="1">IF(C33="自定义",ROUND(C34/C32,3),IF(C33="收益比率",SUMIF(INDIRECT("'"&amp;D33&amp;"'"&amp;"!b:b"),"土地收益比率",INDIRECT("'"&amp;D33&amp;"'"&amp;"!c:c")),SUMIF(INDIRECT("'"&amp;D33&amp;"'"&amp;"!b:b"),"土地成本比率",INDIRECT("'"&amp;D33&amp;"'"&amp;"!c:c"))))</f>
        <v>#REF!</v>
      </c>
      <c r="E34" s="3505" t="s">
        <v>909</v>
      </c>
      <c r="F34" s="3506"/>
      <c r="G34" s="2350"/>
      <c r="H34" s="2350"/>
      <c r="I34" s="2350"/>
    </row>
    <row r="35" ht="15.75" spans="1:19">
      <c r="A35" s="3507"/>
      <c r="B35" s="3508" t="s">
        <v>910</v>
      </c>
      <c r="C35" s="3509" t="e">
        <f ca="1">IF(C33="自定义",F35,ROUND(C32*D35,0))</f>
        <v>#REF!</v>
      </c>
      <c r="D35" s="3510" t="e">
        <f ca="1">IF(C33="自定义",ROUND(C35/C32,3),IF(C33="收益比率",SUMIF(INDIRECT("'"&amp;D33&amp;"'"&amp;"!b:b"),"建筑物收益比率",INDIRECT("'"&amp;D33&amp;"'"&amp;"!c:c")),SUMIF(INDIRECT("'"&amp;D33&amp;"'"&amp;"!b:b"),"建筑物成本比率",INDIRECT("'"&amp;D33&amp;"'"&amp;"!c:c"))))</f>
        <v>#REF!</v>
      </c>
      <c r="E35" s="3511" t="s">
        <v>911</v>
      </c>
      <c r="F35" s="3512"/>
      <c r="G35" s="2350"/>
      <c r="H35" s="2350"/>
      <c r="I35" s="2350"/>
    </row>
    <row r="36" ht="15.75" spans="1:19">
      <c r="A36" s="3513" t="s">
        <v>912</v>
      </c>
      <c r="B36" s="3514" t="s">
        <v>913</v>
      </c>
      <c r="C36" s="3515"/>
      <c r="D36" s="3516"/>
      <c r="E36" s="3517"/>
      <c r="F36" s="3518"/>
      <c r="G36" s="2350"/>
      <c r="H36" s="2350"/>
      <c r="I36" s="2350"/>
    </row>
    <row r="37" ht="15.75" spans="1:19">
      <c r="A37" s="3519"/>
      <c r="B37" s="1445" t="s">
        <v>914</v>
      </c>
      <c r="C37" s="3520"/>
      <c r="D37" s="3521"/>
      <c r="E37" s="3521"/>
      <c r="F37" s="3518"/>
      <c r="G37" s="2350"/>
      <c r="H37" s="2350"/>
      <c r="I37" s="2350"/>
    </row>
    <row r="38" ht="15.75" spans="1:19">
      <c r="A38" s="3522"/>
      <c r="B38" s="3523" t="s">
        <v>915</v>
      </c>
      <c r="C38" s="3524"/>
      <c r="D38" s="3525" t="s">
        <v>916</v>
      </c>
      <c r="E38" s="3521"/>
      <c r="F38" s="3518"/>
      <c r="G38" s="2350"/>
      <c r="H38" s="2350"/>
      <c r="I38" s="2350"/>
    </row>
    <row r="39" ht="14.25" spans="1:19">
      <c r="A39" s="3458" t="s">
        <v>917</v>
      </c>
      <c r="B39" s="3526" t="s">
        <v>898</v>
      </c>
      <c r="C39" s="3527" t="s">
        <v>899</v>
      </c>
      <c r="D39" s="3527" t="s">
        <v>918</v>
      </c>
      <c r="E39" s="3528" t="s">
        <v>900</v>
      </c>
      <c r="F39" s="3518"/>
      <c r="G39" s="2350"/>
      <c r="H39" s="2350"/>
      <c r="I39" s="2350"/>
    </row>
    <row r="40" ht="14.25" spans="1:19">
      <c r="A40" s="3529" t="s">
        <v>919</v>
      </c>
      <c r="B40" s="3530"/>
      <c r="C40" s="3531"/>
      <c r="D40" s="3531"/>
      <c r="E40" s="3532"/>
      <c r="F40" s="3518"/>
      <c r="G40" s="2350"/>
      <c r="H40" s="2350"/>
      <c r="I40" s="2350"/>
    </row>
    <row r="41" ht="14.25" spans="1:19">
      <c r="A41" s="3529" t="s">
        <v>920</v>
      </c>
      <c r="B41" s="3530"/>
      <c r="C41" s="3531"/>
      <c r="D41" s="3531"/>
      <c r="E41" s="3532"/>
      <c r="F41" s="3518"/>
      <c r="G41" s="2350"/>
      <c r="H41" s="2350"/>
      <c r="I41" s="2350"/>
    </row>
    <row r="42" ht="15" spans="1:19">
      <c r="A42" s="3533"/>
      <c r="B42" s="3534"/>
      <c r="C42" s="3535"/>
      <c r="D42" s="3535"/>
      <c r="E42" s="3512"/>
      <c r="F42" s="3518"/>
      <c r="G42" s="2350"/>
      <c r="H42" s="2350"/>
      <c r="I42" s="2350"/>
    </row>
    <row r="43" ht="13.5" spans="1:19">
      <c r="A43" s="3536"/>
      <c r="B43" s="3536"/>
      <c r="C43" s="3536"/>
      <c r="D43" s="3536"/>
      <c r="E43" s="3536"/>
      <c r="F43" s="3537"/>
      <c r="G43" s="3537"/>
      <c r="H43" s="3537"/>
      <c r="I43" s="3538"/>
    </row>
    <row r="44" ht="18.75" spans="1:19">
      <c r="A44" s="3539" t="s">
        <v>921</v>
      </c>
      <c r="B44" s="3540"/>
      <c r="C44" s="3540"/>
      <c r="D44" s="3541"/>
      <c r="E44" s="3541"/>
      <c r="F44" s="3542"/>
      <c r="G44" s="3542"/>
      <c r="H44" s="3542"/>
      <c r="I44" s="3542"/>
      <c r="J44" s="3543" t="s">
        <v>922</v>
      </c>
      <c r="K44" s="939"/>
      <c r="L44" s="939"/>
      <c r="M44" s="939"/>
      <c r="N44" s="939"/>
      <c r="O44" s="939"/>
    </row>
    <row r="45" ht="14.25" customHeight="1" spans="1:19">
      <c r="A45" s="3544" t="s">
        <v>923</v>
      </c>
      <c r="B45" s="3545"/>
      <c r="C45" s="3546"/>
      <c r="D45" s="2715">
        <f ca="1">ROUND(H101*F45,0)</f>
        <v>740</v>
      </c>
      <c r="E45" s="3547" t="s">
        <v>924</v>
      </c>
      <c r="F45" s="3548">
        <v>1</v>
      </c>
      <c r="G45" s="3549" t="s">
        <v>925</v>
      </c>
      <c r="H45" s="2350"/>
      <c r="I45" s="2350"/>
      <c r="J45" s="3550" t="s">
        <v>926</v>
      </c>
      <c r="K45" s="3550"/>
      <c r="L45" s="3550"/>
      <c r="M45" s="3550"/>
      <c r="N45" s="3550"/>
      <c r="O45" s="3550"/>
    </row>
    <row r="46" ht="14.25" customHeight="1" spans="1:19">
      <c r="A46" s="3551" t="s">
        <v>927</v>
      </c>
      <c r="B46" s="3552"/>
      <c r="C46" s="3552"/>
      <c r="D46" s="3552"/>
      <c r="E46" s="3552"/>
      <c r="F46" s="3552"/>
      <c r="G46" s="3553"/>
      <c r="H46" s="3554"/>
      <c r="I46" s="2351"/>
      <c r="J46" s="967">
        <v>1</v>
      </c>
      <c r="K46" s="3555" t="s">
        <v>928</v>
      </c>
      <c r="L46" s="3555"/>
      <c r="M46" s="3556"/>
      <c r="N46" s="3556"/>
      <c r="O46" s="3556"/>
    </row>
    <row r="47" ht="12" customHeight="1" spans="1:19">
      <c r="A47" s="3557" t="s">
        <v>929</v>
      </c>
      <c r="B47" s="3558"/>
      <c r="C47" s="3559"/>
      <c r="D47" s="2754" t="s">
        <v>930</v>
      </c>
      <c r="E47" s="1301" t="s">
        <v>931</v>
      </c>
      <c r="F47" s="3245" t="s">
        <v>932</v>
      </c>
      <c r="G47" s="3560" t="s">
        <v>933</v>
      </c>
      <c r="H47" s="3561"/>
      <c r="I47" s="2351"/>
      <c r="J47" s="967">
        <v>2</v>
      </c>
      <c r="K47" s="3555" t="s">
        <v>934</v>
      </c>
      <c r="L47" s="3555"/>
      <c r="M47" s="3562">
        <f>'数据-取费表'!B2</f>
        <v>46050</v>
      </c>
      <c r="N47" s="3562"/>
      <c r="O47" s="3562"/>
    </row>
    <row r="48" ht="24.75" spans="1:19">
      <c r="A48" s="3563" t="s">
        <v>935</v>
      </c>
      <c r="B48" s="2368"/>
      <c r="C48" s="2368"/>
      <c r="D48" s="3564">
        <f ca="1">ROUND(IF(H48="情况1",0,IF(H48="情况2",D52,IF(H48="情况3",D53,IF(H48="情况4",D54))))*(1+'数据-取费表'!B44),0)</f>
        <v>0</v>
      </c>
      <c r="E48" s="2368" t="str">
        <f>IF(H48="情况4","(销售额-原购置价)×税（费）率","销售额×税（费）率")</f>
        <v>销售额×税（费）率</v>
      </c>
      <c r="F48" s="3565">
        <f>IF(H48="情况1","免征",'数据-取费表'!B42)</f>
        <v>0</v>
      </c>
      <c r="G48" s="3566" t="s">
        <v>936</v>
      </c>
      <c r="H48" s="3567"/>
      <c r="I48" s="3554"/>
      <c r="J48" s="967">
        <v>3</v>
      </c>
      <c r="K48" s="3555" t="s">
        <v>937</v>
      </c>
      <c r="L48" s="3555"/>
      <c r="M48" s="3568">
        <f ca="1">H101</f>
        <v>740.2049</v>
      </c>
      <c r="N48" s="3568"/>
      <c r="O48" s="3568"/>
      <c r="R48" s="3569" t="s">
        <v>938</v>
      </c>
      <c r="S48" s="3570"/>
    </row>
    <row r="49" ht="25.5" customHeight="1" spans="1:35">
      <c r="A49" s="3563" t="s">
        <v>939</v>
      </c>
      <c r="B49" s="2759" t="s">
        <v>940</v>
      </c>
      <c r="C49" s="2759"/>
      <c r="D49" s="3571">
        <v>0</v>
      </c>
      <c r="E49" s="2778" t="s">
        <v>941</v>
      </c>
      <c r="F49" s="3572" t="s">
        <v>124</v>
      </c>
      <c r="G49" s="3573"/>
      <c r="H49" s="3574" t="s">
        <v>942</v>
      </c>
      <c r="I49" s="3575"/>
      <c r="J49" s="967">
        <v>4</v>
      </c>
      <c r="K49" s="3555" t="str">
        <f>IF(项目基本情况!E8="房地产抵押价值","房地产抵押价值","抵押担保权已注销时的房地产抵押价值")</f>
        <v>房地产抵押价值</v>
      </c>
      <c r="L49" s="3555"/>
      <c r="M49" s="3568">
        <f ca="1">IF(项目基本情况!E8="房地产抵押价值",H107,H109)</f>
        <v>740.2049</v>
      </c>
      <c r="N49" s="3568"/>
      <c r="O49" s="3568"/>
      <c r="R49" s="3576" t="s">
        <v>943</v>
      </c>
      <c r="S49" s="3569" t="s">
        <v>944</v>
      </c>
    </row>
    <row r="50" ht="25.5" customHeight="1" spans="1:35">
      <c r="A50" s="3577"/>
      <c r="B50" s="2759" t="s">
        <v>945</v>
      </c>
      <c r="C50" s="2759"/>
      <c r="D50" s="3578"/>
      <c r="E50" s="2794"/>
      <c r="F50" s="3572"/>
      <c r="G50" s="3579"/>
      <c r="H50" s="3580" t="s">
        <v>946</v>
      </c>
      <c r="I50" s="3575"/>
      <c r="J50" s="3550" t="s">
        <v>947</v>
      </c>
      <c r="K50" s="3550"/>
      <c r="L50" s="3550"/>
      <c r="M50" s="3550"/>
      <c r="N50" s="3550"/>
      <c r="O50" s="3550"/>
      <c r="R50" s="3576" t="s">
        <v>948</v>
      </c>
      <c r="S50" s="3569" t="s">
        <v>949</v>
      </c>
    </row>
    <row r="51" ht="20.45" customHeight="1" spans="1:35">
      <c r="A51" s="3581"/>
      <c r="B51" s="2759" t="s">
        <v>950</v>
      </c>
      <c r="C51" s="2759"/>
      <c r="D51" s="2710"/>
      <c r="E51" s="2783"/>
      <c r="F51" s="3572"/>
      <c r="G51" s="3582"/>
      <c r="H51" s="3580" t="s">
        <v>951</v>
      </c>
      <c r="I51" s="3575"/>
      <c r="J51" s="3555" t="s">
        <v>952</v>
      </c>
      <c r="K51" s="3555" t="s">
        <v>953</v>
      </c>
      <c r="L51" s="3555"/>
      <c r="M51" s="3555" t="s">
        <v>954</v>
      </c>
      <c r="N51" s="3555" t="s">
        <v>955</v>
      </c>
      <c r="O51" s="3555" t="s">
        <v>956</v>
      </c>
      <c r="R51" s="3576" t="s">
        <v>957</v>
      </c>
      <c r="S51" s="3570" t="s">
        <v>958</v>
      </c>
    </row>
    <row r="52" ht="24" customHeight="1" spans="1:35">
      <c r="A52" s="3583" t="s">
        <v>959</v>
      </c>
      <c r="B52" s="2759" t="s">
        <v>960</v>
      </c>
      <c r="C52" s="2759"/>
      <c r="D52" s="2710">
        <f ca="1">ROUND(D45*F52/(1+F52),0)</f>
        <v>22</v>
      </c>
      <c r="E52" s="2368" t="s">
        <v>961</v>
      </c>
      <c r="F52" s="3584">
        <v>0.03</v>
      </c>
      <c r="G52" s="3585" t="s">
        <v>962</v>
      </c>
      <c r="H52" s="1337"/>
      <c r="I52" s="3586"/>
      <c r="J52" s="967">
        <v>1</v>
      </c>
      <c r="K52" s="967" t="s">
        <v>963</v>
      </c>
      <c r="L52" s="967"/>
      <c r="M52" s="3587">
        <f ca="1">IF(D48&lt;=0,0,D48)</f>
        <v>0</v>
      </c>
      <c r="N52" s="967" t="str">
        <f>E48</f>
        <v>销售额×税（费）率</v>
      </c>
      <c r="O52" s="3588">
        <f>F48</f>
        <v>0</v>
      </c>
      <c r="R52" s="3569" t="s">
        <v>371</v>
      </c>
      <c r="S52" s="3569" t="s">
        <v>964</v>
      </c>
    </row>
    <row r="53" ht="12" customHeight="1" spans="1:35">
      <c r="A53" s="3583" t="s">
        <v>965</v>
      </c>
      <c r="B53" s="2758" t="s">
        <v>966</v>
      </c>
      <c r="C53" s="3589"/>
      <c r="D53" s="2710">
        <f ca="1">IF(G53="2016年5月1日之前项目",ROUND(D45*F53/(1+F53),0),H63)</f>
        <v>61</v>
      </c>
      <c r="E53" s="2368" t="str">
        <f>IF(G53="2016年5月1日之前项目","全额计税","进销项计算")</f>
        <v>进销项计算</v>
      </c>
      <c r="F53" s="3584">
        <f>IF(G53="2016年5月1日之前项目",5%,9%)</f>
        <v>0.09</v>
      </c>
      <c r="G53" s="3590"/>
      <c r="H53" s="1337"/>
      <c r="I53" s="3586"/>
      <c r="J53" s="967">
        <v>2</v>
      </c>
      <c r="K53" s="967" t="s">
        <v>967</v>
      </c>
      <c r="L53" s="967"/>
      <c r="M53" s="3587">
        <f ca="1" t="shared" ref="M53:O54" si="0">D55</f>
        <v>0</v>
      </c>
      <c r="N53" s="967" t="str">
        <f t="shared" si="0"/>
        <v>销售额×税（费）率</v>
      </c>
      <c r="O53" s="3588" t="str">
        <f t="shared" si="0"/>
        <v>免征</v>
      </c>
      <c r="R53" s="3569" t="s">
        <v>968</v>
      </c>
      <c r="S53" s="3570" t="s">
        <v>969</v>
      </c>
    </row>
    <row r="54" ht="12" customHeight="1" spans="1:35">
      <c r="A54" s="3583" t="s">
        <v>970</v>
      </c>
      <c r="B54" s="2758" t="s">
        <v>971</v>
      </c>
      <c r="C54" s="3589"/>
      <c r="D54" s="2710">
        <f ca="1">IF(G54="2016年5月1日之前项目",C68,H63)</f>
        <v>61</v>
      </c>
      <c r="E54" s="3591" t="str">
        <f>IF(G54="2016年5月1日之前项目","差额计税","进销项计算")</f>
        <v>进销项计算</v>
      </c>
      <c r="F54" s="3584">
        <f>IF(G54="2016年5月1日之前项目",5%,9%)</f>
        <v>0.09</v>
      </c>
      <c r="G54" s="3590"/>
      <c r="H54" s="3592"/>
      <c r="I54" s="3586"/>
      <c r="J54" s="967">
        <v>3</v>
      </c>
      <c r="K54" s="967" t="s">
        <v>972</v>
      </c>
      <c r="L54" s="967"/>
      <c r="M54" s="3587" t="e">
        <f ca="1" t="shared" si="0"/>
        <v>#VALUE!</v>
      </c>
      <c r="N54" s="967" t="str">
        <f t="shared" si="0"/>
        <v>增值额×税（费）率</v>
      </c>
      <c r="O54" s="3593" t="str">
        <f t="shared" si="0"/>
        <v>免征</v>
      </c>
      <c r="P54" s="2350"/>
      <c r="R54" s="3576" t="s">
        <v>973</v>
      </c>
      <c r="S54" s="3570" t="s">
        <v>974</v>
      </c>
    </row>
    <row r="55" ht="24" customHeight="1" spans="1:35">
      <c r="A55" s="3583" t="s">
        <v>975</v>
      </c>
      <c r="B55" s="2368"/>
      <c r="C55" s="2368"/>
      <c r="D55" s="3564">
        <f ca="1">IF(H55="个人住宅",0,ROUND(D45*I55,0))</f>
        <v>0</v>
      </c>
      <c r="E55" s="2368" t="s">
        <v>976</v>
      </c>
      <c r="F55" s="3584" t="str">
        <f>IF(H55="正常",I55,"免征")</f>
        <v>免征</v>
      </c>
      <c r="G55" s="1302"/>
      <c r="H55" s="3567"/>
      <c r="I55" s="3594">
        <f>'数据-取费表'!B50</f>
        <v>0.0005</v>
      </c>
      <c r="J55" s="967">
        <f>IF(H59="非个人房产","",4)</f>
        <v>4</v>
      </c>
      <c r="K55" s="967" t="str">
        <f>IF(H59="非个人房产","——","个人所得税")</f>
        <v>个人所得税</v>
      </c>
      <c r="L55" s="967"/>
      <c r="M55" s="3595">
        <f ca="1">D59</f>
        <v>7</v>
      </c>
      <c r="N55" s="942" t="str">
        <f>E59</f>
        <v>差额计税</v>
      </c>
      <c r="O55" s="3596">
        <f>F59</f>
        <v>0.01</v>
      </c>
      <c r="R55" s="3576" t="s">
        <v>977</v>
      </c>
      <c r="S55" s="3570" t="s">
        <v>978</v>
      </c>
    </row>
    <row r="56" ht="24.75" spans="1:35">
      <c r="A56" s="3583" t="s">
        <v>979</v>
      </c>
      <c r="B56" s="2368"/>
      <c r="C56" s="2368"/>
      <c r="D56" s="3564" t="e">
        <f ca="1">IF(H56="个人住宅",D57,IF(H56="正常",D58,ROUND(D45*F56,0)))</f>
        <v>#VALUE!</v>
      </c>
      <c r="E56" s="2368" t="s">
        <v>980</v>
      </c>
      <c r="F56" s="3584" t="str">
        <f>IF(H56="正常",F58,IF(H56="按预征率计算",5%,"免征"))</f>
        <v>免征</v>
      </c>
      <c r="G56" s="3597" t="s">
        <v>981</v>
      </c>
      <c r="H56" s="3598"/>
      <c r="I56" s="3599"/>
      <c r="J56" s="967" t="str">
        <f>IF(项目基本情况!K6="上海银行",IF(J55="",4,J55+1),"")</f>
        <v/>
      </c>
      <c r="K56" s="2761" t="str">
        <f>IF(项目基本情况!K6="上海银行","其他处置费用","")</f>
        <v/>
      </c>
      <c r="L56" s="789"/>
      <c r="M56" s="3587" t="str">
        <f ca="1">IF(项目基本情况!K6="上海银行",M69,"")</f>
        <v/>
      </c>
      <c r="N56" s="2761" t="str">
        <f>IF(项目基本情况!K6="上海银行","包含处置中涉及的律师、诉讼、拍卖、评估等费用","")</f>
        <v/>
      </c>
      <c r="O56" s="2723"/>
      <c r="R56" s="3570"/>
      <c r="S56" s="3570" t="s">
        <v>982</v>
      </c>
    </row>
    <row r="57" ht="13.5" spans="1:35">
      <c r="A57" s="3583" t="s">
        <v>939</v>
      </c>
      <c r="B57" s="2758" t="s">
        <v>983</v>
      </c>
      <c r="C57" s="3589"/>
      <c r="D57" s="3571">
        <v>0</v>
      </c>
      <c r="E57" s="2778" t="s">
        <v>941</v>
      </c>
      <c r="F57" s="1301"/>
      <c r="G57" s="1302"/>
      <c r="H57" s="3600"/>
      <c r="I57" s="3599"/>
      <c r="J57" s="967">
        <f>IF(AND(J55="",J56=""),4,IF(项目基本情况!K6="上海银行",结果表!J56+1,结果表!J55+1))</f>
        <v>5</v>
      </c>
      <c r="K57" s="967" t="s">
        <v>984</v>
      </c>
      <c r="L57" s="3601" t="s">
        <v>985</v>
      </c>
      <c r="M57" s="3602"/>
      <c r="N57" s="3603">
        <f ca="1">SUMIF(M52:M56,"&lt;9e307")</f>
        <v>7</v>
      </c>
      <c r="O57" s="3604"/>
      <c r="P57" s="3605">
        <f ca="1">N57/M49</f>
        <v>0.00945684093688113</v>
      </c>
      <c r="R57" s="3606" t="s">
        <v>986</v>
      </c>
      <c r="S57" s="3607"/>
    </row>
    <row r="58" ht="24.75" spans="1:35">
      <c r="A58" s="3583" t="s">
        <v>959</v>
      </c>
      <c r="B58" s="2758" t="s">
        <v>987</v>
      </c>
      <c r="C58" s="2759"/>
      <c r="D58" s="3564">
        <f ca="1">IF(H58="转让取得",C81,C97)</f>
        <v>330</v>
      </c>
      <c r="E58" s="2368" t="s">
        <v>980</v>
      </c>
      <c r="F58" s="1301" t="s">
        <v>124</v>
      </c>
      <c r="G58" s="1302"/>
      <c r="H58" s="3598"/>
      <c r="I58" s="3599"/>
      <c r="J58" s="967"/>
      <c r="K58" s="967"/>
      <c r="L58" s="3601" t="s">
        <v>988</v>
      </c>
      <c r="M58" s="3608"/>
      <c r="N58" s="3609" t="str">
        <f ca="1">NUMBERSTRING(INT(N57*10000),2)&amp;"元整"</f>
        <v>柒万元整</v>
      </c>
      <c r="O58" s="3610"/>
      <c r="R58" s="3611"/>
      <c r="S58" s="3612"/>
    </row>
    <row r="59" ht="24.75" spans="1:35">
      <c r="A59" s="3613" t="s">
        <v>989</v>
      </c>
      <c r="B59" s="3614"/>
      <c r="C59" s="3614"/>
      <c r="D59" s="3615">
        <f ca="1">IF(H59="非个人房产","——",IF(H59="个人住宅（满五唯一有凭证）",0,IF(H59="个人其他（无凭证）",ROUND(D45/(1+'数据-取费表'!C43)*F59,0),ROUND(C67*F59,0))))</f>
        <v>7</v>
      </c>
      <c r="E59" s="3614" t="str">
        <f>IF(H59="非个人房产","——",IF(H59="个人其他（无凭证）","销售额×税（费）率",IF(H59="个人住宅（满五唯一有凭证）","免征","差额计税")))</f>
        <v>差额计税</v>
      </c>
      <c r="F59" s="3616">
        <f>IF(OR(H59="非个人房产",H59="个人住宅（满五唯一有凭证）"),"——",IF(H59="个人其他（有凭证）",20%,1%))</f>
        <v>0.01</v>
      </c>
      <c r="G59" s="3617" t="s">
        <v>981</v>
      </c>
      <c r="H59" s="3618"/>
      <c r="I59" s="3619" t="s">
        <v>990</v>
      </c>
      <c r="J59" s="942">
        <f>J57+1</f>
        <v>6</v>
      </c>
      <c r="K59" s="967" t="s">
        <v>991</v>
      </c>
      <c r="L59" s="967" t="s">
        <v>985</v>
      </c>
      <c r="M59" s="3620"/>
      <c r="N59" s="3621">
        <f ca="1">M49-N57</f>
        <v>733.2049</v>
      </c>
      <c r="O59" s="3622"/>
      <c r="R59" s="3569" t="s">
        <v>992</v>
      </c>
      <c r="S59" s="3569" t="s">
        <v>993</v>
      </c>
    </row>
    <row r="60" ht="12" customHeight="1" spans="1:35">
      <c r="A60" s="3623"/>
      <c r="B60" s="3425"/>
      <c r="C60" s="3425"/>
      <c r="D60" s="3425"/>
      <c r="E60" s="3624"/>
      <c r="F60" s="3599"/>
      <c r="G60" s="3599"/>
      <c r="H60" s="3625"/>
      <c r="I60" s="2350"/>
      <c r="J60" s="947"/>
      <c r="K60" s="967"/>
      <c r="L60" s="3601" t="s">
        <v>988</v>
      </c>
      <c r="M60" s="3608"/>
      <c r="N60" s="3609" t="str">
        <f ca="1">NUMBERSTRING(INT(N59*10000),2)&amp;"元整"</f>
        <v>柒佰叁拾叁万贰仟零肆拾玖元整</v>
      </c>
      <c r="O60" s="3610"/>
      <c r="R60" s="3569" t="s">
        <v>994</v>
      </c>
      <c r="S60" s="3569" t="s">
        <v>995</v>
      </c>
    </row>
    <row r="61" ht="14.25" spans="1:35">
      <c r="A61" s="3626" t="s">
        <v>996</v>
      </c>
      <c r="B61" s="3627"/>
      <c r="C61" s="3627"/>
      <c r="D61" s="3627"/>
      <c r="E61" s="3628"/>
      <c r="F61" s="3629" t="s">
        <v>997</v>
      </c>
      <c r="G61" s="3630"/>
      <c r="H61" s="3630"/>
      <c r="I61" s="3631"/>
      <c r="J61" s="1135">
        <f>J59+1</f>
        <v>7</v>
      </c>
      <c r="K61" s="967" t="s">
        <v>998</v>
      </c>
      <c r="L61" s="967"/>
      <c r="M61" s="3632"/>
      <c r="N61" s="3633">
        <f ca="1">ROUND(N59*10000/'数据-汇总表'!E3,0)</f>
        <v>52798</v>
      </c>
      <c r="O61" s="3634"/>
    </row>
    <row r="62" ht="13.5" customHeight="1" spans="1:35">
      <c r="A62" s="3635" t="s">
        <v>999</v>
      </c>
      <c r="B62" s="3636" t="s">
        <v>1000</v>
      </c>
      <c r="C62" s="960" t="s">
        <v>1001</v>
      </c>
      <c r="D62" s="3637" t="s">
        <v>1002</v>
      </c>
      <c r="E62" s="3638" t="s">
        <v>1003</v>
      </c>
      <c r="F62" s="3639" t="s">
        <v>999</v>
      </c>
      <c r="G62" s="3640" t="s">
        <v>1000</v>
      </c>
      <c r="H62" s="3002" t="s">
        <v>1001</v>
      </c>
      <c r="I62" s="3641" t="s">
        <v>1002</v>
      </c>
    </row>
    <row r="63" ht="13.5" spans="1:35">
      <c r="A63" s="3642" t="s">
        <v>1004</v>
      </c>
      <c r="B63" s="3643" t="s">
        <v>1005</v>
      </c>
      <c r="C63" s="899">
        <f ca="1">ROUND(C64+C65,0)</f>
        <v>740</v>
      </c>
      <c r="D63" s="3644"/>
      <c r="E63" s="3645" t="s">
        <v>1006</v>
      </c>
      <c r="F63" s="3583">
        <v>1</v>
      </c>
      <c r="G63" s="3048" t="s">
        <v>968</v>
      </c>
      <c r="H63" s="2367">
        <f ca="1">H64-H66</f>
        <v>61</v>
      </c>
      <c r="I63" s="3646"/>
      <c r="J63" s="3647" t="s">
        <v>1007</v>
      </c>
      <c r="K63" s="3648" t="s">
        <v>1008</v>
      </c>
      <c r="L63" s="3649">
        <f ca="1">IF(M49&gt;10000,M49*0.5%,IF(AND(M49&gt;1000,M49&lt;=10000),M49*1%,IF(AND(M49&gt;100,M49&lt;=1000),M49*3%,IF(AND(M49&gt;10,M49&lt;=100),M49*5%,M49*8%))))</f>
        <v>22.206147</v>
      </c>
      <c r="M63" s="2365">
        <f ca="1">ROUND(L63,1)</f>
        <v>22.2</v>
      </c>
      <c r="N63" s="1349"/>
      <c r="Z63" s="3422"/>
      <c r="AI63" s="3423"/>
    </row>
    <row r="64" ht="14.25" customHeight="1" spans="1:35">
      <c r="A64" s="3650" t="s">
        <v>1009</v>
      </c>
      <c r="B64" s="3651" t="s">
        <v>1010</v>
      </c>
      <c r="C64" s="850">
        <f ca="1">D45</f>
        <v>740</v>
      </c>
      <c r="D64" s="3652"/>
      <c r="E64" s="3653"/>
      <c r="F64" s="3583">
        <v>2</v>
      </c>
      <c r="G64" s="3048" t="s">
        <v>1011</v>
      </c>
      <c r="H64" s="2367">
        <f ca="1">ROUND(H65*I64/(1+I64),0)</f>
        <v>61</v>
      </c>
      <c r="I64" s="3654">
        <v>0.09</v>
      </c>
      <c r="J64" s="3647"/>
      <c r="K64" s="3648" t="s">
        <v>1012</v>
      </c>
      <c r="L64" s="3649">
        <f ca="1">IF(M49&gt;2000,M49*0.5%,IF(AND(M49&gt;1000,M49&lt;=2000),M49*0.6%,IF(AND(M49&gt;500,M49&lt;=1000),M49*0.7%,IF(AND(M49&gt;200,M49&lt;=500),M49*0.8%,IF(AND(M49&gt;100,M49&lt;=200),M49*0.9%,IF(AND(M49&gt;50,M49&lt;=100),M49*1%,IF(AND(M49&gt;20,M49&lt;=50),M49*1.5%,IF(AND(M49&gt;10,M49&lt;=20),M49*2%,IF(AND(M49&gt;1,M49&lt;=10),M49*2.5%)))))))))</f>
        <v>5.1814343</v>
      </c>
      <c r="M64" s="2365">
        <f ca="1" t="shared" ref="M64:M65" si="1">ROUND(L64,1)</f>
        <v>5.2</v>
      </c>
      <c r="N64" s="1337" t="s">
        <v>1013</v>
      </c>
      <c r="Z64" s="3422"/>
      <c r="AI64" s="3423"/>
    </row>
    <row r="65" ht="14.25" customHeight="1" spans="1:35">
      <c r="A65" s="3650" t="s">
        <v>1014</v>
      </c>
      <c r="B65" s="3651" t="s">
        <v>1015</v>
      </c>
      <c r="C65" s="3655"/>
      <c r="D65" s="3656"/>
      <c r="E65" s="3653"/>
      <c r="F65" s="3650" t="s">
        <v>1009</v>
      </c>
      <c r="G65" s="3256" t="s">
        <v>1016</v>
      </c>
      <c r="H65" s="2367">
        <f ca="1">D45</f>
        <v>740</v>
      </c>
      <c r="I65" s="3646"/>
      <c r="J65" s="3647"/>
      <c r="K65" s="3648" t="s">
        <v>1017</v>
      </c>
      <c r="L65" s="3649">
        <f ca="1">IF(M49&gt;1000,M49*0.1%,IF(AND(M49&gt;500,M49&lt;=1000),M49*0.5%,IF(AND(M49&gt;50,M49&lt;=500),M49*1%,IF(AND(M49&gt;1,M49&lt;=50),M49*1.5%))))</f>
        <v>3.7010245</v>
      </c>
      <c r="M65" s="2365">
        <f ca="1" t="shared" si="1"/>
        <v>3.7</v>
      </c>
      <c r="N65" s="1337" t="s">
        <v>1013</v>
      </c>
      <c r="Z65" s="3422"/>
      <c r="AI65" s="3423"/>
    </row>
    <row r="66" ht="14.25" customHeight="1" spans="1:35">
      <c r="A66" s="3642" t="s">
        <v>1018</v>
      </c>
      <c r="B66" s="3657" t="s">
        <v>1019</v>
      </c>
      <c r="C66" s="3655"/>
      <c r="D66" s="3658"/>
      <c r="E66" s="3653"/>
      <c r="F66" s="1201">
        <v>3</v>
      </c>
      <c r="G66" s="3048" t="s">
        <v>1020</v>
      </c>
      <c r="H66" s="1345">
        <f>ROUND(H67*I67,0)+ROUND(H68*I68,0)</f>
        <v>0</v>
      </c>
      <c r="I66" s="3659"/>
      <c r="J66" s="3647"/>
      <c r="K66" s="3648" t="s">
        <v>1021</v>
      </c>
      <c r="L66" s="3649">
        <f ca="1">M49*0.5%</f>
        <v>3.7010245</v>
      </c>
      <c r="M66" s="2365">
        <f ca="1">IF(L66&gt;0.5,0.5,ROUND(L66,0))</f>
        <v>0.5</v>
      </c>
      <c r="N66" s="1337" t="s">
        <v>1022</v>
      </c>
      <c r="Z66" s="3422"/>
      <c r="AI66" s="3423"/>
    </row>
    <row r="67" ht="14.25" customHeight="1" spans="1:35">
      <c r="A67" s="3642" t="s">
        <v>1023</v>
      </c>
      <c r="B67" s="3660" t="s">
        <v>1016</v>
      </c>
      <c r="C67" s="850">
        <f ca="1">C63-C66</f>
        <v>740</v>
      </c>
      <c r="D67" s="3656"/>
      <c r="E67" s="3653"/>
      <c r="F67" s="3650" t="s">
        <v>1009</v>
      </c>
      <c r="G67" s="3256" t="s">
        <v>1024</v>
      </c>
      <c r="H67" s="3661"/>
      <c r="I67" s="3654">
        <v>0.09</v>
      </c>
      <c r="J67" s="3647"/>
      <c r="K67" s="3648" t="s">
        <v>1025</v>
      </c>
      <c r="L67" s="3649">
        <f ca="1">IF(M49&gt;=10000,(8.25+(M49-10000)*0.01%),IF(AND(M49&gt;=8000,M49&lt;10000),(7.85+(M49-8000)*0.02%),IF(AND(M49&gt;=5000,M49&lt;8000),(6.65+(M49-5000)*0.04%),IF(AND(M49&gt;=2000,M49&lt;5000),(4.25+(PM49-2000)*0.08%),IF(AND(M49&gt;=1000,M49&lt;2000),(2.75+(M49-1000)*0.15%),IF(AND(M49&gt;=100,M49&lt;1000),(0.5+(M49-100)*0.25%),IF(AND(M49&gt;0,M49&lt;100),M49*0.5%)))))))</f>
        <v>2.10051225</v>
      </c>
      <c r="M67" s="2365">
        <f ca="1">ROUND(L67*0.9,1)</f>
        <v>1.9</v>
      </c>
      <c r="N67" s="1349"/>
      <c r="Z67" s="3422"/>
      <c r="AI67" s="3423"/>
    </row>
    <row r="68" ht="14.25" customHeight="1" spans="1:35">
      <c r="A68" s="3662" t="s">
        <v>1026</v>
      </c>
      <c r="B68" s="3663" t="s">
        <v>1027</v>
      </c>
      <c r="C68" s="3664">
        <f ca="1">IF(C67&lt;=0,0,ROUND(C67*D68,0))</f>
        <v>37</v>
      </c>
      <c r="D68" s="3665">
        <v>0.05</v>
      </c>
      <c r="E68" s="3666"/>
      <c r="F68" s="3667" t="s">
        <v>1014</v>
      </c>
      <c r="G68" s="3668" t="s">
        <v>1028</v>
      </c>
      <c r="H68" s="3669"/>
      <c r="I68" s="3670">
        <v>0.06</v>
      </c>
      <c r="J68" s="3647"/>
      <c r="K68" s="3648" t="s">
        <v>1029</v>
      </c>
      <c r="L68" s="3649">
        <f ca="1">IF(M49&gt;10000,M49*0.5%,IF(AND(M49&gt;5000,M49&lt;=10000),M49*1%,IF(AND(M49&gt;1000,M49&lt;=5000),M49*2%,IF(AND(M49&gt;200,M49&lt;=1000),M49*3%,M49*5%))))</f>
        <v>22.206147</v>
      </c>
      <c r="M68" s="2365">
        <f ca="1">ROUND(L68,1)</f>
        <v>22.2</v>
      </c>
      <c r="N68" s="1349"/>
      <c r="Z68" s="3422"/>
      <c r="AI68" s="3423"/>
    </row>
    <row r="69" s="3420" customFormat="1" ht="16.5" customHeight="1" spans="1:35">
      <c r="A69" s="3671"/>
      <c r="B69" s="3672"/>
      <c r="C69" s="3673"/>
      <c r="D69" s="1179"/>
      <c r="E69" s="3674"/>
      <c r="F69" s="3624"/>
      <c r="G69" s="3624"/>
      <c r="H69" s="3536"/>
      <c r="I69" s="3425"/>
      <c r="J69" s="3648"/>
      <c r="K69" s="3648" t="s">
        <v>1030</v>
      </c>
      <c r="L69" s="3649"/>
      <c r="M69" s="2365">
        <f ca="1">ROUND(SUM(M63:M68),0)</f>
        <v>56</v>
      </c>
      <c r="N69" s="3675">
        <f ca="1">M69/M49</f>
        <v>0.075654727495049</v>
      </c>
      <c r="O69" s="2264"/>
      <c r="P69" s="2264"/>
      <c r="Q69" s="2264"/>
      <c r="R69" s="2264"/>
      <c r="S69" s="2264"/>
      <c r="T69" s="2264"/>
      <c r="U69" s="2264"/>
      <c r="V69" s="2264"/>
      <c r="W69" s="2264"/>
      <c r="X69" s="2264"/>
      <c r="Y69" s="2264"/>
      <c r="Z69" s="3422"/>
      <c r="AA69" s="3422"/>
      <c r="AB69" s="3422"/>
      <c r="AC69" s="3422"/>
      <c r="AD69" s="3422"/>
      <c r="AE69" s="3422"/>
      <c r="AF69" s="3422"/>
      <c r="AG69" s="3422"/>
      <c r="AH69" s="3422"/>
    </row>
    <row r="70" s="3421" customFormat="1" ht="15" spans="1:35">
      <c r="A70" s="3676" t="s">
        <v>1031</v>
      </c>
      <c r="B70" s="3677"/>
      <c r="C70" s="3677"/>
      <c r="D70" s="3677"/>
      <c r="E70" s="3677"/>
      <c r="F70" s="3677"/>
      <c r="G70" s="3677"/>
      <c r="H70" s="3677"/>
      <c r="I70" s="3678"/>
      <c r="J70" s="3679"/>
      <c r="K70" s="3679"/>
      <c r="L70" s="3679"/>
      <c r="M70" s="3679"/>
      <c r="N70" s="3680"/>
      <c r="O70" s="3680"/>
      <c r="P70" s="3680"/>
      <c r="Q70" s="3680"/>
      <c r="R70" s="3680"/>
      <c r="S70" s="3680"/>
      <c r="T70" s="3680"/>
      <c r="U70" s="3680"/>
      <c r="V70" s="3680"/>
      <c r="W70" s="3680"/>
      <c r="X70" s="3680"/>
      <c r="Y70" s="3680"/>
      <c r="Z70" s="3680"/>
      <c r="AA70" s="3681"/>
      <c r="AB70" s="3681"/>
      <c r="AC70" s="3681"/>
      <c r="AD70" s="3681"/>
      <c r="AE70" s="3681"/>
      <c r="AF70" s="3681"/>
      <c r="AG70" s="3681"/>
      <c r="AH70" s="3681"/>
      <c r="AI70" s="3681"/>
    </row>
    <row r="71" s="3421" customFormat="1" ht="14.25" spans="1:35">
      <c r="A71" s="3682" t="s">
        <v>1032</v>
      </c>
      <c r="B71" s="885"/>
      <c r="C71" s="885"/>
      <c r="D71" s="885" t="s">
        <v>1033</v>
      </c>
      <c r="E71" s="3683" t="s">
        <v>933</v>
      </c>
      <c r="F71" s="3684"/>
      <c r="G71" s="3684"/>
      <c r="H71" s="3685"/>
      <c r="I71" s="3686"/>
      <c r="J71" s="3679"/>
      <c r="K71" s="3679"/>
      <c r="L71" s="3679"/>
      <c r="M71" s="3679"/>
      <c r="N71" s="3680"/>
      <c r="O71" s="3680"/>
      <c r="P71" s="3680"/>
      <c r="Q71" s="3680"/>
      <c r="R71" s="3680"/>
      <c r="S71" s="3680"/>
      <c r="T71" s="3680"/>
      <c r="U71" s="3680"/>
      <c r="V71" s="3680"/>
      <c r="W71" s="3680"/>
      <c r="X71" s="3680"/>
      <c r="Y71" s="3680"/>
      <c r="Z71" s="3680"/>
      <c r="AA71" s="3681"/>
      <c r="AB71" s="3681"/>
      <c r="AC71" s="3681"/>
      <c r="AD71" s="3681"/>
      <c r="AE71" s="3681"/>
      <c r="AF71" s="3681"/>
      <c r="AG71" s="3681"/>
      <c r="AH71" s="3681"/>
      <c r="AI71" s="3681"/>
    </row>
    <row r="72" s="3421" customFormat="1" ht="14.25" spans="1:35">
      <c r="A72" s="3642" t="s">
        <v>1004</v>
      </c>
      <c r="B72" s="3687" t="s">
        <v>1034</v>
      </c>
      <c r="C72" s="3688">
        <f ca="1">ROUND(D45/(1+D72),0)</f>
        <v>679</v>
      </c>
      <c r="D72" s="907">
        <v>0.09</v>
      </c>
      <c r="E72" s="2761" t="s">
        <v>1035</v>
      </c>
      <c r="F72" s="2759"/>
      <c r="G72" s="2759"/>
      <c r="H72" s="3689"/>
      <c r="I72" s="3686"/>
      <c r="J72" s="3679"/>
      <c r="K72" s="3679"/>
      <c r="L72" s="3679"/>
      <c r="M72" s="3679"/>
      <c r="N72" s="3680"/>
      <c r="O72" s="3680"/>
      <c r="P72" s="3680"/>
      <c r="Q72" s="3680"/>
      <c r="R72" s="3680"/>
      <c r="S72" s="3680"/>
      <c r="T72" s="3680"/>
      <c r="U72" s="3680"/>
      <c r="V72" s="3680"/>
      <c r="W72" s="3680"/>
      <c r="X72" s="3680"/>
      <c r="Y72" s="3680"/>
      <c r="Z72" s="3680"/>
      <c r="AA72" s="3681"/>
      <c r="AB72" s="3681"/>
      <c r="AC72" s="3681"/>
      <c r="AD72" s="3681"/>
      <c r="AE72" s="3681"/>
      <c r="AF72" s="3681"/>
      <c r="AG72" s="3681"/>
      <c r="AH72" s="3681"/>
      <c r="AI72" s="3681"/>
    </row>
    <row r="73" s="3421" customFormat="1" ht="14.25" spans="1:35">
      <c r="A73" s="3642" t="s">
        <v>1018</v>
      </c>
      <c r="B73" s="3245" t="s">
        <v>1036</v>
      </c>
      <c r="C73" s="3688">
        <f ca="1">C74+C78</f>
        <v>81</v>
      </c>
      <c r="D73" s="850" t="s">
        <v>124</v>
      </c>
      <c r="E73" s="2758"/>
      <c r="F73" s="2759"/>
      <c r="G73" s="2759"/>
      <c r="H73" s="3689"/>
      <c r="I73" s="3686"/>
      <c r="J73" s="3680"/>
      <c r="K73" s="3680"/>
      <c r="L73" s="3680"/>
      <c r="M73" s="3680"/>
      <c r="N73" s="3680"/>
      <c r="O73" s="3680"/>
      <c r="P73" s="3680"/>
      <c r="Q73" s="3680"/>
      <c r="R73" s="3680"/>
      <c r="S73" s="3680"/>
      <c r="T73" s="3680"/>
      <c r="U73" s="3680"/>
      <c r="V73" s="3680"/>
      <c r="W73" s="3680"/>
      <c r="X73" s="3680"/>
      <c r="Y73" s="3680"/>
      <c r="Z73" s="3680"/>
      <c r="AA73" s="3681"/>
      <c r="AB73" s="3681"/>
      <c r="AC73" s="3681"/>
      <c r="AD73" s="3681"/>
      <c r="AE73" s="3681"/>
      <c r="AF73" s="3681"/>
      <c r="AG73" s="3681"/>
      <c r="AH73" s="3681"/>
      <c r="AI73" s="3681"/>
    </row>
    <row r="74" s="3421" customFormat="1" ht="24" spans="1:35">
      <c r="A74" s="3650" t="s">
        <v>1009</v>
      </c>
      <c r="B74" s="848" t="s">
        <v>1037</v>
      </c>
      <c r="C74" s="850">
        <f>ROUND(IF(G77="2016年5月1日后购买",C75/(1+D72)+C76+C77,C75+C76+C77),0)</f>
        <v>0</v>
      </c>
      <c r="D74" s="850" t="s">
        <v>124</v>
      </c>
      <c r="E74" s="2761" t="s">
        <v>1035</v>
      </c>
      <c r="F74" s="2759"/>
      <c r="G74" s="2759"/>
      <c r="H74" s="3689"/>
      <c r="I74" s="3686"/>
      <c r="J74" s="3680"/>
      <c r="K74" s="3680"/>
      <c r="L74" s="3680"/>
      <c r="M74" s="3680"/>
      <c r="N74" s="3680"/>
      <c r="O74" s="3680"/>
      <c r="P74" s="3680"/>
      <c r="Q74" s="3680"/>
      <c r="R74" s="3680"/>
      <c r="S74" s="3680"/>
      <c r="T74" s="3680"/>
      <c r="U74" s="3680"/>
      <c r="V74" s="3680"/>
      <c r="W74" s="3680"/>
      <c r="X74" s="3680"/>
      <c r="Y74" s="3680"/>
      <c r="Z74" s="3680"/>
      <c r="AA74" s="3681"/>
      <c r="AB74" s="3681"/>
      <c r="AC74" s="3681"/>
      <c r="AD74" s="3681"/>
      <c r="AE74" s="3681"/>
      <c r="AF74" s="3681"/>
      <c r="AG74" s="3681"/>
      <c r="AH74" s="3681"/>
      <c r="AI74" s="3681"/>
    </row>
    <row r="75" s="3421" customFormat="1" ht="14.25" spans="1:35">
      <c r="A75" s="3650" t="s">
        <v>1038</v>
      </c>
      <c r="B75" s="848" t="s">
        <v>1039</v>
      </c>
      <c r="C75" s="3655"/>
      <c r="D75" s="850" t="s">
        <v>124</v>
      </c>
      <c r="E75" s="3690" t="s">
        <v>1040</v>
      </c>
      <c r="F75" s="3691"/>
      <c r="G75" s="3690" t="s">
        <v>1041</v>
      </c>
      <c r="H75" s="3692"/>
      <c r="I75" s="1157"/>
      <c r="J75" s="3680"/>
      <c r="K75" s="3680"/>
      <c r="L75" s="3680"/>
      <c r="M75" s="3680"/>
      <c r="N75" s="3680"/>
      <c r="O75" s="3680"/>
      <c r="P75" s="3680"/>
      <c r="Q75" s="3680"/>
      <c r="R75" s="3680"/>
      <c r="S75" s="3680"/>
      <c r="T75" s="3680"/>
      <c r="U75" s="3680"/>
      <c r="V75" s="3680"/>
      <c r="W75" s="3680"/>
      <c r="X75" s="3680"/>
      <c r="Y75" s="3680"/>
      <c r="Z75" s="3680"/>
      <c r="AA75" s="3681"/>
      <c r="AB75" s="3681"/>
      <c r="AC75" s="3681"/>
      <c r="AD75" s="3681"/>
      <c r="AE75" s="3681"/>
      <c r="AF75" s="3681"/>
      <c r="AG75" s="3681"/>
      <c r="AH75" s="3681"/>
      <c r="AI75" s="3681"/>
    </row>
    <row r="76" s="3421" customFormat="1" ht="24.75" customHeight="1" spans="1:35">
      <c r="A76" s="3650" t="s">
        <v>1042</v>
      </c>
      <c r="B76" s="3693" t="s">
        <v>1043</v>
      </c>
      <c r="C76" s="850">
        <f>IF(F75="购房发票",ROUND(C75*H75*D76,0),0)</f>
        <v>0</v>
      </c>
      <c r="D76" s="3694">
        <v>0.05</v>
      </c>
      <c r="E76" s="2758" t="s">
        <v>1044</v>
      </c>
      <c r="F76" s="2759"/>
      <c r="G76" s="2759"/>
      <c r="H76" s="3695"/>
      <c r="I76" s="3686"/>
      <c r="J76" s="3680"/>
      <c r="K76" s="3680"/>
      <c r="L76" s="3680"/>
      <c r="M76" s="3680"/>
      <c r="N76" s="3680"/>
      <c r="O76" s="3680"/>
      <c r="P76" s="3680"/>
      <c r="Q76" s="3680"/>
      <c r="R76" s="3680"/>
      <c r="S76" s="3680"/>
      <c r="T76" s="3680"/>
      <c r="U76" s="3680"/>
      <c r="V76" s="3680"/>
      <c r="W76" s="3680"/>
      <c r="X76" s="3680"/>
      <c r="Y76" s="3680"/>
      <c r="Z76" s="3680"/>
      <c r="AA76" s="3681"/>
      <c r="AB76" s="3681"/>
      <c r="AC76" s="3681"/>
      <c r="AD76" s="3681"/>
      <c r="AE76" s="3681"/>
      <c r="AF76" s="3681"/>
      <c r="AG76" s="3681"/>
      <c r="AH76" s="3681"/>
      <c r="AI76" s="3681"/>
    </row>
    <row r="77" s="3421" customFormat="1" ht="24.75" customHeight="1" spans="1:35">
      <c r="A77" s="3650" t="s">
        <v>1045</v>
      </c>
      <c r="B77" s="848" t="s">
        <v>1046</v>
      </c>
      <c r="C77" s="850">
        <f>ROUND(IF(G77="个人住宅",0,IF(G77="2016年5月1日前购买",C75*D77,C75*D77/(1+D72))),0)</f>
        <v>0</v>
      </c>
      <c r="D77" s="3696">
        <f>'数据-取费表'!B49+'数据-取费表'!B50</f>
        <v>0.0305</v>
      </c>
      <c r="E77" s="2761" t="s">
        <v>1047</v>
      </c>
      <c r="F77" s="1437"/>
      <c r="G77" s="3697"/>
      <c r="H77" s="3695" t="str">
        <f>IF(G77="个人买卖住房","免征印花税"," ")</f>
        <v> </v>
      </c>
      <c r="I77" s="3686"/>
      <c r="J77" s="3680"/>
      <c r="K77" s="3680"/>
      <c r="L77" s="3680"/>
      <c r="M77" s="3680"/>
      <c r="N77" s="3680"/>
      <c r="O77" s="3680"/>
      <c r="P77" s="3680"/>
      <c r="Q77" s="3680"/>
      <c r="R77" s="3680"/>
      <c r="S77" s="3680"/>
      <c r="T77" s="3680"/>
      <c r="U77" s="3680"/>
      <c r="V77" s="3680"/>
      <c r="W77" s="3680"/>
      <c r="X77" s="3680"/>
      <c r="Y77" s="3680"/>
      <c r="Z77" s="3680"/>
      <c r="AA77" s="3681"/>
      <c r="AB77" s="3681"/>
      <c r="AC77" s="3681"/>
      <c r="AD77" s="3681"/>
      <c r="AE77" s="3681"/>
      <c r="AF77" s="3681"/>
      <c r="AG77" s="3681"/>
      <c r="AH77" s="3681"/>
      <c r="AI77" s="3681"/>
    </row>
    <row r="78" s="3421" customFormat="1" ht="24.75" customHeight="1" spans="1:35">
      <c r="A78" s="3650" t="s">
        <v>1014</v>
      </c>
      <c r="B78" s="848" t="s">
        <v>1048</v>
      </c>
      <c r="C78" s="850">
        <f ca="1">ROUND(C72*D78,0)</f>
        <v>81</v>
      </c>
      <c r="D78" s="3698">
        <f>'数据-取费表'!B44</f>
        <v>0.12</v>
      </c>
      <c r="E78" s="3699" t="s">
        <v>1049</v>
      </c>
      <c r="F78" s="3700"/>
      <c r="G78" s="3700"/>
      <c r="H78" s="3701"/>
      <c r="I78" s="3702"/>
      <c r="J78" s="3680"/>
      <c r="K78" s="3680"/>
      <c r="L78" s="3680"/>
      <c r="M78" s="3680"/>
      <c r="N78" s="3680"/>
      <c r="O78" s="3680"/>
      <c r="P78" s="3680"/>
      <c r="Q78" s="3680"/>
      <c r="R78" s="3680"/>
      <c r="S78" s="3680"/>
      <c r="T78" s="3680"/>
      <c r="U78" s="3680"/>
      <c r="V78" s="3680"/>
      <c r="W78" s="3680"/>
      <c r="X78" s="3680"/>
      <c r="Y78" s="3680"/>
      <c r="Z78" s="3680"/>
      <c r="AA78" s="3681"/>
      <c r="AB78" s="3681"/>
      <c r="AC78" s="3681"/>
      <c r="AD78" s="3681"/>
      <c r="AE78" s="3681"/>
      <c r="AF78" s="3681"/>
      <c r="AG78" s="3681"/>
      <c r="AH78" s="3681"/>
      <c r="AI78" s="3681"/>
    </row>
    <row r="79" s="3421" customFormat="1" ht="14.25" spans="1:35">
      <c r="A79" s="3642" t="s">
        <v>1023</v>
      </c>
      <c r="B79" s="3687" t="s">
        <v>1050</v>
      </c>
      <c r="C79" s="3688">
        <f ca="1">C72-C73</f>
        <v>598</v>
      </c>
      <c r="D79" s="850" t="s">
        <v>124</v>
      </c>
      <c r="E79" s="2758"/>
      <c r="F79" s="2759"/>
      <c r="G79" s="2759"/>
      <c r="H79" s="3689"/>
      <c r="I79" s="3686"/>
      <c r="J79" s="3680"/>
      <c r="K79" s="3680"/>
      <c r="L79" s="3680"/>
      <c r="M79" s="3680"/>
      <c r="N79" s="3680"/>
      <c r="O79" s="3680"/>
      <c r="P79" s="3680"/>
      <c r="Q79" s="3680"/>
      <c r="R79" s="3680"/>
      <c r="S79" s="3680"/>
      <c r="T79" s="3680"/>
      <c r="U79" s="3680"/>
      <c r="V79" s="3680"/>
      <c r="W79" s="3680"/>
      <c r="X79" s="3680"/>
      <c r="Y79" s="3680"/>
      <c r="Z79" s="3680"/>
      <c r="AA79" s="3681"/>
      <c r="AB79" s="3681"/>
      <c r="AC79" s="3681"/>
      <c r="AD79" s="3681"/>
      <c r="AE79" s="3681"/>
      <c r="AF79" s="3681"/>
      <c r="AG79" s="3681"/>
      <c r="AH79" s="3681"/>
      <c r="AI79" s="3681"/>
    </row>
    <row r="80" s="3421" customFormat="1" ht="24" spans="1:35">
      <c r="A80" s="3642" t="s">
        <v>1026</v>
      </c>
      <c r="B80" s="3687" t="s">
        <v>1051</v>
      </c>
      <c r="C80" s="3703">
        <f ca="1">IF(C79&lt;=0,0,C79/C73)</f>
        <v>7.38271604938272</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9"/>
      <c r="I80" s="3686"/>
      <c r="J80" s="3680"/>
      <c r="K80" s="3680"/>
      <c r="L80" s="3680"/>
      <c r="M80" s="3680"/>
      <c r="N80" s="3680"/>
      <c r="O80" s="3680"/>
      <c r="P80" s="3680"/>
      <c r="Q80" s="3680"/>
      <c r="R80" s="3680"/>
      <c r="S80" s="3680"/>
      <c r="T80" s="3680"/>
      <c r="U80" s="3680"/>
      <c r="V80" s="3680"/>
      <c r="W80" s="3680"/>
      <c r="X80" s="3680"/>
      <c r="Y80" s="3680"/>
      <c r="Z80" s="3680"/>
      <c r="AA80" s="3681"/>
      <c r="AB80" s="3681"/>
      <c r="AC80" s="3681"/>
      <c r="AD80" s="3681"/>
      <c r="AE80" s="3681"/>
      <c r="AF80" s="3681"/>
      <c r="AG80" s="3681"/>
      <c r="AH80" s="3681"/>
      <c r="AI80" s="3681"/>
    </row>
    <row r="81" s="3421" customFormat="1" ht="24.75" spans="1:35">
      <c r="A81" s="3662" t="s">
        <v>1052</v>
      </c>
      <c r="B81" s="3704" t="s">
        <v>1053</v>
      </c>
      <c r="C81" s="3705">
        <f ca="1">ROUND(IF(C79&lt;=0,0,IF(C80&gt;=200%,C79*60%-C73*35%,IF(C80&gt;=100%,C79*50%-C73*15%,IF(C80&gt;=50%,C79*40%-C73*5%,IF(C80&lt;50%,C79*30%,0))))),0)</f>
        <v>330</v>
      </c>
      <c r="D81" s="3664"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7"/>
      <c r="G81" s="3707"/>
      <c r="H81" s="3708"/>
      <c r="I81" s="3686"/>
      <c r="J81" s="3680"/>
      <c r="K81" s="3680"/>
      <c r="L81" s="3680"/>
      <c r="M81" s="3680"/>
      <c r="N81" s="3680"/>
      <c r="O81" s="3680"/>
      <c r="P81" s="3680"/>
      <c r="Q81" s="3680"/>
      <c r="R81" s="3680"/>
      <c r="S81" s="3680"/>
      <c r="T81" s="3680"/>
      <c r="U81" s="3680"/>
      <c r="V81" s="3680"/>
      <c r="W81" s="3680"/>
      <c r="X81" s="3680"/>
      <c r="Y81" s="3680"/>
      <c r="Z81" s="3680"/>
      <c r="AA81" s="3681"/>
      <c r="AB81" s="3681"/>
      <c r="AC81" s="3681"/>
      <c r="AD81" s="3681"/>
      <c r="AE81" s="3681"/>
      <c r="AF81" s="3681"/>
      <c r="AG81" s="3681"/>
      <c r="AH81" s="3681"/>
      <c r="AI81" s="3681"/>
    </row>
    <row r="82" s="3421" customFormat="1" ht="7.5" customHeight="1" spans="1:35">
      <c r="A82" s="3709"/>
      <c r="B82" s="3710"/>
      <c r="C82" s="1155"/>
      <c r="D82" s="1155"/>
      <c r="E82" s="3710"/>
      <c r="F82" s="3710"/>
      <c r="G82" s="3710"/>
      <c r="H82" s="3711"/>
      <c r="I82" s="3702"/>
      <c r="J82" s="3680"/>
      <c r="K82" s="3680"/>
      <c r="L82" s="3680"/>
      <c r="M82" s="3680"/>
      <c r="N82" s="3680"/>
      <c r="O82" s="3680"/>
      <c r="P82" s="3680"/>
      <c r="Q82" s="3680"/>
      <c r="R82" s="3680"/>
      <c r="S82" s="3680"/>
      <c r="T82" s="3680"/>
      <c r="U82" s="3680"/>
      <c r="V82" s="3680"/>
      <c r="W82" s="3680"/>
      <c r="X82" s="3680"/>
      <c r="Y82" s="3680"/>
      <c r="Z82" s="3680"/>
      <c r="AA82" s="3681"/>
      <c r="AB82" s="3681"/>
      <c r="AC82" s="3681"/>
      <c r="AD82" s="3681"/>
      <c r="AE82" s="3681"/>
      <c r="AF82" s="3681"/>
      <c r="AG82" s="3681"/>
      <c r="AH82" s="3681"/>
      <c r="AI82" s="3681"/>
    </row>
    <row r="83" s="3421" customFormat="1" ht="15" spans="1:35">
      <c r="A83" s="3676" t="s">
        <v>1054</v>
      </c>
      <c r="B83" s="3677"/>
      <c r="C83" s="3677"/>
      <c r="D83" s="3677"/>
      <c r="E83" s="3677"/>
      <c r="F83" s="3677"/>
      <c r="G83" s="3677"/>
      <c r="H83" s="3677"/>
      <c r="I83" s="1157"/>
      <c r="J83" s="3680"/>
      <c r="K83" s="3680"/>
      <c r="L83" s="3680"/>
      <c r="M83" s="3680"/>
      <c r="N83" s="3680"/>
      <c r="O83" s="3680"/>
      <c r="P83" s="3680"/>
      <c r="Q83" s="3680"/>
      <c r="R83" s="3680"/>
      <c r="S83" s="3680"/>
      <c r="T83" s="3680"/>
      <c r="U83" s="3680"/>
      <c r="V83" s="3680"/>
      <c r="W83" s="3680"/>
      <c r="X83" s="3680"/>
      <c r="Y83" s="3680"/>
      <c r="Z83" s="3680"/>
      <c r="AA83" s="3681"/>
      <c r="AB83" s="3681"/>
      <c r="AC83" s="3681"/>
      <c r="AD83" s="3681"/>
      <c r="AE83" s="3681"/>
      <c r="AF83" s="3681"/>
      <c r="AG83" s="3681"/>
      <c r="AH83" s="3681"/>
      <c r="AI83" s="3681"/>
    </row>
    <row r="84" s="3421" customFormat="1" ht="14.25" spans="1:35">
      <c r="A84" s="3682" t="s">
        <v>1032</v>
      </c>
      <c r="B84" s="885"/>
      <c r="C84" s="885"/>
      <c r="D84" s="885" t="s">
        <v>1033</v>
      </c>
      <c r="E84" s="3683" t="s">
        <v>933</v>
      </c>
      <c r="F84" s="3684"/>
      <c r="G84" s="3684"/>
      <c r="H84" s="3712"/>
      <c r="I84" s="1157"/>
      <c r="J84" s="3680"/>
      <c r="K84" s="3680"/>
      <c r="L84" s="3680"/>
      <c r="M84" s="3680"/>
      <c r="N84" s="3680"/>
      <c r="O84" s="3680"/>
      <c r="P84" s="3680"/>
      <c r="Q84" s="3680"/>
      <c r="R84" s="3680"/>
      <c r="S84" s="3680"/>
      <c r="T84" s="3680"/>
      <c r="U84" s="3680"/>
      <c r="V84" s="3680"/>
      <c r="W84" s="3680"/>
      <c r="X84" s="3680"/>
      <c r="Y84" s="3680"/>
      <c r="Z84" s="3680"/>
      <c r="AA84" s="3681"/>
      <c r="AB84" s="3681"/>
      <c r="AC84" s="3681"/>
      <c r="AD84" s="3681"/>
      <c r="AE84" s="3681"/>
      <c r="AF84" s="3681"/>
      <c r="AG84" s="3681"/>
      <c r="AH84" s="3681"/>
      <c r="AI84" s="3681"/>
    </row>
    <row r="85" s="3421" customFormat="1" ht="14.25" spans="1:35">
      <c r="A85" s="3642" t="s">
        <v>1004</v>
      </c>
      <c r="B85" s="3687" t="s">
        <v>1034</v>
      </c>
      <c r="C85" s="3688">
        <f ca="1">ROUND(D45/(1+D85),0)</f>
        <v>679</v>
      </c>
      <c r="D85" s="907">
        <v>0.09</v>
      </c>
      <c r="E85" s="2761" t="s">
        <v>1035</v>
      </c>
      <c r="F85" s="2759"/>
      <c r="G85" s="2759"/>
      <c r="H85" s="3713"/>
      <c r="I85" s="1157"/>
      <c r="J85" s="3680"/>
      <c r="K85" s="3680"/>
      <c r="L85" s="3680"/>
      <c r="M85" s="3680"/>
      <c r="N85" s="3680"/>
      <c r="O85" s="3680"/>
      <c r="P85" s="3680"/>
      <c r="Q85" s="3680"/>
      <c r="R85" s="3680"/>
      <c r="S85" s="3680"/>
      <c r="T85" s="3680"/>
      <c r="U85" s="3680"/>
      <c r="V85" s="3680"/>
      <c r="W85" s="3680"/>
      <c r="X85" s="3680"/>
      <c r="Y85" s="3680"/>
      <c r="Z85" s="3680"/>
      <c r="AA85" s="3681"/>
      <c r="AB85" s="3681"/>
      <c r="AC85" s="3681"/>
      <c r="AD85" s="3681"/>
      <c r="AE85" s="3681"/>
      <c r="AF85" s="3681"/>
      <c r="AG85" s="3681"/>
      <c r="AH85" s="3681"/>
      <c r="AI85" s="3681"/>
    </row>
    <row r="86" s="3421" customFormat="1" ht="14.25" spans="1:35">
      <c r="A86" s="3642" t="s">
        <v>1018</v>
      </c>
      <c r="B86" s="3245" t="s">
        <v>1036</v>
      </c>
      <c r="C86" s="3688">
        <f ca="1">IF(H88="仅含出让金",C87+C90+C91+C92+C93+C94,C87+C91+C92+C93+C94)</f>
        <v>81</v>
      </c>
      <c r="D86" s="3714"/>
      <c r="E86" s="2758"/>
      <c r="F86" s="2759"/>
      <c r="G86" s="2759"/>
      <c r="H86" s="3713"/>
      <c r="I86" s="1157"/>
      <c r="J86" s="3680"/>
      <c r="K86" s="3680"/>
      <c r="L86" s="3680"/>
      <c r="M86" s="3680"/>
      <c r="N86" s="3680"/>
      <c r="O86" s="3680"/>
      <c r="P86" s="3680"/>
      <c r="Q86" s="3680"/>
      <c r="R86" s="3680"/>
      <c r="S86" s="3680"/>
      <c r="T86" s="3680"/>
      <c r="U86" s="3680"/>
      <c r="V86" s="3680"/>
      <c r="W86" s="3680"/>
      <c r="X86" s="3680"/>
      <c r="Y86" s="3680"/>
      <c r="Z86" s="3680"/>
      <c r="AA86" s="3681"/>
      <c r="AB86" s="3681"/>
      <c r="AC86" s="3681"/>
      <c r="AD86" s="3681"/>
      <c r="AE86" s="3681"/>
      <c r="AF86" s="3681"/>
      <c r="AG86" s="3681"/>
      <c r="AH86" s="3681"/>
      <c r="AI86" s="3681"/>
    </row>
    <row r="87" s="3421" customFormat="1" ht="14.25" spans="1:35">
      <c r="A87" s="3650" t="s">
        <v>1009</v>
      </c>
      <c r="B87" s="848" t="s">
        <v>1055</v>
      </c>
      <c r="C87" s="850">
        <f>C88+C89</f>
        <v>0</v>
      </c>
      <c r="D87" s="3698"/>
      <c r="E87" s="3699"/>
      <c r="F87" s="3700"/>
      <c r="G87" s="3700"/>
      <c r="H87" s="3701"/>
      <c r="I87" s="1157"/>
      <c r="J87" s="3680"/>
      <c r="K87" s="3680"/>
      <c r="L87" s="3680"/>
      <c r="M87" s="3680"/>
      <c r="N87" s="3680"/>
      <c r="O87" s="3680"/>
      <c r="P87" s="3680"/>
      <c r="Q87" s="3680"/>
      <c r="R87" s="3680"/>
      <c r="S87" s="3680"/>
      <c r="T87" s="3680"/>
      <c r="U87" s="3680"/>
      <c r="V87" s="3680"/>
      <c r="W87" s="3680"/>
      <c r="X87" s="3680"/>
      <c r="Y87" s="3680"/>
      <c r="Z87" s="3680"/>
      <c r="AA87" s="3681"/>
      <c r="AB87" s="3681"/>
      <c r="AC87" s="3681"/>
      <c r="AD87" s="3681"/>
      <c r="AE87" s="3681"/>
      <c r="AF87" s="3681"/>
      <c r="AG87" s="3681"/>
      <c r="AH87" s="3681"/>
      <c r="AI87" s="3681"/>
    </row>
    <row r="88" s="3421" customFormat="1" ht="14.25" spans="1:35">
      <c r="A88" s="3650" t="s">
        <v>1038</v>
      </c>
      <c r="B88" s="848" t="s">
        <v>1056</v>
      </c>
      <c r="C88" s="3655"/>
      <c r="D88" s="3698"/>
      <c r="E88" s="3715" t="s">
        <v>1057</v>
      </c>
      <c r="F88" s="3700"/>
      <c r="G88" s="3716" t="s">
        <v>1058</v>
      </c>
      <c r="H88" s="3717" t="s">
        <v>1059</v>
      </c>
      <c r="I88" s="1157"/>
      <c r="J88" s="3718" t="s">
        <v>1060</v>
      </c>
      <c r="K88" s="3680"/>
      <c r="L88" s="3680"/>
      <c r="M88" s="3680"/>
      <c r="N88" s="3680"/>
      <c r="O88" s="3680"/>
      <c r="P88" s="3680"/>
      <c r="Q88" s="3680"/>
      <c r="R88" s="3680"/>
      <c r="S88" s="3680"/>
      <c r="T88" s="3680"/>
      <c r="U88" s="3680"/>
      <c r="V88" s="3680"/>
      <c r="W88" s="3680"/>
      <c r="X88" s="3680"/>
      <c r="Y88" s="3680"/>
      <c r="Z88" s="3680"/>
      <c r="AA88" s="3681"/>
      <c r="AB88" s="3681"/>
      <c r="AC88" s="3681"/>
      <c r="AD88" s="3681"/>
      <c r="AE88" s="3681"/>
      <c r="AF88" s="3681"/>
      <c r="AG88" s="3681"/>
      <c r="AH88" s="3681"/>
      <c r="AI88" s="3681"/>
    </row>
    <row r="89" s="3421" customFormat="1" ht="14.25" spans="1:35">
      <c r="A89" s="3650" t="s">
        <v>1042</v>
      </c>
      <c r="B89" s="848" t="s">
        <v>1046</v>
      </c>
      <c r="C89" s="850">
        <f>ROUND(C88*D89,0)</f>
        <v>0</v>
      </c>
      <c r="D89" s="3698">
        <f>'数据-取费表'!B49+'数据-取费表'!B50</f>
        <v>0.0305</v>
      </c>
      <c r="E89" s="3715" t="s">
        <v>1061</v>
      </c>
      <c r="F89" s="3700"/>
      <c r="G89" s="3700"/>
      <c r="H89" s="3701"/>
      <c r="I89" s="1157"/>
      <c r="J89" s="3680"/>
      <c r="K89" s="3680"/>
      <c r="L89" s="3680"/>
      <c r="M89" s="3680"/>
      <c r="N89" s="3680"/>
      <c r="O89" s="3680"/>
      <c r="P89" s="3680"/>
      <c r="Q89" s="3680"/>
      <c r="R89" s="3680"/>
      <c r="S89" s="3680"/>
      <c r="T89" s="3680"/>
      <c r="U89" s="3680"/>
      <c r="V89" s="3680"/>
      <c r="W89" s="3680"/>
      <c r="X89" s="3680"/>
      <c r="Y89" s="3680"/>
      <c r="Z89" s="3680"/>
      <c r="AA89" s="3681"/>
      <c r="AB89" s="3681"/>
      <c r="AC89" s="3681"/>
      <c r="AD89" s="3681"/>
      <c r="AE89" s="3681"/>
      <c r="AF89" s="3681"/>
      <c r="AG89" s="3681"/>
      <c r="AH89" s="3681"/>
      <c r="AI89" s="3681"/>
    </row>
    <row r="90" s="3421" customFormat="1" ht="14.25" spans="1:35">
      <c r="A90" s="3650" t="s">
        <v>1014</v>
      </c>
      <c r="B90" s="848" t="s">
        <v>1062</v>
      </c>
      <c r="C90" s="3655"/>
      <c r="D90" s="3698"/>
      <c r="E90" s="3715" t="str">
        <f>IF(H88="-","土地取得成本中已包含该笔费用"," ")</f>
        <v> </v>
      </c>
      <c r="F90" s="3700"/>
      <c r="G90" s="3719" t="s">
        <v>1063</v>
      </c>
      <c r="H90" s="3720"/>
      <c r="I90" s="1157"/>
      <c r="J90" s="3718" t="s">
        <v>1064</v>
      </c>
      <c r="K90" s="3680"/>
      <c r="L90" s="3680"/>
      <c r="M90" s="3680"/>
      <c r="N90" s="3680"/>
      <c r="O90" s="3680"/>
      <c r="P90" s="3680"/>
      <c r="Q90" s="3680"/>
      <c r="R90" s="3680"/>
      <c r="S90" s="3680"/>
      <c r="T90" s="3680"/>
      <c r="U90" s="3680"/>
      <c r="V90" s="3680"/>
      <c r="W90" s="3680"/>
      <c r="X90" s="3680"/>
      <c r="Y90" s="3680"/>
      <c r="Z90" s="3680"/>
      <c r="AA90" s="3681"/>
      <c r="AB90" s="3681"/>
      <c r="AC90" s="3681"/>
      <c r="AD90" s="3681"/>
      <c r="AE90" s="3681"/>
      <c r="AF90" s="3681"/>
      <c r="AG90" s="3681"/>
      <c r="AH90" s="3681"/>
      <c r="AI90" s="3681"/>
    </row>
    <row r="91" s="3421" customFormat="1" ht="43.5" customHeight="1" spans="1:35">
      <c r="A91" s="3650" t="s">
        <v>1065</v>
      </c>
      <c r="B91" s="848" t="s">
        <v>1066</v>
      </c>
      <c r="C91" s="850">
        <f ca="1">IF(H91="——",成本法!C9,I91)</f>
        <v>0</v>
      </c>
      <c r="D91" s="3698"/>
      <c r="E91" s="3699" t="s">
        <v>1067</v>
      </c>
      <c r="F91" s="3700"/>
      <c r="G91" s="3700"/>
      <c r="H91" s="3721" t="s">
        <v>1068</v>
      </c>
      <c r="I91" s="3722"/>
      <c r="J91" s="3680" t="s">
        <v>1069</v>
      </c>
      <c r="K91" s="3680"/>
      <c r="L91" s="3680"/>
      <c r="M91" s="3680"/>
      <c r="N91" s="3680"/>
      <c r="O91" s="3680"/>
      <c r="P91" s="3680"/>
      <c r="Q91" s="3680"/>
      <c r="R91" s="3680"/>
      <c r="S91" s="3680"/>
      <c r="T91" s="3680"/>
      <c r="U91" s="3680"/>
      <c r="V91" s="3680"/>
      <c r="W91" s="3680"/>
      <c r="X91" s="3680"/>
      <c r="Y91" s="3680"/>
      <c r="Z91" s="3680"/>
      <c r="AA91" s="3681"/>
      <c r="AB91" s="3681"/>
      <c r="AC91" s="3681"/>
      <c r="AD91" s="3681"/>
      <c r="AE91" s="3681"/>
      <c r="AF91" s="3681"/>
      <c r="AG91" s="3681"/>
      <c r="AH91" s="3681"/>
      <c r="AI91" s="3681"/>
    </row>
    <row r="92" s="3421" customFormat="1" ht="25.5" customHeight="1" spans="1:35">
      <c r="A92" s="3650" t="s">
        <v>1070</v>
      </c>
      <c r="B92" s="848" t="s">
        <v>1071</v>
      </c>
      <c r="C92" s="850">
        <f ca="1">ROUND((C87+C90+C91)*D92,0)</f>
        <v>0</v>
      </c>
      <c r="D92" s="3723"/>
      <c r="E92" s="3699" t="s">
        <v>1072</v>
      </c>
      <c r="F92" s="3700"/>
      <c r="G92" s="3700"/>
      <c r="H92" s="3701"/>
      <c r="I92" s="1157"/>
      <c r="J92" s="3724" t="s">
        <v>1073</v>
      </c>
      <c r="K92" s="3680"/>
      <c r="L92" s="3680"/>
      <c r="M92" s="3680"/>
      <c r="N92" s="3680"/>
      <c r="O92" s="3680"/>
      <c r="P92" s="3680"/>
      <c r="Q92" s="3680"/>
      <c r="R92" s="3680"/>
      <c r="S92" s="3680"/>
      <c r="T92" s="3680"/>
      <c r="U92" s="3680"/>
      <c r="V92" s="3680"/>
      <c r="W92" s="3680"/>
      <c r="X92" s="3680"/>
      <c r="Y92" s="3680"/>
      <c r="Z92" s="3680"/>
      <c r="AA92" s="3681"/>
      <c r="AB92" s="3681"/>
      <c r="AC92" s="3681"/>
      <c r="AD92" s="3681"/>
      <c r="AE92" s="3681"/>
      <c r="AF92" s="3681"/>
      <c r="AG92" s="3681"/>
      <c r="AH92" s="3681"/>
      <c r="AI92" s="3681"/>
    </row>
    <row r="93" s="3421" customFormat="1" ht="25.5" customHeight="1" spans="1:35">
      <c r="A93" s="3650" t="s">
        <v>1074</v>
      </c>
      <c r="B93" s="848" t="s">
        <v>1048</v>
      </c>
      <c r="C93" s="850">
        <f ca="1">ROUND(C85*D93,0)</f>
        <v>81</v>
      </c>
      <c r="D93" s="3698">
        <f>'数据-取费表'!B44</f>
        <v>0.12</v>
      </c>
      <c r="E93" s="3725" t="s">
        <v>1075</v>
      </c>
      <c r="F93" s="3700"/>
      <c r="G93" s="3700"/>
      <c r="H93" s="3701"/>
      <c r="I93" s="3726"/>
      <c r="J93" s="3680"/>
      <c r="K93" s="3680"/>
      <c r="L93" s="3680"/>
      <c r="M93" s="3680"/>
      <c r="N93" s="3680"/>
      <c r="O93" s="3680"/>
      <c r="P93" s="3680"/>
      <c r="Q93" s="3680"/>
      <c r="R93" s="3680"/>
      <c r="S93" s="3680"/>
      <c r="T93" s="3680"/>
      <c r="U93" s="3680"/>
      <c r="V93" s="3680"/>
      <c r="W93" s="3680"/>
      <c r="X93" s="3680"/>
      <c r="Y93" s="3680"/>
      <c r="Z93" s="3680"/>
      <c r="AA93" s="3681"/>
      <c r="AB93" s="3681"/>
      <c r="AC93" s="3681"/>
      <c r="AD93" s="3681"/>
      <c r="AE93" s="3681"/>
      <c r="AF93" s="3681"/>
      <c r="AG93" s="3681"/>
      <c r="AH93" s="3681"/>
      <c r="AI93" s="3681"/>
    </row>
    <row r="94" s="3421" customFormat="1" ht="36.75" customHeight="1" spans="1:35">
      <c r="A94" s="3650" t="s">
        <v>1076</v>
      </c>
      <c r="B94" s="848" t="s">
        <v>1077</v>
      </c>
      <c r="C94" s="3655">
        <f ca="1">ROUND((C87+C90+C91)*D94,0)</f>
        <v>0</v>
      </c>
      <c r="D94" s="3698">
        <v>0.2</v>
      </c>
      <c r="E94" s="3727" t="s">
        <v>1078</v>
      </c>
      <c r="F94" s="3728"/>
      <c r="G94" s="3728"/>
      <c r="H94" s="3729"/>
      <c r="I94" s="1157"/>
      <c r="J94" s="3680"/>
      <c r="K94" s="3680"/>
      <c r="L94" s="3680"/>
      <c r="M94" s="3680"/>
      <c r="N94" s="3680"/>
      <c r="O94" s="3680"/>
      <c r="P94" s="3680"/>
      <c r="Q94" s="3680"/>
      <c r="R94" s="3680"/>
      <c r="S94" s="3680"/>
      <c r="T94" s="3680"/>
      <c r="U94" s="3680"/>
      <c r="V94" s="3680"/>
      <c r="W94" s="3680"/>
      <c r="X94" s="3680"/>
      <c r="Y94" s="3680"/>
      <c r="Z94" s="3680"/>
      <c r="AA94" s="3681"/>
      <c r="AB94" s="3681"/>
      <c r="AC94" s="3681"/>
      <c r="AD94" s="3681"/>
      <c r="AE94" s="3681"/>
      <c r="AF94" s="3681"/>
      <c r="AG94" s="3681"/>
      <c r="AH94" s="3681"/>
      <c r="AI94" s="3681"/>
    </row>
    <row r="95" s="3421" customFormat="1" ht="14.25" spans="1:35">
      <c r="A95" s="3642" t="s">
        <v>1023</v>
      </c>
      <c r="B95" s="3687" t="s">
        <v>1050</v>
      </c>
      <c r="C95" s="3688">
        <f ca="1">ROUND(C85-C86,0)</f>
        <v>598</v>
      </c>
      <c r="D95" s="850" t="s">
        <v>124</v>
      </c>
      <c r="E95" s="2758"/>
      <c r="F95" s="2759"/>
      <c r="G95" s="2759"/>
      <c r="H95" s="3713"/>
      <c r="I95" s="1157"/>
      <c r="J95" s="3680"/>
      <c r="K95" s="3680"/>
      <c r="L95" s="3680"/>
      <c r="M95" s="3680"/>
      <c r="N95" s="3680"/>
      <c r="O95" s="3680"/>
      <c r="P95" s="3680"/>
      <c r="Q95" s="3680"/>
      <c r="R95" s="3680"/>
      <c r="S95" s="3680"/>
      <c r="T95" s="3680"/>
      <c r="U95" s="3680"/>
      <c r="V95" s="3680"/>
      <c r="W95" s="3680"/>
      <c r="X95" s="3680"/>
      <c r="Y95" s="3680"/>
      <c r="Z95" s="3680"/>
      <c r="AA95" s="3681"/>
      <c r="AB95" s="3681"/>
      <c r="AC95" s="3681"/>
      <c r="AD95" s="3681"/>
      <c r="AE95" s="3681"/>
      <c r="AF95" s="3681"/>
      <c r="AG95" s="3681"/>
      <c r="AH95" s="3681"/>
      <c r="AI95" s="3681"/>
    </row>
    <row r="96" s="3421" customFormat="1" ht="24" spans="1:35">
      <c r="A96" s="3642" t="s">
        <v>1026</v>
      </c>
      <c r="B96" s="3687" t="s">
        <v>1051</v>
      </c>
      <c r="C96" s="3688">
        <f ca="1">IF(C95&lt;=0,0,C95/C86)</f>
        <v>7.38271604938272</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13"/>
      <c r="I96" s="1157"/>
      <c r="J96" s="3680"/>
      <c r="K96" s="3680"/>
      <c r="L96" s="3680"/>
      <c r="M96" s="3680"/>
      <c r="N96" s="3680"/>
      <c r="O96" s="3680"/>
      <c r="P96" s="3680"/>
      <c r="Q96" s="3680"/>
      <c r="R96" s="3680"/>
      <c r="S96" s="3680"/>
      <c r="T96" s="3680"/>
      <c r="U96" s="3680"/>
      <c r="V96" s="3680"/>
      <c r="W96" s="3680"/>
      <c r="X96" s="3680"/>
      <c r="Y96" s="3680"/>
      <c r="Z96" s="3680"/>
      <c r="AA96" s="3681"/>
      <c r="AB96" s="3681"/>
      <c r="AC96" s="3681"/>
      <c r="AD96" s="3681"/>
      <c r="AE96" s="3681"/>
      <c r="AF96" s="3681"/>
      <c r="AG96" s="3681"/>
      <c r="AH96" s="3681"/>
      <c r="AI96" s="3681"/>
    </row>
    <row r="97" s="3421" customFormat="1" ht="24.75" spans="1:35">
      <c r="A97" s="3662" t="s">
        <v>1052</v>
      </c>
      <c r="B97" s="3704" t="s">
        <v>1053</v>
      </c>
      <c r="C97" s="3705">
        <f ca="1">ROUND(IF(C95&lt;=0,0,IF(C96&gt;=200%,C95*60%-C86*35%,IF(C96&gt;=100%,C95*50%-C86*15%,IF(C96&gt;=50%,C95*40%-C86*5%,IF(C96&lt;50%,C95*30%,0))))),0)</f>
        <v>330</v>
      </c>
      <c r="D97" s="3664"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80"/>
      <c r="K97" s="3680"/>
      <c r="L97" s="3680"/>
      <c r="M97" s="3680"/>
      <c r="N97" s="3680"/>
      <c r="O97" s="3680"/>
      <c r="P97" s="3680"/>
      <c r="Q97" s="3680"/>
      <c r="R97" s="3680"/>
      <c r="S97" s="3680"/>
      <c r="T97" s="3680"/>
      <c r="U97" s="3680"/>
      <c r="V97" s="3680"/>
      <c r="W97" s="3680"/>
      <c r="X97" s="3680"/>
      <c r="Y97" s="3680"/>
      <c r="Z97" s="3680"/>
      <c r="AA97" s="3681"/>
      <c r="AB97" s="3681"/>
      <c r="AC97" s="3681"/>
      <c r="AD97" s="3681"/>
      <c r="AE97" s="3681"/>
      <c r="AF97" s="3681"/>
      <c r="AG97" s="3681"/>
      <c r="AH97" s="3681"/>
      <c r="AI97" s="3681"/>
    </row>
    <row r="98" customHeight="1" spans="1:35">
      <c r="A98" s="3623"/>
      <c r="B98" s="3425"/>
      <c r="C98" s="3425"/>
      <c r="D98" s="3425"/>
      <c r="E98" s="3624"/>
      <c r="F98" s="3624"/>
      <c r="G98" s="3624"/>
      <c r="H98" s="3536"/>
      <c r="I98" s="2350"/>
    </row>
    <row r="99" customHeight="1" spans="1:35">
      <c r="A99" s="3539" t="s">
        <v>1079</v>
      </c>
      <c r="B99" s="3425"/>
      <c r="C99" s="3425"/>
      <c r="D99" s="3425"/>
      <c r="E99" s="3624"/>
      <c r="F99" s="3624"/>
      <c r="G99" s="3624"/>
      <c r="H99" s="3536"/>
      <c r="I99" s="2350"/>
    </row>
    <row r="100" ht="18.75" customHeight="1" spans="1:35">
      <c r="A100" s="3731" t="s">
        <v>1080</v>
      </c>
      <c r="B100" s="3732"/>
      <c r="C100" s="3732"/>
      <c r="D100" s="3733"/>
      <c r="E100" s="3732" t="s">
        <v>1081</v>
      </c>
      <c r="F100" s="3732"/>
      <c r="G100" s="3732"/>
      <c r="H100" s="3733"/>
      <c r="I100" s="2350"/>
    </row>
    <row r="101" ht="18.75" customHeight="1" spans="1:35">
      <c r="A101" s="3734" t="s">
        <v>1082</v>
      </c>
      <c r="B101" s="3735"/>
      <c r="C101" s="3736" t="str">
        <f>C4</f>
        <v>比较法-商业</v>
      </c>
      <c r="D101" s="3737" t="str">
        <f>D4</f>
        <v>收益法 (元)</v>
      </c>
      <c r="E101" s="3738" t="s">
        <v>1083</v>
      </c>
      <c r="F101" s="3739"/>
      <c r="G101" s="3740" t="s">
        <v>1084</v>
      </c>
      <c r="H101" s="3741">
        <f ca="1">H118</f>
        <v>740.2049</v>
      </c>
      <c r="I101" s="2350"/>
    </row>
    <row r="102" ht="18.75" customHeight="1" spans="1:35">
      <c r="A102" s="3742" t="s">
        <v>1085</v>
      </c>
      <c r="B102" s="3743" t="s">
        <v>1084</v>
      </c>
      <c r="C102" s="3744">
        <f ca="1">C19</f>
        <v>919.5971</v>
      </c>
      <c r="D102" s="3745">
        <f ca="1">D19</f>
        <v>471.1169</v>
      </c>
      <c r="E102" s="3738"/>
      <c r="F102" s="3739"/>
      <c r="G102" s="3740" t="s">
        <v>99</v>
      </c>
      <c r="H102" s="3134">
        <f ca="1">I118</f>
        <v>53302</v>
      </c>
      <c r="I102" s="2350"/>
    </row>
    <row r="103" ht="42.75" customHeight="1" spans="1:35">
      <c r="A103" s="3742"/>
      <c r="B103" s="3743" t="s">
        <v>99</v>
      </c>
      <c r="C103" s="3746">
        <f ca="1">C20</f>
        <v>66220</v>
      </c>
      <c r="D103" s="3747">
        <f ca="1">D20</f>
        <v>33925</v>
      </c>
      <c r="E103" s="3748" t="s">
        <v>1086</v>
      </c>
      <c r="F103" s="3749"/>
      <c r="G103" s="3750" t="s">
        <v>102</v>
      </c>
      <c r="H103" s="3741">
        <f>IF(D36="正常操作",H104+H105+H106,H105+H106)</f>
        <v>0</v>
      </c>
      <c r="I103" s="2350"/>
    </row>
    <row r="104" ht="18.75" customHeight="1" spans="1:35">
      <c r="A104" s="3742" t="s">
        <v>1087</v>
      </c>
      <c r="B104" s="3751" t="s">
        <v>1084</v>
      </c>
      <c r="C104" s="3752">
        <f ca="1">H118</f>
        <v>740.2049</v>
      </c>
      <c r="D104" s="3753"/>
      <c r="E104" s="1445" t="s">
        <v>1088</v>
      </c>
      <c r="F104" s="3754"/>
      <c r="G104" s="3750" t="s">
        <v>102</v>
      </c>
      <c r="H104" s="3755">
        <f>IF(D36="同一抵押权人同一抵押物续贷",C36&amp;"（续贷，未扣减，详见特别提示）",C36)</f>
        <v>0</v>
      </c>
      <c r="I104" s="2350"/>
    </row>
    <row r="105" ht="18.75" customHeight="1" spans="1:35">
      <c r="A105" s="3756"/>
      <c r="B105" s="3757" t="s">
        <v>99</v>
      </c>
      <c r="C105" s="3758">
        <f ca="1">I118</f>
        <v>53302</v>
      </c>
      <c r="D105" s="3759"/>
      <c r="E105" s="1445" t="s">
        <v>1089</v>
      </c>
      <c r="F105" s="3754"/>
      <c r="G105" s="3750" t="s">
        <v>102</v>
      </c>
      <c r="H105" s="3760">
        <f>C37</f>
        <v>0</v>
      </c>
      <c r="I105" s="2350"/>
    </row>
    <row r="106" ht="18.75" customHeight="1" spans="1:35">
      <c r="A106" s="3425" t="s">
        <v>1090</v>
      </c>
      <c r="B106" s="3425"/>
      <c r="C106" s="3425"/>
      <c r="D106" s="3425"/>
      <c r="E106" s="3761" t="s">
        <v>1091</v>
      </c>
      <c r="F106" s="3754"/>
      <c r="G106" s="3750" t="s">
        <v>102</v>
      </c>
      <c r="H106" s="3760">
        <f>C38</f>
        <v>0</v>
      </c>
      <c r="I106" s="2350"/>
    </row>
    <row r="107" ht="18.75" customHeight="1" spans="1:35">
      <c r="A107" s="2350"/>
      <c r="B107" s="2350"/>
      <c r="C107" s="2350"/>
      <c r="D107" s="2350"/>
      <c r="E107" s="726" t="str">
        <f>IF(项目基本情况!E8="已注销","——","3.房地产抵押价值")</f>
        <v>3.房地产抵押价值</v>
      </c>
      <c r="F107" s="3739"/>
      <c r="G107" s="3740" t="s">
        <v>1084</v>
      </c>
      <c r="H107" s="3741">
        <f ca="1">IF(E107="——","——",H101-H103)</f>
        <v>740.2049</v>
      </c>
      <c r="I107" s="2350"/>
    </row>
    <row r="108" ht="18.75" customHeight="1" spans="1:35">
      <c r="A108" s="2350"/>
      <c r="B108" s="2350"/>
      <c r="C108" s="2350"/>
      <c r="D108" s="2350"/>
      <c r="E108" s="726"/>
      <c r="F108" s="3739"/>
      <c r="G108" s="3740" t="s">
        <v>99</v>
      </c>
      <c r="H108" s="3134">
        <f ca="1">IF(H107=H101,H102,ROUND(H107*10000/'数据-汇总表'!E3,0))</f>
        <v>53302</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9"/>
      <c r="G109" s="3740" t="s">
        <v>1084</v>
      </c>
      <c r="H109" s="3024" t="str">
        <f ca="1">IF(E109="——","——",H101-H105-H106)</f>
        <v>——</v>
      </c>
      <c r="I109" s="2350"/>
    </row>
    <row r="110" ht="18.75" customHeight="1" spans="1:35">
      <c r="A110" s="2350"/>
      <c r="B110" s="2350"/>
      <c r="C110" s="2350"/>
      <c r="D110" s="2350"/>
      <c r="E110" s="726"/>
      <c r="F110" s="3739"/>
      <c r="G110" s="3740" t="s">
        <v>99</v>
      </c>
      <c r="H110" s="3134" t="str">
        <f ca="1">IF(H109="——","——",ROUND(H109*10000/'数据-汇总表'!E3,0))</f>
        <v>——</v>
      </c>
      <c r="I110" s="2350"/>
    </row>
    <row r="111" ht="18.75" customHeight="1" spans="1:35">
      <c r="A111" s="2350"/>
      <c r="B111" s="2350"/>
      <c r="C111" s="2350"/>
      <c r="D111" s="2350"/>
      <c r="E111" s="3762" t="str">
        <f>IF(项目基本情况!E9="抵押净值",IF(OR(项目基本情况!E8="已注销",项目基本情况!E8="房地产抵押价值"),"4.抵押净值","5.抵押净值"),"——")</f>
        <v>——</v>
      </c>
      <c r="F111" s="3763"/>
      <c r="G111" s="3740" t="s">
        <v>1084</v>
      </c>
      <c r="H111" s="3741" t="str">
        <f ca="1">IF(E111="——","——",N59)</f>
        <v>——</v>
      </c>
      <c r="I111" s="2350"/>
    </row>
    <row r="112" ht="18.75" customHeight="1" spans="1:35">
      <c r="A112" s="2350"/>
      <c r="B112" s="2350"/>
      <c r="C112" s="2350"/>
      <c r="D112" s="2350"/>
      <c r="E112" s="3764"/>
      <c r="F112" s="3765"/>
      <c r="G112" s="3766" t="s">
        <v>99</v>
      </c>
      <c r="H112" s="3464" t="str">
        <f ca="1">IF(E111="——","——",N61)</f>
        <v>——</v>
      </c>
      <c r="I112" s="2350"/>
    </row>
    <row r="113" ht="18.75" customHeight="1" spans="1:27">
      <c r="A113" s="2350"/>
      <c r="B113" s="2350"/>
      <c r="C113" s="2350"/>
      <c r="D113" s="2350"/>
      <c r="E113" s="3767" t="s">
        <v>1090</v>
      </c>
      <c r="F113" s="3767"/>
      <c r="G113" s="3767"/>
      <c r="H113" s="3767"/>
      <c r="I113" s="2350"/>
    </row>
    <row r="114" ht="3.75" customHeight="1" spans="1:27">
      <c r="A114" s="3425"/>
      <c r="B114" s="3425"/>
      <c r="C114" s="3425"/>
      <c r="D114" s="3425"/>
      <c r="E114" s="3623"/>
      <c r="F114" s="3623"/>
      <c r="G114" s="3623"/>
      <c r="H114" s="3623"/>
      <c r="I114" s="3425"/>
    </row>
    <row r="115" ht="18.75" customHeight="1" spans="1:27">
      <c r="A115" s="3768" t="s">
        <v>1092</v>
      </c>
      <c r="B115" s="3769"/>
      <c r="C115" s="3769"/>
      <c r="D115" s="3769"/>
      <c r="E115" s="3769"/>
      <c r="F115" s="3769"/>
      <c r="G115" s="3769"/>
      <c r="H115" s="3769"/>
      <c r="I115" s="3770"/>
    </row>
    <row r="116" ht="27" customHeight="1" spans="1:27">
      <c r="A116" s="1205" t="s">
        <v>1093</v>
      </c>
      <c r="B116" s="3771" t="s">
        <v>1094</v>
      </c>
      <c r="C116" s="3771" t="s">
        <v>1095</v>
      </c>
      <c r="D116" s="3772" t="s">
        <v>1096</v>
      </c>
      <c r="E116" s="3773"/>
      <c r="F116" s="3774"/>
      <c r="G116" s="3774"/>
      <c r="H116" s="1205" t="s">
        <v>1097</v>
      </c>
      <c r="I116" s="1205"/>
      <c r="K116" s="3775"/>
      <c r="L116" s="3776" t="s">
        <v>199</v>
      </c>
      <c r="M116" s="3776" t="s">
        <v>1098</v>
      </c>
      <c r="N116" s="3776" t="s">
        <v>1099</v>
      </c>
    </row>
    <row r="117" ht="18.75" customHeight="1" spans="1:27">
      <c r="A117" s="1205"/>
      <c r="B117" s="3777"/>
      <c r="C117" s="3777"/>
      <c r="D117" s="1205" t="s">
        <v>1100</v>
      </c>
      <c r="E117" s="1205" t="s">
        <v>889</v>
      </c>
      <c r="F117" s="1205" t="s">
        <v>1100</v>
      </c>
      <c r="G117" s="1205" t="s">
        <v>889</v>
      </c>
      <c r="H117" s="1205" t="s">
        <v>1100</v>
      </c>
      <c r="I117" s="1205" t="s">
        <v>889</v>
      </c>
      <c r="K117" s="3776" t="s">
        <v>1101</v>
      </c>
      <c r="L117" s="3778" t="e">
        <f ca="1">C34</f>
        <v>#REF!</v>
      </c>
      <c r="M117" s="3779" t="e">
        <f ca="1">C35</f>
        <v>#REF!</v>
      </c>
      <c r="N117" s="3779">
        <f ca="1">C32</f>
        <v>53302</v>
      </c>
    </row>
    <row r="118" ht="24.75" customHeight="1" spans="1:27">
      <c r="A118" s="3780" t="str">
        <f>项目基本情况!S2</f>
        <v>北京市房地产</v>
      </c>
      <c r="B118" s="3781">
        <f>M18</f>
        <v>138.87</v>
      </c>
      <c r="C118" s="3781">
        <f>M19</f>
        <v>0</v>
      </c>
      <c r="D118" s="3440" t="e">
        <f ca="1">ROUND(IF(D32="总价",L117,L119*B118/10000),0)</f>
        <v>#REF!</v>
      </c>
      <c r="E118" s="3440">
        <f ca="1">ROUND(IF(C33="自定义",IF(D32="楼面单价",L119,D118*10000/B118),I118-G118),0)</f>
        <v>53302</v>
      </c>
      <c r="F118" s="3440" t="e">
        <f ca="1">ROUND(IF(D32="总价",M117,M119*B118/10000),0)</f>
        <v>#REF!</v>
      </c>
      <c r="G118" s="3440">
        <f ca="1">ROUND(IF(D32="楼面单价",,F118*10000/B118),0)</f>
        <v>0</v>
      </c>
      <c r="H118" s="3440">
        <f ca="1">ROUND(IF(D32="总价",C32,N119*B118/10000),4)</f>
        <v>740.2049</v>
      </c>
      <c r="I118" s="3440">
        <f ca="1">ROUND(IF(D32="楼面单价",C32,N117*10000/B118),0)</f>
        <v>53302</v>
      </c>
      <c r="K118" s="3775"/>
      <c r="L118" s="3775"/>
      <c r="M118" s="3775"/>
      <c r="N118" s="3775"/>
    </row>
    <row r="119" ht="18.75" customHeight="1" spans="1:27">
      <c r="A119" s="1205" t="s">
        <v>1102</v>
      </c>
      <c r="B119" s="1205"/>
      <c r="C119" s="1205"/>
      <c r="D119" s="1453" t="e">
        <f ca="1">NUMBERSTRING(INT(D118*10000),2)&amp;"元整"</f>
        <v>#REF!</v>
      </c>
      <c r="E119" s="1773"/>
      <c r="F119" s="1453" t="e">
        <f ca="1">NUMBERSTRING(INT(F118*10000),2)&amp;"元整"</f>
        <v>#REF!</v>
      </c>
      <c r="G119" s="1773"/>
      <c r="H119" s="1453" t="str">
        <f ca="1">NUMBERSTRING(INT(H118*10000),2)&amp;"元整"</f>
        <v>柒佰肆拾万贰仟零肆拾玖元整</v>
      </c>
      <c r="I119" s="1773"/>
      <c r="K119" s="3776" t="s">
        <v>1103</v>
      </c>
      <c r="L119" s="3779" t="e">
        <f ca="1">C34</f>
        <v>#REF!</v>
      </c>
      <c r="M119" s="3779" t="e">
        <f ca="1">C35</f>
        <v>#REF!</v>
      </c>
      <c r="N119" s="3779">
        <f ca="1">C32</f>
        <v>53302</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2"/>
      <c r="K120" s="3422" t="str">
        <f>IF(H120=0,"故，本次评估不存在"&amp;A120,"故，本次评估"&amp;A120&amp;"为人民币"&amp;H120&amp;"万元整。")</f>
        <v>故，本次评估不存在估价师知悉的法定优先受偿款</v>
      </c>
      <c r="L120" s="3422"/>
      <c r="M120" s="3422"/>
      <c r="N120" s="3422"/>
      <c r="O120" s="3422"/>
      <c r="P120" s="3422"/>
      <c r="Q120" s="3422"/>
      <c r="R120" s="3422"/>
      <c r="S120" s="3422"/>
    </row>
    <row r="121" ht="18.75" customHeight="1" spans="1:27">
      <c r="A121" s="1453" t="s">
        <v>1102</v>
      </c>
      <c r="B121" s="3787"/>
      <c r="C121" s="3787"/>
      <c r="D121" s="3787"/>
      <c r="E121" s="3787"/>
      <c r="F121" s="3787"/>
      <c r="G121" s="1773"/>
      <c r="H121" s="3788" t="str">
        <f>IF(H120=0,"零元整",NUMBERSTRING(INT(H120*10000),2)&amp;"元整")</f>
        <v>零元整</v>
      </c>
      <c r="I121" s="3789"/>
      <c r="AA121" s="2264"/>
    </row>
    <row r="122" ht="18.75" customHeight="1" spans="1:27">
      <c r="A122" s="3782" t="str">
        <f>IF(项目基本情况!B9="房地产市场价值","",MID(E107,3,LEN(E107)-2))</f>
        <v>房地产抵押价值</v>
      </c>
      <c r="B122" s="3783"/>
      <c r="C122" s="3783"/>
      <c r="D122" s="3783"/>
      <c r="E122" s="3783"/>
      <c r="F122" s="3783"/>
      <c r="G122" s="3784"/>
      <c r="H122" s="3790">
        <f ca="1">H107</f>
        <v>740.2049</v>
      </c>
      <c r="I122" s="3791"/>
      <c r="AA122" s="2264"/>
    </row>
    <row r="123" ht="18.75" customHeight="1" spans="1:27">
      <c r="A123" s="1453" t="s">
        <v>1102</v>
      </c>
      <c r="B123" s="3787"/>
      <c r="C123" s="3787"/>
      <c r="D123" s="3787"/>
      <c r="E123" s="3787"/>
      <c r="F123" s="3787"/>
      <c r="G123" s="1773"/>
      <c r="H123" s="1453" t="str">
        <f ca="1">NUMBERSTRING(INT(H122*10000),2)&amp;"元整"</f>
        <v>柒佰肆拾万贰仟零肆拾玖元整</v>
      </c>
      <c r="I123" s="1773"/>
      <c r="AA123" s="2264"/>
    </row>
    <row r="124" ht="18.75" customHeight="1" spans="1:27">
      <c r="A124" s="3782" t="str">
        <f>IF(项目基本情况!B9="房地产市场价值","",MID(E109,3,LEN(E109)-2))</f>
        <v/>
      </c>
      <c r="B124" s="3783"/>
      <c r="C124" s="3783"/>
      <c r="D124" s="3783"/>
      <c r="E124" s="3783"/>
      <c r="F124" s="3783"/>
      <c r="G124" s="3784"/>
      <c r="H124" s="3790" t="str">
        <f ca="1">H109</f>
        <v>——</v>
      </c>
      <c r="I124" s="3791"/>
      <c r="AA124" s="2264"/>
    </row>
    <row r="125" ht="18.75" customHeight="1" spans="1:27">
      <c r="A125" s="1453" t="s">
        <v>1102</v>
      </c>
      <c r="B125" s="3787"/>
      <c r="C125" s="3787"/>
      <c r="D125" s="3787"/>
      <c r="E125" s="3787"/>
      <c r="F125" s="3787"/>
      <c r="G125" s="1773"/>
      <c r="H125" s="1453" t="e">
        <f ca="1">NUMBERSTRING(INT(H124*10000),2)&amp;"元整"</f>
        <v>#VALUE!</v>
      </c>
      <c r="I125" s="1773"/>
      <c r="AA125" s="2264"/>
    </row>
    <row r="126" ht="18.75" customHeight="1" spans="1:27">
      <c r="A126" s="3782" t="str">
        <f>IF(项目基本情况!B9="房地产市场价值","",MID(E111,3,LEN(E111)-2))</f>
        <v/>
      </c>
      <c r="B126" s="3783"/>
      <c r="C126" s="3783"/>
      <c r="D126" s="3783"/>
      <c r="E126" s="3783"/>
      <c r="F126" s="3783"/>
      <c r="G126" s="3784"/>
      <c r="H126" s="3790" t="str">
        <f ca="1">H111</f>
        <v>——</v>
      </c>
      <c r="I126" s="3791"/>
      <c r="AA126" s="2264"/>
    </row>
    <row r="127" ht="18.75" customHeight="1" spans="1:27">
      <c r="A127" s="1453" t="s">
        <v>1102</v>
      </c>
      <c r="B127" s="3787"/>
      <c r="C127" s="3787"/>
      <c r="D127" s="3787"/>
      <c r="E127" s="3787"/>
      <c r="F127" s="3787"/>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92" t="s">
        <v>1104</v>
      </c>
      <c r="B129" s="3793"/>
      <c r="C129" s="3794" t="s">
        <v>1105</v>
      </c>
      <c r="D129" s="3795"/>
      <c r="E129" s="3795"/>
      <c r="F129" s="3795"/>
      <c r="G129" s="3795"/>
      <c r="H129" s="3796"/>
      <c r="I129" s="3797"/>
      <c r="AA129" s="2264"/>
    </row>
    <row r="130" customHeight="1" spans="1:35">
      <c r="A130" s="3798">
        <v>1</v>
      </c>
      <c r="B130" s="3799"/>
      <c r="C130" s="3799"/>
      <c r="D130" s="3800"/>
      <c r="E130" s="3800"/>
      <c r="F130" s="3800"/>
      <c r="G130" s="3800"/>
      <c r="H130" s="3801"/>
      <c r="I130" s="3802"/>
      <c r="AA130" s="2264"/>
    </row>
    <row r="131" customHeight="1" spans="1:35">
      <c r="A131" s="3798">
        <v>2</v>
      </c>
      <c r="B131" s="3799"/>
      <c r="C131" s="3799"/>
      <c r="D131" s="3800"/>
      <c r="E131" s="3800"/>
      <c r="F131" s="3800"/>
      <c r="G131" s="3800"/>
      <c r="H131" s="3801"/>
      <c r="I131" s="3802"/>
      <c r="AA131" s="2264"/>
    </row>
    <row r="132" customHeight="1" spans="1:35">
      <c r="A132" s="3798">
        <v>3</v>
      </c>
      <c r="B132" s="3799"/>
      <c r="C132" s="3799"/>
      <c r="D132" s="3800"/>
      <c r="E132" s="3800"/>
      <c r="F132" s="3800"/>
      <c r="G132" s="3800"/>
      <c r="H132" s="3801"/>
      <c r="I132" s="3802"/>
      <c r="AA132" s="2264"/>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264"/>
    </row>
    <row r="135" customHeight="1" spans="1:35">
      <c r="A135" s="2264"/>
      <c r="B135" s="2264"/>
      <c r="C135" s="2264"/>
      <c r="D135" s="2264"/>
      <c r="E135" s="2264"/>
      <c r="F135" s="3808" t="s">
        <v>1106</v>
      </c>
      <c r="G135" s="3809"/>
      <c r="H135" s="3809"/>
      <c r="I135" s="3810" t="s">
        <v>1107</v>
      </c>
    </row>
    <row r="136" customHeight="1" spans="1:35">
      <c r="A136" s="2264"/>
      <c r="B136" s="3811"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9"/>
      <c r="C138" s="3809"/>
      <c r="D138" s="3809"/>
      <c r="E138" s="3809"/>
      <c r="F138" s="3809"/>
      <c r="G138" s="3809"/>
      <c r="H138" s="3809"/>
      <c r="I138" s="3810" t="s">
        <v>1109</v>
      </c>
    </row>
    <row r="139" customHeight="1" spans="1:35">
      <c r="A139" s="2264"/>
      <c r="B139" s="3811" t="s">
        <v>1110</v>
      </c>
      <c r="C139" s="2264"/>
      <c r="D139" s="2264"/>
      <c r="E139" s="2264"/>
      <c r="F139" s="2264"/>
      <c r="G139" s="2264"/>
      <c r="H139" s="2264"/>
      <c r="I139" s="2264"/>
    </row>
    <row r="140" customHeight="1" spans="1:35">
      <c r="A140" s="2264"/>
      <c r="B140" s="3811"/>
      <c r="C140" s="2264"/>
      <c r="D140" s="2264"/>
      <c r="E140" s="2264"/>
      <c r="F140" s="2264"/>
      <c r="G140" s="2264"/>
      <c r="H140" s="2264"/>
      <c r="I140" s="2264"/>
    </row>
    <row r="141" customHeight="1" spans="1:35">
      <c r="A141" s="2264"/>
      <c r="B141" s="3809"/>
      <c r="C141" s="3809"/>
      <c r="D141" s="3809"/>
      <c r="E141" s="3809"/>
      <c r="F141" s="3809"/>
      <c r="G141" s="3809"/>
      <c r="H141" s="3809"/>
      <c r="I141" s="3810" t="s">
        <v>1109</v>
      </c>
    </row>
    <row r="142" customHeight="1" spans="1:35">
      <c r="A142" s="2264"/>
      <c r="B142" s="3811"/>
      <c r="C142" s="3812"/>
      <c r="D142" s="3813"/>
      <c r="E142" s="3813"/>
      <c r="F142" s="3814"/>
      <c r="G142" s="2264"/>
      <c r="H142" s="2264"/>
      <c r="I142" s="2264"/>
    </row>
    <row r="143" s="2262" customFormat="1" customHeight="1" spans="1:35">
      <c r="A143" s="2264"/>
      <c r="B143" s="3811"/>
      <c r="C143" s="3812"/>
      <c r="D143" s="3813"/>
      <c r="E143" s="3813"/>
      <c r="F143" s="3814"/>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22"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22"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22"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22"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22"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22"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22"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22"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22"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22"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22"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22"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22"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22"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22"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22"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22"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22"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22"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22"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22"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22"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22"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22"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22"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22"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22"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22"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22"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22"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22"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22"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22"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22"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22"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22"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22"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22"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22"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22"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22"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22"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22"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22"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22"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22"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22"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22"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22"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22"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22"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22"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22"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22"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22"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22"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22"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22"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22"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22"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22"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22"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22"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22"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22"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22"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22"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22"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22"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22"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22"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22"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22"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22"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22"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22"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22"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22"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22"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22"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22"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22"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22"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22"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22"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22"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22"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22"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22"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22"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22"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22"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22"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22"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22"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22"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22"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22"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22"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22"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22"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22"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22"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22"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285"/>
      <c r="D1" s="415"/>
      <c r="E1" s="415"/>
      <c r="F1" s="415"/>
      <c r="G1" s="603">
        <f>MATCH(B1,'数据-取费表'!A6:A16,0)+5</f>
        <v>7</v>
      </c>
    </row>
    <row r="2" s="405" customFormat="1" ht="15.75" spans="1:9">
      <c r="A2" s="417" t="s">
        <v>1112</v>
      </c>
      <c r="B2" s="604">
        <f ca="1">IF(C1="含税",E2+C33,E2+C32)</f>
        <v>67</v>
      </c>
      <c r="C2" s="416" t="s">
        <v>1113</v>
      </c>
      <c r="D2" s="3280" t="s">
        <v>124</v>
      </c>
      <c r="E2" s="3404">
        <f ca="1">IF(D2="——",0,SUMIF(INDIRECT("'"&amp;G2&amp;"'"&amp;"!A:A"),"承租人权益价值",INDIRECT("'"&amp;G2&amp;"'"&amp;"!c:c")))</f>
        <v>0</v>
      </c>
      <c r="F2" s="720" t="s">
        <v>1113</v>
      </c>
      <c r="G2" s="3282"/>
    </row>
    <row r="3" s="405" customFormat="1" ht="16.5" spans="1:9">
      <c r="A3" s="420" t="s">
        <v>1114</v>
      </c>
      <c r="B3" s="606">
        <f ca="1">ROUND(B2*10000/(IF(B1="",'数据-汇总表'!E3,INDIRECT("'数据-取费表'!k"&amp;$G$1))),0)</f>
        <v>4825</v>
      </c>
      <c r="C3" s="416" t="s">
        <v>1115</v>
      </c>
      <c r="D3" s="416"/>
      <c r="E3" s="605"/>
      <c r="F3" s="416"/>
      <c r="G3" s="416"/>
    </row>
    <row r="4" s="405" customFormat="1" ht="15.75" spans="1:9">
      <c r="A4" s="3288" t="s">
        <v>999</v>
      </c>
      <c r="B4" s="3289" t="s">
        <v>1000</v>
      </c>
      <c r="C4" s="3290" t="s">
        <v>1116</v>
      </c>
      <c r="D4" s="3291" t="s">
        <v>1117</v>
      </c>
      <c r="E4" s="3292" t="s">
        <v>1118</v>
      </c>
      <c r="F4" s="3292" t="s">
        <v>1119</v>
      </c>
      <c r="G4" s="3293" t="s">
        <v>1120</v>
      </c>
    </row>
    <row r="5" s="406" customFormat="1" ht="15.75" spans="1:9">
      <c r="A5" s="3294" t="s">
        <v>1121</v>
      </c>
      <c r="B5" s="3295" t="s">
        <v>1122</v>
      </c>
      <c r="C5" s="3296">
        <f ca="1">ROUND((C6+C9+C21+C24+C25+C28)/(1-F22-C26-C29),0)</f>
        <v>76</v>
      </c>
      <c r="D5" s="3297"/>
      <c r="E5" s="3297"/>
      <c r="F5" s="3297"/>
      <c r="G5" s="3298" t="s">
        <v>1123</v>
      </c>
    </row>
    <row r="6" s="599" customFormat="1" ht="15" spans="1:9">
      <c r="A6" s="3299" t="s">
        <v>1124</v>
      </c>
      <c r="B6" s="3300" t="s">
        <v>1125</v>
      </c>
      <c r="C6" s="3301">
        <f>C7+C8</f>
        <v>0</v>
      </c>
      <c r="D6" s="3302"/>
      <c r="E6" s="3302"/>
      <c r="F6" s="3302"/>
      <c r="G6" s="3303"/>
    </row>
    <row r="7" s="407" customFormat="1" spans="1:9">
      <c r="A7" s="3304" t="s">
        <v>1126</v>
      </c>
      <c r="B7" s="3305" t="s">
        <v>1127</v>
      </c>
      <c r="C7" s="647"/>
      <c r="D7" s="3306"/>
      <c r="E7" s="649"/>
      <c r="F7" s="649"/>
      <c r="G7" s="482"/>
    </row>
    <row r="8" s="407" customFormat="1" spans="1:9">
      <c r="A8" s="3304" t="s">
        <v>1128</v>
      </c>
      <c r="B8" s="3305" t="s">
        <v>1129</v>
      </c>
      <c r="C8" s="641">
        <f>ROUND(C7*F8,0)</f>
        <v>0</v>
      </c>
      <c r="D8" s="471"/>
      <c r="E8" s="649"/>
      <c r="F8" s="644">
        <f>IF(项目基本情况!B8="出让",0,'数据-取费表'!B49+'数据-取费表'!B50)</f>
        <v>0.0305</v>
      </c>
      <c r="G8" s="482"/>
    </row>
    <row r="9" s="599" customFormat="1" ht="15" spans="1:9">
      <c r="A9" s="3307" t="s">
        <v>1130</v>
      </c>
      <c r="B9" s="3308" t="s">
        <v>1131</v>
      </c>
      <c r="C9" s="651">
        <f ca="1">C10+C11+C12+C13+C19+C20</f>
        <v>60</v>
      </c>
      <c r="D9" s="3309"/>
      <c r="E9" s="3310"/>
      <c r="F9" s="654"/>
      <c r="G9" s="3311"/>
      <c r="I9" s="407"/>
    </row>
    <row r="10" s="407" customFormat="1" spans="1:9">
      <c r="A10" s="3312" t="s">
        <v>1126</v>
      </c>
      <c r="B10" s="3313" t="s">
        <v>1132</v>
      </c>
      <c r="C10" s="641">
        <f ca="1">IF(B1="",IF(F10=100%,'数据-取费表'!M16,'数据-取费表'!O16),IF(F10=100%,INDIRECT("'数据-取费表'!m"&amp;$G$1)+INDIRECT("'数据-取费表'!t"&amp;$G$1),INDIRECT("'数据-取费表'!o"&amp;$G$1)+INDIRECT("'数据-取费表'!aq"&amp;$G$1)))</f>
        <v>50</v>
      </c>
      <c r="D10" s="3306"/>
      <c r="E10" s="471"/>
      <c r="F10" s="3314">
        <f ca="1">IF('数据-取费表'!B24=0,1,IF(B1="",'数据-取费表'!N16,INDIRECT("'数据-取费表'!n"&amp;$G$1)))</f>
        <v>1</v>
      </c>
      <c r="G10" s="482" t="s">
        <v>1133</v>
      </c>
    </row>
    <row r="11" s="407" customFormat="1" spans="1:9">
      <c r="A11" s="3312" t="s">
        <v>1128</v>
      </c>
      <c r="B11" s="3313" t="s">
        <v>1134</v>
      </c>
      <c r="C11" s="641">
        <f ca="1">ROUND(C10*F11,0)</f>
        <v>3</v>
      </c>
      <c r="D11" s="471"/>
      <c r="E11" s="471"/>
      <c r="F11" s="3315">
        <f>'数据-取费表'!B33</f>
        <v>0.06</v>
      </c>
      <c r="G11" s="650" t="s">
        <v>1135</v>
      </c>
    </row>
    <row r="12" s="407" customFormat="1" spans="1:9">
      <c r="A12" s="3312" t="s">
        <v>1136</v>
      </c>
      <c r="B12" s="3313" t="s">
        <v>1137</v>
      </c>
      <c r="C12" s="641">
        <f ca="1">ROUND(IF(B1="",SUMIF('数据-取费表'!C:C,"住宅",IF(F10=100%,'数据-取费表'!M:M,'数据-取费表'!O:O))*F12,IF(INDIRECT("'数据-取费表'!c"&amp;$G$1)="住宅",IF(F10=100%,INDIRECT("'数据-取费表'!m"&amp;$G$1)*F12,INDIRECT("'数据-取费表'!o"&amp;$G$1)*F12),0)),0)</f>
        <v>0</v>
      </c>
      <c r="D12" s="471"/>
      <c r="E12" s="471"/>
      <c r="F12" s="3315">
        <f>'数据-取费表'!B34</f>
        <v>0</v>
      </c>
      <c r="G12" s="3316" t="s">
        <v>1138</v>
      </c>
    </row>
    <row r="13" s="407" customFormat="1" spans="1:9">
      <c r="A13" s="3312" t="s">
        <v>1139</v>
      </c>
      <c r="B13" s="3313" t="s">
        <v>1140</v>
      </c>
      <c r="C13" s="641">
        <f ca="1">C14+C17+C18</f>
        <v>6</v>
      </c>
      <c r="D13" s="471"/>
      <c r="E13" s="649"/>
      <c r="F13" s="644"/>
      <c r="G13" s="482"/>
    </row>
    <row r="14" s="408" customFormat="1" spans="1:9">
      <c r="A14" s="662" t="s">
        <v>1141</v>
      </c>
      <c r="B14" s="3317" t="s">
        <v>1142</v>
      </c>
      <c r="C14" s="641">
        <f ca="1">IF(G14="已包含在土地购买价格中","0",IF(B1="",'数据-取费表'!B29,IF(G15="全部缴纳",C15+C16,H15)))</f>
        <v>0</v>
      </c>
      <c r="D14" s="3318"/>
      <c r="E14" s="471"/>
      <c r="F14" s="644"/>
      <c r="G14" s="661"/>
    </row>
    <row r="15" s="407" customFormat="1" spans="1:9">
      <c r="A15" s="3319" t="s">
        <v>1143</v>
      </c>
      <c r="B15" s="3320" t="s">
        <v>1144</v>
      </c>
      <c r="C15" s="664">
        <f ca="1">ROUND(D15*E15/10000,0)</f>
        <v>0</v>
      </c>
      <c r="D15" s="664">
        <f ca="1">IF(B1="",'数据-汇总表'!E5,IF(INDIRECT("'数据-取费表'!c"&amp;$G$1)="住宅",INDIRECT("'数据-取费表'!k"&amp;$G$1),0))</f>
        <v>0</v>
      </c>
      <c r="E15" s="664">
        <f>'数据-取费表'!B27</f>
        <v>160</v>
      </c>
      <c r="F15" s="644"/>
      <c r="G15" s="666"/>
      <c r="H15" s="667"/>
      <c r="I15" s="668" t="s">
        <v>1145</v>
      </c>
    </row>
    <row r="16" s="407" customFormat="1" spans="1:9">
      <c r="A16" s="3319" t="s">
        <v>1146</v>
      </c>
      <c r="B16" s="3320" t="s">
        <v>1147</v>
      </c>
      <c r="C16" s="664">
        <f ca="1">ROUND(D16*E16/10000,0)</f>
        <v>3</v>
      </c>
      <c r="D16" s="664">
        <f ca="1">IF(B1="",'数据-汇总表'!E6,IF(INDIRECT("'数据-取费表'!c"&amp;$G$1)="住宅",INDIRECT("'数据-取费表'!s"&amp;$G$1),INDIRECT("'数据-取费表'!k"&amp;$G$1)+INDIRECT("'数据-取费表'!s"&amp;$G$1)))</f>
        <v>138.87</v>
      </c>
      <c r="E16" s="664">
        <f>'数据-取费表'!B28</f>
        <v>200</v>
      </c>
      <c r="F16" s="644"/>
      <c r="G16" s="444"/>
    </row>
    <row r="17" s="407" customFormat="1" spans="1:7">
      <c r="A17" s="662" t="s">
        <v>1148</v>
      </c>
      <c r="B17" s="3321" t="s">
        <v>1149</v>
      </c>
      <c r="C17" s="641">
        <f ca="1">IF(G17="已包含在土地取得成本中","0",ROUND(D17*E17/10000,0))</f>
        <v>2</v>
      </c>
      <c r="D17" s="623">
        <f ca="1">D15+D16</f>
        <v>138.87</v>
      </c>
      <c r="E17" s="623">
        <f>'数据-取费表'!B31</f>
        <v>130</v>
      </c>
      <c r="F17" s="3322"/>
      <c r="G17" s="661"/>
    </row>
    <row r="18" s="407" customFormat="1" spans="1:7">
      <c r="A18" s="3323" t="s">
        <v>1150</v>
      </c>
      <c r="B18" s="3321" t="s">
        <v>1151</v>
      </c>
      <c r="C18" s="641">
        <f ca="1">ROUND(E18*D18*F10/10000,0)</f>
        <v>4</v>
      </c>
      <c r="D18" s="641">
        <f ca="1">D17</f>
        <v>138.87</v>
      </c>
      <c r="E18" s="641">
        <f>'数据-取费表'!B35</f>
        <v>300</v>
      </c>
      <c r="F18" s="3315"/>
      <c r="G18" s="482" t="str">
        <f ca="1">IF(F10=100%,"","按工程进度计取")</f>
        <v/>
      </c>
    </row>
    <row r="19" s="407" customFormat="1" spans="1:7">
      <c r="A19" s="3312" t="s">
        <v>1152</v>
      </c>
      <c r="B19" s="3313" t="s">
        <v>1153</v>
      </c>
      <c r="C19" s="641">
        <f ca="1">ROUND(C10*F19,0)</f>
        <v>1</v>
      </c>
      <c r="D19" s="471"/>
      <c r="E19" s="471"/>
      <c r="F19" s="3315">
        <f>'数据-取费表'!B36</f>
        <v>0.01</v>
      </c>
      <c r="G19" s="482" t="s">
        <v>1154</v>
      </c>
    </row>
    <row r="20" s="407" customFormat="1" spans="1:7">
      <c r="A20" s="3312" t="s">
        <v>1155</v>
      </c>
      <c r="B20" s="3313" t="s">
        <v>1156</v>
      </c>
      <c r="C20" s="641">
        <f ca="1">ROUND(C10*F20,0)</f>
        <v>0</v>
      </c>
      <c r="D20" s="3324"/>
      <c r="E20" s="467"/>
      <c r="F20" s="3315">
        <f>'数据-取费表'!B37</f>
        <v>0</v>
      </c>
      <c r="G20" s="482" t="s">
        <v>1154</v>
      </c>
    </row>
    <row r="21" s="599" customFormat="1" ht="15" spans="1:7">
      <c r="A21" s="3299" t="s">
        <v>1157</v>
      </c>
      <c r="B21" s="3300" t="s">
        <v>1158</v>
      </c>
      <c r="C21" s="651">
        <f ca="1">ROUND((C6+C9)*F21,0)</f>
        <v>1</v>
      </c>
      <c r="D21" s="1972"/>
      <c r="E21" s="1972"/>
      <c r="F21" s="3325">
        <f>'数据-取费表'!B38</f>
        <v>0.02</v>
      </c>
      <c r="G21" s="3326" t="s">
        <v>1159</v>
      </c>
    </row>
    <row r="22" s="599" customFormat="1" ht="15" spans="1:7">
      <c r="A22" s="3299" t="s">
        <v>1160</v>
      </c>
      <c r="B22" s="3300" t="s">
        <v>1161</v>
      </c>
      <c r="C22" s="3327" t="str">
        <f>F22&amp;"V"</f>
        <v>0.02V</v>
      </c>
      <c r="D22" s="682"/>
      <c r="E22" s="1972"/>
      <c r="F22" s="3325">
        <f>'数据-取费表'!B39</f>
        <v>0.02</v>
      </c>
      <c r="G22" s="3328" t="s">
        <v>1162</v>
      </c>
    </row>
    <row r="23" s="599" customFormat="1" ht="15" spans="1:7">
      <c r="A23" s="3299" t="s">
        <v>1163</v>
      </c>
      <c r="B23" s="3308" t="s">
        <v>1164</v>
      </c>
      <c r="C23" s="680" t="str">
        <f ca="1">SUM(C24:C25)&amp;"+"&amp;C26&amp;"V"</f>
        <v>1+0.0003V</v>
      </c>
      <c r="D23" s="681"/>
      <c r="E23" s="682"/>
      <c r="F23" s="3325">
        <f ca="1">'数据-取费表'!B41</f>
        <v>0.03</v>
      </c>
      <c r="G23" s="3326" t="str">
        <f>IF('数据-取费表'!B22&lt;=1,"单利计息","复利计息")</f>
        <v>单利计息</v>
      </c>
    </row>
    <row r="24" s="407" customFormat="1" spans="1:7">
      <c r="A24" s="626" t="s">
        <v>1126</v>
      </c>
      <c r="B24" s="3321" t="s">
        <v>1165</v>
      </c>
      <c r="C24" s="3329">
        <f ca="1">ROUND(IF('数据-取费表'!B22&lt;=1,C6*F23*'数据-取费表'!B23,C6*(POWER((1+F23),'数据-取费表'!B23)-1)),0)</f>
        <v>0</v>
      </c>
      <c r="D24" s="460"/>
      <c r="E24" s="460"/>
      <c r="F24" s="3330"/>
      <c r="G24" s="3316" t="s">
        <v>1166</v>
      </c>
    </row>
    <row r="25" s="407" customFormat="1" spans="1:7">
      <c r="A25" s="626" t="s">
        <v>1128</v>
      </c>
      <c r="B25" s="3321" t="s">
        <v>1167</v>
      </c>
      <c r="C25" s="3329">
        <f ca="1">ROUND(IF('数据-取费表'!B22&lt;=1,(C9+C21)*F23*'数据-取费表'!B23/2,(C9+C21)*(POWER((1+F23),'数据-取费表'!B23/2)-1)),0)</f>
        <v>1</v>
      </c>
      <c r="D25" s="460"/>
      <c r="E25" s="460"/>
      <c r="F25" s="3330"/>
      <c r="G25" s="3316" t="s">
        <v>1168</v>
      </c>
    </row>
    <row r="26" s="407" customFormat="1" spans="1:7">
      <c r="A26" s="626" t="s">
        <v>1169</v>
      </c>
      <c r="B26" s="3321" t="s">
        <v>1170</v>
      </c>
      <c r="C26" s="3331">
        <f ca="1">ROUND(IF('数据-取费表'!B22&lt;=1,F22*F23*'数据-取费表'!B23/2,F22*(POWER((1+F23),'数据-取费表'!B23/2)-1)),4)</f>
        <v>0.0003</v>
      </c>
      <c r="D26" s="460"/>
      <c r="E26" s="463"/>
      <c r="F26" s="3330"/>
      <c r="G26" s="3332" t="s">
        <v>1168</v>
      </c>
    </row>
    <row r="27" s="599" customFormat="1" ht="15" spans="1:7">
      <c r="A27" s="3299" t="s">
        <v>1171</v>
      </c>
      <c r="B27" s="3308" t="s">
        <v>1172</v>
      </c>
      <c r="C27" s="685" t="str">
        <f ca="1">C28&amp;"+"&amp;C29&amp;"V"</f>
        <v>12+0.004V</v>
      </c>
      <c r="D27" s="681"/>
      <c r="E27" s="682"/>
      <c r="F27" s="3333">
        <f ca="1">IF(B1="",'数据-取费表'!Q16,INDIRECT("'数据-取费表'!q"&amp;$G$1))</f>
        <v>0.2</v>
      </c>
      <c r="G27" s="3326" t="s">
        <v>1173</v>
      </c>
    </row>
    <row r="28" s="407" customFormat="1" spans="1:7">
      <c r="A28" s="3312" t="s">
        <v>1126</v>
      </c>
      <c r="B28" s="3321" t="s">
        <v>1174</v>
      </c>
      <c r="C28" s="791">
        <f ca="1">ROUND(C6*F27*'数据-取费表'!B23/'数据-取费表'!B22+(C9+C21)*F27,0)</f>
        <v>12</v>
      </c>
      <c r="D28" s="453"/>
      <c r="E28" s="454"/>
      <c r="F28" s="3322"/>
      <c r="G28" s="3405" t="str">
        <f ca="1">IF(F10=100%,"","其中：土地取得成本产生的利润按已建工期计算")</f>
        <v/>
      </c>
    </row>
    <row r="29" s="407" customFormat="1" spans="1:7">
      <c r="A29" s="3312" t="s">
        <v>1128</v>
      </c>
      <c r="B29" s="3321" t="s">
        <v>1175</v>
      </c>
      <c r="C29" s="3331">
        <f ca="1">ROUND(F22*F27,4)</f>
        <v>0.004</v>
      </c>
      <c r="D29" s="453"/>
      <c r="E29" s="454"/>
      <c r="F29" s="3322"/>
      <c r="G29" s="469"/>
    </row>
    <row r="30" s="599" customFormat="1" ht="15" spans="1:7">
      <c r="A30" s="3299" t="s">
        <v>1176</v>
      </c>
      <c r="B30" s="3300" t="s">
        <v>1177</v>
      </c>
      <c r="C30" s="651">
        <v>0</v>
      </c>
      <c r="D30" s="682"/>
      <c r="E30" s="3334"/>
      <c r="F30" s="3325"/>
      <c r="G30" s="3335" t="s">
        <v>1178</v>
      </c>
    </row>
    <row r="31" s="407" customFormat="1" ht="15.75" spans="1:7">
      <c r="A31" s="3336">
        <v>2</v>
      </c>
      <c r="B31" s="3337" t="s">
        <v>1179</v>
      </c>
      <c r="C31" s="618">
        <f ca="1">C57</f>
        <v>9</v>
      </c>
      <c r="D31" s="688"/>
      <c r="E31" s="688"/>
      <c r="F31" s="3338">
        <f>IF('数据-取费表'!B24=0,'数据-取费表'!N16,1)</f>
        <v>0.875</v>
      </c>
      <c r="G31" s="690" t="s">
        <v>1180</v>
      </c>
    </row>
    <row r="32" s="407" customFormat="1" ht="15.75" spans="1:7">
      <c r="A32" s="687" t="s">
        <v>1181</v>
      </c>
      <c r="B32" s="617" t="s">
        <v>1182</v>
      </c>
      <c r="C32" s="618">
        <f ca="1">C5-C31</f>
        <v>67</v>
      </c>
      <c r="D32" s="688"/>
      <c r="E32" s="688"/>
      <c r="F32" s="689"/>
      <c r="G32" s="3339" t="s">
        <v>1183</v>
      </c>
    </row>
    <row r="33" s="407" customFormat="1" ht="16.5" spans="1:7">
      <c r="A33" s="3340">
        <v>4</v>
      </c>
      <c r="B33" s="3341" t="s">
        <v>1184</v>
      </c>
      <c r="C33" s="3342">
        <f ca="1">ROUND(C32*(1+F33),0)</f>
        <v>73</v>
      </c>
      <c r="D33" s="3343"/>
      <c r="E33" s="3343"/>
      <c r="F33" s="3344">
        <f>IF(G33="其他类型公式—成本价值×（1+9%）",9%,3%)</f>
        <v>0.09</v>
      </c>
      <c r="G33" s="3345" t="s">
        <v>1185</v>
      </c>
    </row>
    <row r="34" s="408" customFormat="1"/>
    <row r="35" s="407" customFormat="1"/>
    <row r="36" s="407" customFormat="1"/>
    <row r="37" s="407" customFormat="1"/>
    <row r="38" ht="15.75" spans="1:7">
      <c r="A38" s="3346" t="s">
        <v>1186</v>
      </c>
      <c r="B38" s="3347"/>
      <c r="C38" s="3347"/>
      <c r="D38" s="3347"/>
      <c r="E38" s="3347"/>
      <c r="F38" s="3347"/>
      <c r="G38" s="3348"/>
    </row>
    <row r="39" ht="14.25" spans="1:7">
      <c r="A39" s="3350" t="s">
        <v>999</v>
      </c>
      <c r="B39" s="3406" t="s">
        <v>1000</v>
      </c>
      <c r="C39" s="3351" t="s">
        <v>1116</v>
      </c>
      <c r="D39" s="3352" t="s">
        <v>1187</v>
      </c>
      <c r="E39" s="3353" t="s">
        <v>1188</v>
      </c>
      <c r="F39" s="3353" t="s">
        <v>1189</v>
      </c>
      <c r="G39" s="3354" t="s">
        <v>1120</v>
      </c>
    </row>
    <row r="40" ht="15" spans="1:7">
      <c r="A40" s="3407" t="s">
        <v>1124</v>
      </c>
      <c r="B40" s="3408" t="s">
        <v>1190</v>
      </c>
      <c r="C40" s="3356">
        <f ca="1">SUM(C41:C46)</f>
        <v>58</v>
      </c>
      <c r="D40" s="3357"/>
      <c r="E40" s="3357"/>
      <c r="F40" s="3357"/>
      <c r="G40" s="3358"/>
    </row>
    <row r="41" ht="15.75" spans="1:7">
      <c r="A41" s="3409" t="s">
        <v>1126</v>
      </c>
      <c r="B41" s="3410" t="str">
        <f t="shared" ref="B41:C43" si="0">B10</f>
        <v>  建安费用</v>
      </c>
      <c r="C41" s="776">
        <f ca="1" t="shared" si="0"/>
        <v>50</v>
      </c>
      <c r="D41" s="3361"/>
      <c r="E41" s="3361"/>
      <c r="F41" s="785"/>
      <c r="G41" s="3362"/>
    </row>
    <row r="42" ht="15.75" spans="1:7">
      <c r="A42" s="3409" t="s">
        <v>1128</v>
      </c>
      <c r="B42" s="3410" t="str">
        <f t="shared" si="0"/>
        <v>  前期费用</v>
      </c>
      <c r="C42" s="776">
        <f ca="1" t="shared" si="0"/>
        <v>3</v>
      </c>
      <c r="D42" s="3361"/>
      <c r="E42" s="3361"/>
      <c r="F42" s="785"/>
      <c r="G42" s="3362"/>
    </row>
    <row r="43" ht="15.75" spans="1:7">
      <c r="A43" s="3409" t="s">
        <v>1136</v>
      </c>
      <c r="B43" s="3411" t="str">
        <f t="shared" si="0"/>
        <v>  公共配套设施费用</v>
      </c>
      <c r="C43" s="776">
        <f ca="1" t="shared" si="0"/>
        <v>0</v>
      </c>
      <c r="D43" s="3361"/>
      <c r="E43" s="3361"/>
      <c r="F43" s="785"/>
      <c r="G43" s="3362"/>
    </row>
    <row r="44" ht="15.75" spans="1:7">
      <c r="A44" s="3409" t="s">
        <v>1139</v>
      </c>
      <c r="B44" s="3411" t="str">
        <f>B18</f>
        <v>红线内市政费用</v>
      </c>
      <c r="C44" s="776">
        <f ca="1">C18</f>
        <v>4</v>
      </c>
      <c r="D44" s="3361"/>
      <c r="E44" s="3361"/>
      <c r="F44" s="785"/>
      <c r="G44" s="3362"/>
    </row>
    <row r="45" ht="15.75" spans="1:7">
      <c r="A45" s="626" t="s">
        <v>1191</v>
      </c>
      <c r="B45" s="3317" t="str">
        <f>B19</f>
        <v>  其他工程费</v>
      </c>
      <c r="C45" s="791">
        <f ca="1">C19</f>
        <v>1</v>
      </c>
      <c r="D45" s="3366"/>
      <c r="E45" s="3366"/>
      <c r="F45" s="794"/>
      <c r="G45" s="3367"/>
    </row>
    <row r="46" ht="15.75" spans="1:7">
      <c r="A46" s="626" t="s">
        <v>1192</v>
      </c>
      <c r="B46" s="3317" t="s">
        <v>762</v>
      </c>
      <c r="C46" s="791">
        <f ca="1">C20</f>
        <v>0</v>
      </c>
      <c r="D46" s="3366"/>
      <c r="E46" s="3366"/>
      <c r="F46" s="794"/>
      <c r="G46" s="3367"/>
    </row>
    <row r="47" ht="15" spans="1:7">
      <c r="A47" s="3407" t="s">
        <v>1193</v>
      </c>
      <c r="B47" s="773" t="s">
        <v>1158</v>
      </c>
      <c r="C47" s="3369">
        <f ca="1">ROUND(C40*F47,0)</f>
        <v>1</v>
      </c>
      <c r="D47" s="3370"/>
      <c r="E47" s="3370"/>
      <c r="F47" s="3371">
        <f>F21</f>
        <v>0.02</v>
      </c>
      <c r="G47" s="3372" t="s">
        <v>1194</v>
      </c>
    </row>
    <row r="48" ht="15" spans="1:7">
      <c r="A48" s="3407" t="s">
        <v>1157</v>
      </c>
      <c r="B48" s="773" t="s">
        <v>1161</v>
      </c>
      <c r="C48" s="3373" t="str">
        <f>F48&amp;"V建1"</f>
        <v>0.02V建1</v>
      </c>
      <c r="D48" s="3370"/>
      <c r="E48" s="3370"/>
      <c r="F48" s="3371">
        <f>F22</f>
        <v>0.02</v>
      </c>
      <c r="G48" s="3374" t="s">
        <v>1195</v>
      </c>
    </row>
    <row r="49" ht="15" spans="1:7">
      <c r="A49" s="3407" t="s">
        <v>1160</v>
      </c>
      <c r="B49" s="3412" t="s">
        <v>1164</v>
      </c>
      <c r="C49" s="651" t="str">
        <f ca="1">C50&amp;"+"&amp;C51&amp;"V建1"</f>
        <v>1+0.0003V建1</v>
      </c>
      <c r="D49" s="682"/>
      <c r="E49" s="682"/>
      <c r="F49" s="3391">
        <f ca="1">F23</f>
        <v>0.03</v>
      </c>
      <c r="G49" s="3377" t="str">
        <f>IF('数据-取费表'!B22&lt;=1,"单利计息","复利计息")</f>
        <v>单利计息</v>
      </c>
    </row>
    <row r="50" spans="1:7">
      <c r="A50" s="3409" t="s">
        <v>1126</v>
      </c>
      <c r="B50" s="3413"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9" t="s">
        <v>1128</v>
      </c>
      <c r="B51" s="3411" t="s">
        <v>1197</v>
      </c>
      <c r="C51" s="807">
        <f ca="1">ROUND(IF('数据-取费表'!B22&lt;=1,F48*F23*'数据-取费表'!B22/2,F48*(POWER((1+F23),'数据-取费表'!B22/2)-1)),4)</f>
        <v>0.0003</v>
      </c>
      <c r="D51" s="804"/>
      <c r="E51" s="804"/>
      <c r="F51" s="633"/>
      <c r="G51" s="486"/>
    </row>
    <row r="52" ht="15" spans="1:7">
      <c r="A52" s="3407" t="s">
        <v>1163</v>
      </c>
      <c r="B52" s="3414" t="s">
        <v>1172</v>
      </c>
      <c r="C52" s="3379" t="str">
        <f ca="1">C53&amp;"+"&amp;C54&amp;"V建1"</f>
        <v>12+0.004V建1</v>
      </c>
      <c r="D52" s="3380"/>
      <c r="E52" s="3370"/>
      <c r="F52" s="3381">
        <f ca="1">F27</f>
        <v>0.2</v>
      </c>
      <c r="G52" s="3382" t="s">
        <v>1198</v>
      </c>
    </row>
    <row r="53" spans="1:7">
      <c r="A53" s="3409" t="s">
        <v>1126</v>
      </c>
      <c r="B53" s="3413" t="s">
        <v>1199</v>
      </c>
      <c r="C53" s="776">
        <f ca="1">ROUND((C40+C47)*F27,0)</f>
        <v>12</v>
      </c>
      <c r="D53" s="3383"/>
      <c r="E53" s="3384"/>
      <c r="F53" s="3385"/>
      <c r="G53" s="3386"/>
    </row>
    <row r="54" spans="1:7">
      <c r="A54" s="3409" t="s">
        <v>1128</v>
      </c>
      <c r="B54" s="3413" t="s">
        <v>1200</v>
      </c>
      <c r="C54" s="3387">
        <f ca="1">ROUND(F48*F27,4)</f>
        <v>0.004</v>
      </c>
      <c r="D54" s="3383"/>
      <c r="E54" s="3384"/>
      <c r="F54" s="3385"/>
      <c r="G54" s="3386"/>
    </row>
    <row r="55" ht="15" spans="1:7">
      <c r="A55" s="3299" t="s">
        <v>1171</v>
      </c>
      <c r="B55" s="3415" t="s">
        <v>1177</v>
      </c>
      <c r="C55" s="3389">
        <v>0</v>
      </c>
      <c r="D55" s="681"/>
      <c r="E55" s="682"/>
      <c r="F55" s="3376"/>
      <c r="G55" s="3390" t="s">
        <v>1201</v>
      </c>
    </row>
    <row r="56" ht="18.75" spans="1:7">
      <c r="A56" s="3299" t="s">
        <v>1202</v>
      </c>
      <c r="B56" s="3393" t="s">
        <v>1203</v>
      </c>
      <c r="C56" s="651">
        <f ca="1">ROUND((C40+C47+C50+C53)/(1-F48-C51-C54),0)</f>
        <v>74</v>
      </c>
      <c r="D56" s="682"/>
      <c r="E56" s="682"/>
      <c r="F56" s="3391"/>
      <c r="G56" s="3390" t="s">
        <v>1204</v>
      </c>
    </row>
    <row r="57" ht="15" spans="1:7">
      <c r="A57" s="3299" t="s">
        <v>1205</v>
      </c>
      <c r="B57" s="3416" t="s">
        <v>1179</v>
      </c>
      <c r="C57" s="651">
        <f ca="1">ROUND(C56*(1-F57),0)</f>
        <v>9</v>
      </c>
      <c r="D57" s="682"/>
      <c r="E57" s="682"/>
      <c r="F57" s="3391">
        <f>F31</f>
        <v>0.875</v>
      </c>
      <c r="G57" s="3390" t="s">
        <v>1206</v>
      </c>
    </row>
    <row r="58" ht="18.75" spans="1:7">
      <c r="A58" s="3299" t="s">
        <v>1207</v>
      </c>
      <c r="B58" s="3393" t="s">
        <v>1208</v>
      </c>
      <c r="C58" s="651">
        <f ca="1">C56-C57</f>
        <v>65</v>
      </c>
      <c r="D58" s="682"/>
      <c r="E58" s="682"/>
      <c r="F58" s="3391"/>
      <c r="G58" s="3390" t="s">
        <v>1209</v>
      </c>
    </row>
    <row r="59" ht="15.75" spans="1:7">
      <c r="A59" s="3417" t="s">
        <v>1210</v>
      </c>
      <c r="B59" s="3418" t="s">
        <v>1211</v>
      </c>
      <c r="C59" s="3395">
        <f ca="1">ROUND(C58*(1+F59),0)</f>
        <v>71</v>
      </c>
      <c r="D59" s="3396"/>
      <c r="E59" s="3396"/>
      <c r="F59" s="3397">
        <f>F33</f>
        <v>0.09</v>
      </c>
      <c r="G59" s="3398" t="s">
        <v>1212</v>
      </c>
    </row>
    <row r="60" ht="14.25" spans="1:7">
      <c r="A60" s="3399"/>
      <c r="B60" s="3400"/>
    </row>
    <row r="62" ht="21" customHeight="1" spans="1:7">
      <c r="B62" s="3401" t="s">
        <v>1213</v>
      </c>
      <c r="C62" s="494"/>
    </row>
    <row r="63" ht="21" customHeight="1" spans="1:7">
      <c r="B63" s="1280" t="s">
        <v>1214</v>
      </c>
      <c r="C63" s="3402">
        <f ca="1">1-C64</f>
        <v>0.03</v>
      </c>
    </row>
    <row r="64" ht="21" customHeight="1" spans="1:7">
      <c r="B64" s="1280" t="s">
        <v>1215</v>
      </c>
      <c r="C64" s="3403">
        <f ca="1">ROUND(C58/C32,3)</f>
        <v>0.97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ht="12.75"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285"/>
      <c r="D1" s="3278" t="s">
        <v>1217</v>
      </c>
      <c r="E1" s="415"/>
      <c r="F1" s="415"/>
      <c r="G1" s="603">
        <f>MATCH(B1,'数据-取费表'!A6:A16,0)+5</f>
        <v>7</v>
      </c>
      <c r="H1" s="3286" t="str">
        <f>IF(ISERROR(FIND("住宅",B1)),"非住宅","住宅")</f>
        <v>非住宅</v>
      </c>
    </row>
    <row r="2" s="405" customFormat="1" ht="15.75" spans="1:10">
      <c r="A2" s="417" t="s">
        <v>1112</v>
      </c>
      <c r="B2" s="3287">
        <f ca="1">ROUND(D3/10000,4)</f>
        <v>66.3748</v>
      </c>
      <c r="C2" s="416" t="s">
        <v>1113</v>
      </c>
      <c r="D2" s="3280" t="s">
        <v>124</v>
      </c>
      <c r="E2" s="794">
        <f ca="1">IF(D2="——",0,SUMIF(INDIRECT("'"&amp;G2&amp;"'"&amp;"!A:A"),"承租人权益价值",INDIRECT("'"&amp;G2&amp;"'"&amp;"!c:c")))</f>
        <v>0</v>
      </c>
      <c r="F2" s="720" t="s">
        <v>1113</v>
      </c>
      <c r="G2" s="3282"/>
    </row>
    <row r="3" s="405" customFormat="1" ht="16.5" spans="1:10">
      <c r="A3" s="420" t="s">
        <v>1114</v>
      </c>
      <c r="B3" s="606">
        <f ca="1">ROUND(D3/(IF(B1="",'数据-汇总表'!E3,INDIRECT("'数据-取费表'!k"&amp;$G$1))),0)</f>
        <v>4780</v>
      </c>
      <c r="C3" s="416" t="s">
        <v>1115</v>
      </c>
      <c r="D3" s="416">
        <f ca="1">IF(C1="含税",E2+C33,E2+C32)</f>
        <v>663748</v>
      </c>
      <c r="E3" s="605"/>
      <c r="F3" s="416"/>
      <c r="G3" s="416"/>
    </row>
    <row r="4" s="405" customFormat="1" ht="15.75" spans="1:10">
      <c r="A4" s="3288" t="s">
        <v>999</v>
      </c>
      <c r="B4" s="3289" t="s">
        <v>1000</v>
      </c>
      <c r="C4" s="3290" t="s">
        <v>1116</v>
      </c>
      <c r="D4" s="3291" t="s">
        <v>1117</v>
      </c>
      <c r="E4" s="3292" t="s">
        <v>1118</v>
      </c>
      <c r="F4" s="3292" t="s">
        <v>1119</v>
      </c>
      <c r="G4" s="3293" t="s">
        <v>1120</v>
      </c>
    </row>
    <row r="5" s="406" customFormat="1" ht="15.75" spans="1:10">
      <c r="A5" s="3294" t="s">
        <v>1121</v>
      </c>
      <c r="B5" s="3295" t="s">
        <v>1122</v>
      </c>
      <c r="C5" s="3296">
        <f ca="1">ROUND((C6+C9+C21+C24+C25+C28)/(1-F22-C26-C29),0)</f>
        <v>755293</v>
      </c>
      <c r="D5" s="3297"/>
      <c r="E5" s="3297"/>
      <c r="F5" s="3297"/>
      <c r="G5" s="3298" t="s">
        <v>1123</v>
      </c>
      <c r="J5" s="405"/>
    </row>
    <row r="6" s="599" customFormat="1" ht="15" spans="1:10">
      <c r="A6" s="3299" t="s">
        <v>1124</v>
      </c>
      <c r="B6" s="3300" t="s">
        <v>1125</v>
      </c>
      <c r="C6" s="3301">
        <f>C7+C8</f>
        <v>0</v>
      </c>
      <c r="D6" s="3302"/>
      <c r="E6" s="3302"/>
      <c r="F6" s="3302"/>
      <c r="G6" s="3303"/>
      <c r="J6" s="405"/>
    </row>
    <row r="7" s="407" customFormat="1" ht="15" spans="1:10">
      <c r="A7" s="3304" t="s">
        <v>1126</v>
      </c>
      <c r="B7" s="3305" t="s">
        <v>1127</v>
      </c>
      <c r="C7" s="647"/>
      <c r="D7" s="3306"/>
      <c r="E7" s="649"/>
      <c r="F7" s="649"/>
      <c r="G7" s="482"/>
      <c r="J7" s="405"/>
    </row>
    <row r="8" s="407" customFormat="1" ht="15" spans="1:10">
      <c r="A8" s="3304" t="s">
        <v>1128</v>
      </c>
      <c r="B8" s="3305" t="s">
        <v>1129</v>
      </c>
      <c r="C8" s="641">
        <f>ROUND(C7*F8,0)</f>
        <v>0</v>
      </c>
      <c r="D8" s="471"/>
      <c r="E8" s="649"/>
      <c r="F8" s="644">
        <f>IF(项目基本情况!B8="出让",0,'数据-取费表'!B49+'数据-取费表'!B50)</f>
        <v>0.0305</v>
      </c>
      <c r="G8" s="482"/>
      <c r="J8" s="405"/>
    </row>
    <row r="9" s="599" customFormat="1" ht="15" spans="1:10">
      <c r="A9" s="3307" t="s">
        <v>1130</v>
      </c>
      <c r="B9" s="3308" t="s">
        <v>1131</v>
      </c>
      <c r="C9" s="651">
        <f ca="1">C10+C11+C12+C13+C19+C20</f>
        <v>594641</v>
      </c>
      <c r="D9" s="3309"/>
      <c r="E9" s="3310"/>
      <c r="F9" s="654"/>
      <c r="G9" s="3311"/>
      <c r="J9" s="405"/>
    </row>
    <row r="10" s="407" customFormat="1" ht="15" spans="1:10">
      <c r="A10" s="3312" t="s">
        <v>1126</v>
      </c>
      <c r="B10" s="3313" t="s">
        <v>1132</v>
      </c>
      <c r="C10" s="641">
        <f ca="1">ROUND(IF(B1="",SUMPRODUCT('数据-取费表'!K6:K14,'数据-取费表'!L6:L14),INDIRECT("'数据-取费表'!l"&amp;$G$1)*INDIRECT("'数据-取费表'!k"&amp;$G$1)+'数据-取费表'!L14*INDIRECT("'数据-取费表'!S"&amp;$G$1)),0)</f>
        <v>499932</v>
      </c>
      <c r="D10" s="3306"/>
      <c r="E10" s="471"/>
      <c r="F10" s="3314">
        <f ca="1">IF('数据-取费表'!B24=0,1,IF(B1="",'数据-取费表'!N16,INDIRECT("'数据-取费表'!n"&amp;$G$1)))</f>
        <v>1</v>
      </c>
      <c r="G10" s="482" t="s">
        <v>1133</v>
      </c>
      <c r="J10" s="405"/>
    </row>
    <row r="11" s="407" customFormat="1" ht="15" spans="1:10">
      <c r="A11" s="3312" t="s">
        <v>1128</v>
      </c>
      <c r="B11" s="3313" t="s">
        <v>1134</v>
      </c>
      <c r="C11" s="641">
        <f ca="1">ROUND(C10*F11,0)</f>
        <v>29996</v>
      </c>
      <c r="D11" s="471"/>
      <c r="E11" s="471"/>
      <c r="F11" s="3315">
        <f>'数据-取费表'!B33</f>
        <v>0.06</v>
      </c>
      <c r="G11" s="482" t="s">
        <v>1154</v>
      </c>
      <c r="J11" s="405"/>
    </row>
    <row r="12" s="407" customFormat="1" ht="15" spans="1:10">
      <c r="A12" s="3312" t="s">
        <v>1136</v>
      </c>
      <c r="B12" s="3313"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5">
        <f>'数据-取费表'!B34</f>
        <v>0</v>
      </c>
      <c r="G12" s="3316" t="s">
        <v>1218</v>
      </c>
      <c r="J12" s="405"/>
    </row>
    <row r="13" s="407" customFormat="1" ht="15" spans="1:10">
      <c r="A13" s="3312" t="s">
        <v>1139</v>
      </c>
      <c r="B13" s="3313" t="s">
        <v>1140</v>
      </c>
      <c r="C13" s="641">
        <f ca="1">C14+C17+C18</f>
        <v>59714</v>
      </c>
      <c r="D13" s="471"/>
      <c r="E13" s="649"/>
      <c r="F13" s="644"/>
      <c r="G13" s="482"/>
      <c r="J13" s="405"/>
    </row>
    <row r="14" s="408" customFormat="1" ht="15" spans="1:10">
      <c r="A14" s="662" t="s">
        <v>1141</v>
      </c>
      <c r="B14" s="3317" t="s">
        <v>1142</v>
      </c>
      <c r="C14" s="641">
        <f ca="1">IF(G14="已包含在土地购买价格中","0",IF(B1="",'数据-取费表'!B29,IF(G15="全部缴纳",C15+C16,H15)))</f>
        <v>0</v>
      </c>
      <c r="D14" s="3318"/>
      <c r="E14" s="471"/>
      <c r="F14" s="644"/>
      <c r="G14" s="661"/>
      <c r="J14" s="405"/>
    </row>
    <row r="15" s="407" customFormat="1" ht="15" spans="1:10">
      <c r="A15" s="3319" t="s">
        <v>1143</v>
      </c>
      <c r="B15" s="3320" t="s">
        <v>1144</v>
      </c>
      <c r="C15" s="664">
        <f ca="1">ROUND(D15*E15,0)</f>
        <v>0</v>
      </c>
      <c r="D15" s="664">
        <f ca="1">IF(B1="",'数据-汇总表'!E5,IF(INDIRECT("'数据-取费表'!c"&amp;$G$1)="住宅",INDIRECT("'数据-取费表'!k"&amp;$G$1),0))</f>
        <v>0</v>
      </c>
      <c r="E15" s="664">
        <f>'数据-取费表'!B27</f>
        <v>160</v>
      </c>
      <c r="F15" s="644"/>
      <c r="G15" s="666"/>
      <c r="H15" s="667"/>
      <c r="I15" s="668" t="s">
        <v>1145</v>
      </c>
      <c r="J15" s="405"/>
    </row>
    <row r="16" s="407" customFormat="1" ht="15" spans="1:10">
      <c r="A16" s="3319" t="s">
        <v>1146</v>
      </c>
      <c r="B16" s="3320" t="s">
        <v>1147</v>
      </c>
      <c r="C16" s="664">
        <f ca="1">ROUND(D16*E16,0)</f>
        <v>27774</v>
      </c>
      <c r="D16" s="664">
        <f ca="1">IF(B1="",'数据-汇总表'!E6,IF(INDIRECT("'数据-取费表'!c"&amp;$G$1)="住宅",INDIRECT("'数据-取费表'!s"&amp;$G$1),INDIRECT("'数据-取费表'!k"&amp;$G$1)+INDIRECT("'数据-取费表'!s"&amp;$G$1)))</f>
        <v>138.87</v>
      </c>
      <c r="E16" s="664">
        <f>'数据-取费表'!B28</f>
        <v>200</v>
      </c>
      <c r="F16" s="644"/>
      <c r="G16" s="444"/>
      <c r="J16" s="405"/>
    </row>
    <row r="17" s="407" customFormat="1" ht="15" spans="1:10">
      <c r="A17" s="662" t="s">
        <v>1148</v>
      </c>
      <c r="B17" s="3321" t="s">
        <v>1149</v>
      </c>
      <c r="C17" s="641">
        <f ca="1">IF(G17="已包含在土地取得成本中","0",ROUND(D17*E17,0))</f>
        <v>18053</v>
      </c>
      <c r="D17" s="623">
        <f ca="1">D15+D16</f>
        <v>138.87</v>
      </c>
      <c r="E17" s="623">
        <f>'数据-取费表'!B31</f>
        <v>130</v>
      </c>
      <c r="F17" s="3322"/>
      <c r="G17" s="661"/>
      <c r="J17" s="405"/>
    </row>
    <row r="18" s="407" customFormat="1" ht="15" spans="1:10">
      <c r="A18" s="3323" t="s">
        <v>1150</v>
      </c>
      <c r="B18" s="3321" t="s">
        <v>1151</v>
      </c>
      <c r="C18" s="641">
        <f ca="1">ROUND(E18*D18*F10,0)</f>
        <v>41661</v>
      </c>
      <c r="D18" s="641">
        <f ca="1">D17</f>
        <v>138.87</v>
      </c>
      <c r="E18" s="641">
        <f>'数据-取费表'!B35</f>
        <v>300</v>
      </c>
      <c r="F18" s="3315"/>
      <c r="G18" s="482" t="str">
        <f ca="1">IF(F10=100%,"","按工程进度计取")</f>
        <v/>
      </c>
      <c r="J18" s="405"/>
    </row>
    <row r="19" s="407" customFormat="1" ht="15" spans="1:10">
      <c r="A19" s="3312" t="s">
        <v>1152</v>
      </c>
      <c r="B19" s="3313" t="s">
        <v>1153</v>
      </c>
      <c r="C19" s="641">
        <f ca="1">ROUND(C10*F19,0)</f>
        <v>4999</v>
      </c>
      <c r="D19" s="471"/>
      <c r="E19" s="471"/>
      <c r="F19" s="3315">
        <f>'数据-取费表'!B36</f>
        <v>0.01</v>
      </c>
      <c r="G19" s="482" t="s">
        <v>1154</v>
      </c>
      <c r="J19" s="405"/>
    </row>
    <row r="20" s="407" customFormat="1" ht="15" spans="1:10">
      <c r="A20" s="3312" t="s">
        <v>1155</v>
      </c>
      <c r="B20" s="3313" t="s">
        <v>1156</v>
      </c>
      <c r="C20" s="641">
        <f ca="1">ROUND(C10*F20,0)</f>
        <v>0</v>
      </c>
      <c r="D20" s="3324"/>
      <c r="E20" s="467"/>
      <c r="F20" s="3315">
        <f>'数据-取费表'!B37</f>
        <v>0</v>
      </c>
      <c r="G20" s="482" t="s">
        <v>1154</v>
      </c>
      <c r="J20" s="405"/>
    </row>
    <row r="21" s="599" customFormat="1" ht="15" spans="1:10">
      <c r="A21" s="3299" t="s">
        <v>1157</v>
      </c>
      <c r="B21" s="3300" t="s">
        <v>1158</v>
      </c>
      <c r="C21" s="651">
        <f ca="1">ROUND((C6+C9)*F21,0)</f>
        <v>11893</v>
      </c>
      <c r="D21" s="1972"/>
      <c r="E21" s="1972"/>
      <c r="F21" s="3325">
        <f>'数据-取费表'!B38</f>
        <v>0.02</v>
      </c>
      <c r="G21" s="3326" t="s">
        <v>1159</v>
      </c>
      <c r="J21" s="405"/>
    </row>
    <row r="22" s="599" customFormat="1" ht="15" spans="1:10">
      <c r="A22" s="3299" t="s">
        <v>1160</v>
      </c>
      <c r="B22" s="3300" t="s">
        <v>1161</v>
      </c>
      <c r="C22" s="3327" t="str">
        <f>F22&amp;"V"</f>
        <v>0.02V</v>
      </c>
      <c r="D22" s="682"/>
      <c r="E22" s="1972"/>
      <c r="F22" s="3325">
        <f>'数据-取费表'!B39</f>
        <v>0.02</v>
      </c>
      <c r="G22" s="3328" t="s">
        <v>1162</v>
      </c>
      <c r="J22" s="405"/>
    </row>
    <row r="23" s="599" customFormat="1" ht="15" spans="1:10">
      <c r="A23" s="3299" t="s">
        <v>1163</v>
      </c>
      <c r="B23" s="3308" t="s">
        <v>1164</v>
      </c>
      <c r="C23" s="680" t="str">
        <f ca="1">SUM(C24:C25)&amp;"+"&amp;C26&amp;"V"</f>
        <v>9098+0.0003V</v>
      </c>
      <c r="D23" s="681"/>
      <c r="E23" s="682"/>
      <c r="F23" s="3325">
        <f ca="1">'数据-取费表'!B41</f>
        <v>0.03</v>
      </c>
      <c r="G23" s="3326" t="str">
        <f>IF('数据-取费表'!B22&lt;=1,"单利计息","复利计息")</f>
        <v>单利计息</v>
      </c>
      <c r="J23" s="405"/>
    </row>
    <row r="24" s="407" customFormat="1" ht="15" spans="1:10">
      <c r="A24" s="626" t="s">
        <v>1126</v>
      </c>
      <c r="B24" s="3321" t="s">
        <v>1165</v>
      </c>
      <c r="C24" s="3329">
        <f ca="1">ROUND(IF('数据-取费表'!B22&lt;=1,C6*F23*'数据-取费表'!B23,C6*(POWER((1+F23),'数据-取费表'!B23)-1)),0)</f>
        <v>0</v>
      </c>
      <c r="D24" s="460"/>
      <c r="E24" s="460"/>
      <c r="F24" s="3330"/>
      <c r="G24" s="3316" t="s">
        <v>1166</v>
      </c>
      <c r="J24" s="405"/>
    </row>
    <row r="25" s="407" customFormat="1" ht="15" spans="1:10">
      <c r="A25" s="626" t="s">
        <v>1128</v>
      </c>
      <c r="B25" s="3321" t="s">
        <v>1167</v>
      </c>
      <c r="C25" s="3329">
        <f ca="1">ROUND(IF('数据-取费表'!B22&lt;=1,(C9+C21)*F23*'数据-取费表'!B23/2,(C9+C21)*(POWER((1+F23),'数据-取费表'!B23/2)-1)),0)</f>
        <v>9098</v>
      </c>
      <c r="D25" s="460"/>
      <c r="E25" s="460"/>
      <c r="F25" s="3330"/>
      <c r="G25" s="3316" t="s">
        <v>1168</v>
      </c>
      <c r="J25" s="405"/>
    </row>
    <row r="26" s="407" customFormat="1" ht="15" spans="1:10">
      <c r="A26" s="626" t="s">
        <v>1169</v>
      </c>
      <c r="B26" s="3321" t="s">
        <v>1170</v>
      </c>
      <c r="C26" s="3331">
        <f ca="1">ROUND(IF('数据-取费表'!B22&lt;=1,F22*F23*'数据-取费表'!B23/2,F22*(POWER((1+F23),'数据-取费表'!B23/2)-1)),4)</f>
        <v>0.0003</v>
      </c>
      <c r="D26" s="460"/>
      <c r="E26" s="463"/>
      <c r="F26" s="3330"/>
      <c r="G26" s="3332" t="s">
        <v>1168</v>
      </c>
      <c r="J26" s="405"/>
    </row>
    <row r="27" s="599" customFormat="1" ht="15" spans="1:10">
      <c r="A27" s="3299" t="s">
        <v>1171</v>
      </c>
      <c r="B27" s="3308" t="s">
        <v>1172</v>
      </c>
      <c r="C27" s="685" t="str">
        <f ca="1">C28&amp;"+"&amp;C29&amp;"V"</f>
        <v>121307+0.004V</v>
      </c>
      <c r="D27" s="681"/>
      <c r="E27" s="682"/>
      <c r="F27" s="3333">
        <f ca="1">IF(B1="",'数据-取费表'!Q16,INDIRECT("'数据-取费表'!q"&amp;$G$1))</f>
        <v>0.2</v>
      </c>
      <c r="G27" s="3326" t="s">
        <v>1173</v>
      </c>
      <c r="J27" s="405"/>
    </row>
    <row r="28" s="407" customFormat="1" ht="15" spans="1:10">
      <c r="A28" s="3312" t="s">
        <v>1126</v>
      </c>
      <c r="B28" s="3321" t="s">
        <v>1174</v>
      </c>
      <c r="C28" s="791">
        <f ca="1">ROUND(C6*F27*'数据-取费表'!B23/'数据-取费表'!B22+(C9+C21)*F27,0)</f>
        <v>121307</v>
      </c>
      <c r="D28" s="453"/>
      <c r="E28" s="454"/>
      <c r="F28" s="3322"/>
      <c r="G28" s="469" t="str">
        <f ca="1">IF(F10=100%,"","其中：土地取得成本产生的利润按已建工期计算")</f>
        <v/>
      </c>
      <c r="J28" s="405"/>
    </row>
    <row r="29" s="407" customFormat="1" ht="15" spans="1:10">
      <c r="A29" s="3312" t="s">
        <v>1128</v>
      </c>
      <c r="B29" s="3321" t="s">
        <v>1175</v>
      </c>
      <c r="C29" s="3331">
        <f ca="1">ROUND(F22*F27,4)</f>
        <v>0.004</v>
      </c>
      <c r="D29" s="453"/>
      <c r="E29" s="454"/>
      <c r="F29" s="3322"/>
      <c r="G29" s="469"/>
      <c r="J29" s="405"/>
    </row>
    <row r="30" s="599" customFormat="1" ht="15" spans="1:10">
      <c r="A30" s="3299" t="s">
        <v>1176</v>
      </c>
      <c r="B30" s="3300" t="s">
        <v>1177</v>
      </c>
      <c r="C30" s="651">
        <v>0</v>
      </c>
      <c r="D30" s="682"/>
      <c r="E30" s="3334"/>
      <c r="F30" s="3325"/>
      <c r="G30" s="3335" t="s">
        <v>1178</v>
      </c>
      <c r="J30" s="405"/>
    </row>
    <row r="31" s="407" customFormat="1" ht="15.75" spans="1:10">
      <c r="A31" s="3336">
        <v>2</v>
      </c>
      <c r="B31" s="3337" t="s">
        <v>1179</v>
      </c>
      <c r="C31" s="618">
        <f ca="1">C57</f>
        <v>91545</v>
      </c>
      <c r="D31" s="688"/>
      <c r="E31" s="688"/>
      <c r="F31" s="3338">
        <f>IF('数据-取费表'!B24=0,'数据-取费表'!N16,1)</f>
        <v>0.875</v>
      </c>
      <c r="G31" s="690" t="s">
        <v>1219</v>
      </c>
      <c r="J31" s="405"/>
    </row>
    <row r="32" s="407" customFormat="1" ht="15.75" spans="1:10">
      <c r="A32" s="687" t="s">
        <v>1181</v>
      </c>
      <c r="B32" s="617" t="s">
        <v>1182</v>
      </c>
      <c r="C32" s="618">
        <f ca="1">C5-C31</f>
        <v>663748</v>
      </c>
      <c r="D32" s="688"/>
      <c r="E32" s="688"/>
      <c r="F32" s="689"/>
      <c r="G32" s="3339" t="s">
        <v>1183</v>
      </c>
      <c r="J32" s="405"/>
    </row>
    <row r="33" s="407" customFormat="1" ht="16.5" spans="1:10">
      <c r="A33" s="3340">
        <v>4</v>
      </c>
      <c r="B33" s="3341" t="s">
        <v>1184</v>
      </c>
      <c r="C33" s="3342">
        <f ca="1">ROUND(C32*(1+F33),0)</f>
        <v>723485</v>
      </c>
      <c r="D33" s="3343"/>
      <c r="E33" s="3343"/>
      <c r="F33" s="3344">
        <f>IF(G33="其他类型公式—成本价值×（1+9%）",9%,3%)</f>
        <v>0.09</v>
      </c>
      <c r="G33" s="3345" t="s">
        <v>1185</v>
      </c>
      <c r="J33" s="405"/>
    </row>
    <row r="34" s="408" customFormat="1" ht="15" spans="1:10">
      <c r="J34" s="405"/>
    </row>
    <row r="35" s="407" customFormat="1"/>
    <row r="36" s="407" customFormat="1"/>
    <row r="37" s="407" customFormat="1"/>
    <row r="38" ht="15.75" spans="1:10">
      <c r="A38" s="3346" t="s">
        <v>1186</v>
      </c>
      <c r="B38" s="3347"/>
      <c r="C38" s="3347"/>
      <c r="D38" s="3347"/>
      <c r="E38" s="3347"/>
      <c r="F38" s="3347"/>
      <c r="G38" s="3348"/>
    </row>
    <row r="39" ht="14.25" spans="1:10">
      <c r="A39" s="3349" t="s">
        <v>999</v>
      </c>
      <c r="B39" s="3350" t="s">
        <v>1000</v>
      </c>
      <c r="C39" s="3351" t="s">
        <v>1116</v>
      </c>
      <c r="D39" s="3352" t="s">
        <v>1187</v>
      </c>
      <c r="E39" s="3353" t="s">
        <v>1188</v>
      </c>
      <c r="F39" s="3353" t="s">
        <v>1189</v>
      </c>
      <c r="G39" s="3354" t="s">
        <v>1120</v>
      </c>
    </row>
    <row r="40" ht="15" spans="1:10">
      <c r="A40" s="773" t="s">
        <v>1124</v>
      </c>
      <c r="B40" s="3355" t="s">
        <v>1190</v>
      </c>
      <c r="C40" s="3356">
        <f ca="1">SUM(C41:C46)</f>
        <v>576588</v>
      </c>
      <c r="D40" s="3357"/>
      <c r="E40" s="3357"/>
      <c r="F40" s="3357"/>
      <c r="G40" s="3358"/>
    </row>
    <row r="41" ht="15.75" spans="1:10">
      <c r="A41" s="3359" t="s">
        <v>1126</v>
      </c>
      <c r="B41" s="3360" t="str">
        <f t="shared" ref="B41:C43" si="0">B10</f>
        <v>  建安费用</v>
      </c>
      <c r="C41" s="776">
        <f ca="1" t="shared" si="0"/>
        <v>499932</v>
      </c>
      <c r="D41" s="3361"/>
      <c r="E41" s="3361"/>
      <c r="F41" s="785"/>
      <c r="G41" s="3362"/>
    </row>
    <row r="42" ht="15.75" spans="1:10">
      <c r="A42" s="3359" t="s">
        <v>1128</v>
      </c>
      <c r="B42" s="3360" t="str">
        <f t="shared" si="0"/>
        <v>  前期费用</v>
      </c>
      <c r="C42" s="776">
        <f ca="1" t="shared" si="0"/>
        <v>29996</v>
      </c>
      <c r="D42" s="3361"/>
      <c r="E42" s="3361"/>
      <c r="F42" s="785"/>
      <c r="G42" s="3362"/>
    </row>
    <row r="43" ht="15.75" spans="1:10">
      <c r="A43" s="3359" t="s">
        <v>1136</v>
      </c>
      <c r="B43" s="3363" t="str">
        <f t="shared" si="0"/>
        <v>  公共配套设施费用</v>
      </c>
      <c r="C43" s="776">
        <f ca="1" t="shared" si="0"/>
        <v>0</v>
      </c>
      <c r="D43" s="3361"/>
      <c r="E43" s="3361"/>
      <c r="F43" s="785"/>
      <c r="G43" s="3362"/>
    </row>
    <row r="44" ht="15.75" spans="1:10">
      <c r="A44" s="3359" t="s">
        <v>1139</v>
      </c>
      <c r="B44" s="3363" t="str">
        <f>B18</f>
        <v>红线内市政费用</v>
      </c>
      <c r="C44" s="776">
        <f ca="1">C18</f>
        <v>41661</v>
      </c>
      <c r="D44" s="3361"/>
      <c r="E44" s="3361"/>
      <c r="F44" s="785"/>
      <c r="G44" s="3362"/>
    </row>
    <row r="45" ht="15.75" spans="1:10">
      <c r="A45" s="3364" t="s">
        <v>1191</v>
      </c>
      <c r="B45" s="3365" t="str">
        <f>B19</f>
        <v>  其他工程费</v>
      </c>
      <c r="C45" s="791">
        <f ca="1">C19</f>
        <v>4999</v>
      </c>
      <c r="D45" s="3366"/>
      <c r="E45" s="3366"/>
      <c r="F45" s="794"/>
      <c r="G45" s="3367"/>
    </row>
    <row r="46" ht="15.75" spans="1:10">
      <c r="A46" s="3364" t="s">
        <v>1192</v>
      </c>
      <c r="B46" s="3365" t="s">
        <v>762</v>
      </c>
      <c r="C46" s="791">
        <f ca="1">C20</f>
        <v>0</v>
      </c>
      <c r="D46" s="3366"/>
      <c r="E46" s="3366"/>
      <c r="F46" s="794"/>
      <c r="G46" s="3367"/>
    </row>
    <row r="47" ht="15" spans="1:10">
      <c r="A47" s="3368" t="s">
        <v>1193</v>
      </c>
      <c r="B47" s="3368" t="s">
        <v>1158</v>
      </c>
      <c r="C47" s="3369">
        <f ca="1">ROUND(C40*F47,0)</f>
        <v>11532</v>
      </c>
      <c r="D47" s="3370"/>
      <c r="E47" s="3370"/>
      <c r="F47" s="3371">
        <f>F21</f>
        <v>0.02</v>
      </c>
      <c r="G47" s="3372" t="s">
        <v>1194</v>
      </c>
    </row>
    <row r="48" ht="15" spans="1:10">
      <c r="A48" s="3368" t="s">
        <v>1157</v>
      </c>
      <c r="B48" s="3368" t="s">
        <v>1161</v>
      </c>
      <c r="C48" s="3373" t="str">
        <f>F48&amp;"V建1"</f>
        <v>0.02V建1</v>
      </c>
      <c r="D48" s="3370"/>
      <c r="E48" s="3370"/>
      <c r="F48" s="3371">
        <f>F22</f>
        <v>0.02</v>
      </c>
      <c r="G48" s="3374" t="s">
        <v>1195</v>
      </c>
    </row>
    <row r="49" ht="15" spans="1:7">
      <c r="A49" s="3368" t="s">
        <v>1160</v>
      </c>
      <c r="B49" s="3375" t="s">
        <v>1164</v>
      </c>
      <c r="C49" s="651" t="str">
        <f ca="1">C50&amp;"+"&amp;C51&amp;"V建1"</f>
        <v>8822+0.0003V建1</v>
      </c>
      <c r="D49" s="682"/>
      <c r="E49" s="682"/>
      <c r="F49" s="3376">
        <f ca="1">F23</f>
        <v>0.03</v>
      </c>
      <c r="G49" s="3377" t="str">
        <f>IF('数据-取费表'!B22&lt;=1,"单利计息","复利计息")</f>
        <v>单利计息</v>
      </c>
    </row>
    <row r="50" spans="1:7">
      <c r="A50" s="3359" t="s">
        <v>1126</v>
      </c>
      <c r="B50" s="3378" t="s">
        <v>1196</v>
      </c>
      <c r="C50" s="803">
        <f ca="1">ROUND(IF('数据-取费表'!B22&lt;=1,(C40+C47)*F49*'数据-取费表'!B22/2,(C40+C47)*(POWER((1+F49),'数据-取费表'!B22/2)-1)),0)</f>
        <v>8822</v>
      </c>
      <c r="D50" s="804"/>
      <c r="E50" s="804"/>
      <c r="F50" s="633"/>
      <c r="G50" s="484" t="str">
        <f ca="1">IF(F10=100%,"建设期均匀投入","已建工期均匀投入")</f>
        <v>建设期均匀投入</v>
      </c>
    </row>
    <row r="51" spans="1:7">
      <c r="A51" s="3359" t="s">
        <v>1128</v>
      </c>
      <c r="B51" s="3363" t="s">
        <v>1197</v>
      </c>
      <c r="C51" s="807">
        <f ca="1">ROUND(IF('数据-取费表'!B22&lt;=1,F48*F23*'数据-取费表'!B22/2,F48*(POWER((1+F23),'数据-取费表'!B22/2)-1)),4)</f>
        <v>0.0003</v>
      </c>
      <c r="D51" s="804"/>
      <c r="E51" s="804"/>
      <c r="F51" s="633"/>
      <c r="G51" s="486"/>
    </row>
    <row r="52" ht="15" spans="1:7">
      <c r="A52" s="3368" t="s">
        <v>1163</v>
      </c>
      <c r="B52" s="3346" t="s">
        <v>1172</v>
      </c>
      <c r="C52" s="3379" t="str">
        <f ca="1">C53&amp;"+"&amp;C54&amp;"V建1"</f>
        <v>117624+0.004V建1</v>
      </c>
      <c r="D52" s="3380"/>
      <c r="E52" s="3370"/>
      <c r="F52" s="3381">
        <f ca="1">F27</f>
        <v>0.2</v>
      </c>
      <c r="G52" s="3382" t="s">
        <v>1198</v>
      </c>
    </row>
    <row r="53" spans="1:7">
      <c r="A53" s="3359" t="s">
        <v>1126</v>
      </c>
      <c r="B53" s="3378" t="s">
        <v>1199</v>
      </c>
      <c r="C53" s="776">
        <f ca="1">ROUND((C40+C47)*F27,0)</f>
        <v>117624</v>
      </c>
      <c r="D53" s="3383"/>
      <c r="E53" s="3384"/>
      <c r="F53" s="3385"/>
      <c r="G53" s="3386"/>
    </row>
    <row r="54" spans="1:7">
      <c r="A54" s="3359" t="s">
        <v>1128</v>
      </c>
      <c r="B54" s="3378" t="s">
        <v>1200</v>
      </c>
      <c r="C54" s="3387">
        <f ca="1">ROUND(F48*F27,4)</f>
        <v>0.004</v>
      </c>
      <c r="D54" s="3383"/>
      <c r="E54" s="3384"/>
      <c r="F54" s="3385"/>
      <c r="G54" s="3386"/>
    </row>
    <row r="55" ht="15" spans="1:7">
      <c r="A55" s="3388" t="s">
        <v>1171</v>
      </c>
      <c r="B55" s="3299" t="s">
        <v>1177</v>
      </c>
      <c r="C55" s="3389">
        <v>0</v>
      </c>
      <c r="D55" s="681"/>
      <c r="E55" s="682"/>
      <c r="F55" s="3376"/>
      <c r="G55" s="3390" t="s">
        <v>1201</v>
      </c>
    </row>
    <row r="56" ht="18.75" spans="1:7">
      <c r="A56" s="3388" t="s">
        <v>1202</v>
      </c>
      <c r="B56" s="3388" t="s">
        <v>1203</v>
      </c>
      <c r="C56" s="651">
        <f ca="1">ROUND((C40+C47+C50+C53)/(1-F48-C51-C54),0)</f>
        <v>732362</v>
      </c>
      <c r="D56" s="682"/>
      <c r="E56" s="682"/>
      <c r="F56" s="3391"/>
      <c r="G56" s="3390" t="s">
        <v>1204</v>
      </c>
    </row>
    <row r="57" ht="15" spans="1:7">
      <c r="A57" s="3388" t="s">
        <v>1205</v>
      </c>
      <c r="B57" s="3392" t="s">
        <v>1179</v>
      </c>
      <c r="C57" s="651">
        <f ca="1">ROUND(C56*(1-F57),0)</f>
        <v>91545</v>
      </c>
      <c r="D57" s="682"/>
      <c r="E57" s="682"/>
      <c r="F57" s="3391">
        <f>F31</f>
        <v>0.875</v>
      </c>
      <c r="G57" s="3390" t="s">
        <v>1206</v>
      </c>
    </row>
    <row r="58" ht="18.75" spans="1:7">
      <c r="A58" s="3388" t="s">
        <v>1207</v>
      </c>
      <c r="B58" s="3388" t="s">
        <v>1208</v>
      </c>
      <c r="C58" s="651">
        <f ca="1">C56-C57</f>
        <v>640817</v>
      </c>
      <c r="D58" s="682"/>
      <c r="E58" s="682"/>
      <c r="F58" s="3391"/>
      <c r="G58" s="3390" t="s">
        <v>1209</v>
      </c>
    </row>
    <row r="59" ht="15.75" spans="1:7">
      <c r="A59" s="3393" t="s">
        <v>1210</v>
      </c>
      <c r="B59" s="3394" t="s">
        <v>1211</v>
      </c>
      <c r="C59" s="3395">
        <f ca="1">ROUND(C58*(1+F59),0)</f>
        <v>698491</v>
      </c>
      <c r="D59" s="3396"/>
      <c r="E59" s="3396"/>
      <c r="F59" s="3397">
        <f>F33</f>
        <v>0.09</v>
      </c>
      <c r="G59" s="3398" t="s">
        <v>1212</v>
      </c>
    </row>
    <row r="60" ht="14.25" spans="1:7">
      <c r="A60" s="3399"/>
      <c r="B60" s="3400"/>
    </row>
    <row r="62" ht="21" customHeight="1" spans="1:7">
      <c r="B62" s="3401" t="s">
        <v>1213</v>
      </c>
      <c r="C62" s="494"/>
    </row>
    <row r="63" ht="21" customHeight="1" spans="1:7">
      <c r="B63" s="1280" t="s">
        <v>1214</v>
      </c>
      <c r="C63" s="3402">
        <f ca="1">1-C64</f>
        <v>0.035</v>
      </c>
    </row>
    <row r="64" ht="21" customHeight="1" spans="1:7">
      <c r="B64" s="1280" t="s">
        <v>1215</v>
      </c>
      <c r="C64" s="3403">
        <f ca="1">ROUND(C58/C32,3)</f>
        <v>0.965</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277"/>
      <c r="C1" s="3278" t="s">
        <v>1217</v>
      </c>
      <c r="D1" s="415"/>
      <c r="E1" s="415"/>
      <c r="F1" s="415"/>
      <c r="G1" s="603">
        <f>MATCH(B1,'数据-取费表'!A6:A16,0)+5</f>
        <v>7</v>
      </c>
      <c r="H1" s="2164" t="str">
        <f>IF(ISERROR(FIND("住宅",B1)),"非住宅","住宅")</f>
        <v>非住宅</v>
      </c>
    </row>
    <row r="2" s="405" customFormat="1" ht="18" customHeight="1" spans="1:8">
      <c r="A2" s="417" t="s">
        <v>1112</v>
      </c>
      <c r="B2" s="3279">
        <f ca="1">ROUND(IF(D2="——",C52/10000,C52/10000-E2),4)</f>
        <v>2723.7925</v>
      </c>
      <c r="C2" s="416" t="s">
        <v>1113</v>
      </c>
      <c r="D2" s="3280" t="s">
        <v>124</v>
      </c>
      <c r="E2" s="3281" t="e">
        <f ca="1">SUMIF(INDIRECT("'"&amp;G2&amp;"'"&amp;"!A:A"),"承租人权益价值",INDIRECT("'"&amp;G2&amp;"'"&amp;"!c:c"))</f>
        <v>#REF!</v>
      </c>
      <c r="F2" s="720" t="s">
        <v>1113</v>
      </c>
      <c r="G2" s="3282"/>
    </row>
    <row r="3" s="405" customFormat="1" ht="18" customHeight="1" spans="1:8">
      <c r="A3" s="420" t="s">
        <v>1114</v>
      </c>
      <c r="B3" s="421">
        <f ca="1">ROUND(B2*10000/(IF(B1="",'数据-汇总表'!E3,INDIRECT("'数据-取费表'!k"&amp;$G$1))),0)</f>
        <v>196140</v>
      </c>
      <c r="C3" s="416" t="s">
        <v>1115</v>
      </c>
      <c r="D3" s="416"/>
      <c r="E3" s="416"/>
      <c r="F3" s="416"/>
      <c r="G3" s="416"/>
    </row>
    <row r="4" s="406" customFormat="1" ht="15.75" spans="1:8">
      <c r="A4" s="422" t="s">
        <v>1220</v>
      </c>
      <c r="B4" s="423"/>
      <c r="C4" s="423"/>
      <c r="D4" s="423"/>
      <c r="E4" s="423"/>
      <c r="F4" s="423"/>
      <c r="G4" s="424"/>
    </row>
    <row r="5" s="407" customFormat="1" ht="13.5" customHeight="1" spans="1:8">
      <c r="A5" s="425" t="s">
        <v>1221</v>
      </c>
      <c r="B5" s="426" t="s">
        <v>1222</v>
      </c>
      <c r="C5" s="427">
        <f ca="1">C6+C7+C8</f>
        <v>20658384</v>
      </c>
      <c r="D5" s="427" t="s">
        <v>1223</v>
      </c>
      <c r="E5" s="428" t="s">
        <v>1224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1225</v>
      </c>
      <c r="C8" s="436">
        <f ca="1">IF(G8="已包含在土地购买价格中",0,C9+C10)</f>
        <v>27774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1146</v>
      </c>
      <c r="B10" s="441" t="s">
        <v>1147</v>
      </c>
      <c r="C10" s="442">
        <f ca="1">ROUND(D10*E10,0)</f>
        <v>27774</v>
      </c>
      <c r="D10" s="443">
        <f ca="1">IF(B1="",'数据-汇总表'!E6,IF(INDIRECT("'数据-取费表'!c"&amp;$G$1)="住宅",INDIRECT("'数据-取费表'!s"&amp;$G$1),INDIRECT("'数据-取费表'!k"&amp;$G$1)+INDIRECT("'数据-取费表'!s"&amp;$G$1)))</f>
        <v>138.87</v>
      </c>
      <c r="E10" s="442">
        <f>'数据-取费表'!B28</f>
        <v>200</v>
      </c>
      <c r="F10" s="437"/>
      <c r="G10" s="444"/>
    </row>
    <row r="11" s="407" customFormat="1" ht="13.5" customHeight="1" spans="1:8">
      <c r="A11" s="445" t="s">
        <v>1226</v>
      </c>
      <c r="B11" s="431" t="s">
        <v>1227</v>
      </c>
      <c r="C11" s="427"/>
      <c r="D11" s="434"/>
      <c r="E11" s="434"/>
      <c r="F11" s="434"/>
      <c r="G11" s="435"/>
    </row>
    <row r="12" s="407" customFormat="1" ht="13.5" customHeight="1" spans="1:8">
      <c r="A12" s="445" t="s">
        <v>1228</v>
      </c>
      <c r="B12" s="431" t="s">
        <v>1046</v>
      </c>
      <c r="C12" s="427">
        <v>0</v>
      </c>
      <c r="D12" s="434"/>
      <c r="E12" s="446"/>
      <c r="F12" s="437">
        <v>0.0305</v>
      </c>
      <c r="G12" s="435"/>
    </row>
    <row r="13" s="407" customFormat="1" ht="13.5" customHeight="1" spans="1:8">
      <c r="A13" s="445" t="s">
        <v>1229</v>
      </c>
      <c r="B13" s="431" t="s">
        <v>1230</v>
      </c>
      <c r="C13" s="427"/>
      <c r="D13" s="434"/>
      <c r="E13" s="434"/>
      <c r="F13" s="434"/>
      <c r="G13" s="435"/>
    </row>
    <row r="14" s="407" customFormat="1" ht="13.5" customHeight="1" spans="1:8">
      <c r="A14" s="445" t="s">
        <v>1231</v>
      </c>
      <c r="B14" s="431" t="s">
        <v>1225</v>
      </c>
      <c r="C14" s="427"/>
      <c r="D14" s="434"/>
      <c r="E14" s="434"/>
      <c r="F14" s="434"/>
      <c r="G14" s="435" t="s">
        <v>1232</v>
      </c>
    </row>
    <row r="15" s="407" customFormat="1" ht="13.5" customHeight="1" spans="1:8">
      <c r="A15" s="445" t="s">
        <v>1233</v>
      </c>
      <c r="B15" s="431" t="s">
        <v>1234</v>
      </c>
      <c r="C15" s="436"/>
      <c r="D15" s="434"/>
      <c r="E15" s="434"/>
      <c r="F15" s="434"/>
      <c r="G15" s="435" t="s">
        <v>1235</v>
      </c>
    </row>
    <row r="16" s="407" customFormat="1" ht="13.5" customHeight="1" spans="1:8">
      <c r="A16" s="445" t="s">
        <v>1236</v>
      </c>
      <c r="B16" s="431" t="s">
        <v>1225</v>
      </c>
      <c r="C16" s="436"/>
      <c r="D16" s="434"/>
      <c r="E16" s="434"/>
      <c r="F16" s="434"/>
      <c r="G16" s="435"/>
    </row>
    <row r="17" s="407" customFormat="1" ht="13.5" customHeight="1" spans="1:7">
      <c r="A17" s="445" t="s">
        <v>1237</v>
      </c>
      <c r="B17" s="431" t="s">
        <v>1238</v>
      </c>
      <c r="C17" s="447"/>
      <c r="D17" s="447"/>
      <c r="E17" s="447"/>
      <c r="F17" s="447"/>
      <c r="G17" s="435" t="s">
        <v>1235</v>
      </c>
    </row>
    <row r="18" s="407" customFormat="1" ht="13.5" customHeight="1" spans="1:7">
      <c r="A18" s="445" t="s">
        <v>1239</v>
      </c>
      <c r="B18" s="431" t="s">
        <v>1240</v>
      </c>
      <c r="C18" s="436">
        <v>0</v>
      </c>
      <c r="D18" s="434"/>
      <c r="E18" s="434"/>
      <c r="F18" s="437">
        <v>0.0305</v>
      </c>
      <c r="G18" s="435" t="s">
        <v>1241</v>
      </c>
    </row>
    <row r="19" s="408" customFormat="1" ht="13.5" customHeight="1" spans="1:7">
      <c r="A19" s="425" t="s">
        <v>1242</v>
      </c>
      <c r="B19" s="426" t="s">
        <v>1243</v>
      </c>
      <c r="C19" s="427">
        <f ca="1">IF(G19="已包含在土地取得成本中","0",ROUND(D19*E19,0))</f>
        <v>18053</v>
      </c>
      <c r="D19" s="428">
        <f ca="1">D9+D10</f>
        <v>138.87</v>
      </c>
      <c r="E19" s="427">
        <f>'数据-取费表'!B31</f>
        <v>130</v>
      </c>
      <c r="F19" s="449"/>
      <c r="G19" s="661"/>
    </row>
    <row r="20" s="407" customFormat="1" ht="13.5" customHeight="1" spans="1:7">
      <c r="A20" s="425" t="s">
        <v>1244</v>
      </c>
      <c r="B20" s="426" t="s">
        <v>1245</v>
      </c>
      <c r="C20" s="450">
        <f ca="1">ROUND((C5+C19)*F20,0)</f>
        <v>413529</v>
      </c>
      <c r="D20" s="450"/>
      <c r="E20" s="450"/>
      <c r="F20" s="451">
        <f>'数据-取费表'!B38</f>
        <v>0.02</v>
      </c>
      <c r="G20" s="455" t="s">
        <v>1246</v>
      </c>
    </row>
    <row r="21" s="407" customFormat="1" ht="13.5" customHeight="1" spans="1:7">
      <c r="A21" s="425" t="s">
        <v>1247</v>
      </c>
      <c r="B21" s="426" t="s">
        <v>1248</v>
      </c>
      <c r="C21" s="453">
        <f>F21</f>
        <v>0.02</v>
      </c>
      <c r="D21" s="454" t="s">
        <v>1249</v>
      </c>
      <c r="E21" s="450"/>
      <c r="F21" s="451">
        <f>'数据-取费表'!B39</f>
        <v>0.02</v>
      </c>
      <c r="G21" s="455" t="s">
        <v>1250</v>
      </c>
    </row>
    <row r="22" s="407" customFormat="1" ht="13.5" customHeight="1" spans="1:7">
      <c r="A22" s="425" t="s">
        <v>1251</v>
      </c>
      <c r="B22" s="426" t="s">
        <v>1252</v>
      </c>
      <c r="C22" s="450">
        <f ca="1">ROUND(SUM(C23:C25),0)</f>
        <v>626497</v>
      </c>
      <c r="D22" s="453">
        <f ca="1">C26</f>
        <v>0.0003</v>
      </c>
      <c r="E22" s="454" t="s">
        <v>1249</v>
      </c>
      <c r="F22" s="457">
        <f ca="1">'数据-取费表'!B41</f>
        <v>0.03</v>
      </c>
      <c r="G22" s="455" t="str">
        <f>IF('数据-取费表'!B22&lt;=1,"单利计息","复利计息")</f>
        <v>单利计息</v>
      </c>
    </row>
    <row r="23" s="407" customFormat="1" ht="13.5" customHeight="1" spans="1:7">
      <c r="A23" s="458" t="s">
        <v>1126</v>
      </c>
      <c r="B23" s="431" t="s">
        <v>1165</v>
      </c>
      <c r="C23" s="460">
        <f ca="1">ROUND(IF('数据-取费表'!B22&lt;=1,C5*F22*'数据-取费表'!B22,C5*(POWER((1+F22),'数据-取费表'!B22)-1)),0)</f>
        <v>619752</v>
      </c>
      <c r="D23" s="460"/>
      <c r="E23" s="460"/>
      <c r="F23" s="461"/>
      <c r="G23" s="462" t="s">
        <v>1253</v>
      </c>
    </row>
    <row r="24" s="407" customFormat="1" ht="13.5" customHeight="1" spans="1:7">
      <c r="A24" s="458" t="s">
        <v>1128</v>
      </c>
      <c r="B24" s="431" t="s">
        <v>1254</v>
      </c>
      <c r="C24" s="460">
        <f ca="1">ROUND(IF('数据-取费表'!B22&lt;=1,C19*F22*('数据-取费表'!B19/2+'数据-取费表'!B20),C19*(POWER((1+F22),('数据-取费表'!B19/2+'数据-取费表'!B20))-1)),0)</f>
        <v>542</v>
      </c>
      <c r="D24" s="460"/>
      <c r="E24" s="460"/>
      <c r="F24" s="461"/>
      <c r="G24" s="462" t="s">
        <v>1255</v>
      </c>
    </row>
    <row r="25" s="407" customFormat="1" ht="24" spans="1:7">
      <c r="A25" s="458" t="s">
        <v>1136</v>
      </c>
      <c r="B25" s="431" t="s">
        <v>1256</v>
      </c>
      <c r="C25" s="460">
        <f ca="1">ROUND(IF('数据-取费表'!B22&lt;=1,C20*F22*'数据-取费表'!B22/2,C20*(POWER((1+F22),'数据-取费表'!B22/2)-1)),0)</f>
        <v>6203</v>
      </c>
      <c r="D25" s="460"/>
      <c r="E25" s="463"/>
      <c r="F25" s="461"/>
      <c r="G25" s="464" t="s">
        <v>1257</v>
      </c>
    </row>
    <row r="26" s="407" customFormat="1" spans="1:7">
      <c r="A26" s="458" t="s">
        <v>1169</v>
      </c>
      <c r="B26" s="431" t="s">
        <v>1170</v>
      </c>
      <c r="C26" s="460">
        <f ca="1">ROUND(IF('数据-取费表'!B22&lt;=1,F21*F22*'数据-取费表'!B22/2,F21*(POWER((1+F22),'数据-取费表'!B22/2)-1)),4)</f>
        <v>0.0003</v>
      </c>
      <c r="D26" s="460"/>
      <c r="E26" s="463"/>
      <c r="F26" s="461"/>
      <c r="G26" s="465"/>
    </row>
    <row r="27" s="407" customFormat="1" ht="24.75" spans="1:7">
      <c r="A27" s="425" t="s">
        <v>1258</v>
      </c>
      <c r="B27" s="466" t="s">
        <v>1259</v>
      </c>
      <c r="C27" s="467">
        <f ca="1">C28</f>
        <v>4217993</v>
      </c>
      <c r="D27" s="453">
        <f ca="1">C29</f>
        <v>0.004</v>
      </c>
      <c r="E27" s="454" t="s">
        <v>1249</v>
      </c>
      <c r="F27" s="468">
        <f ca="1">IF(B1="",'数据-取费表'!Q16,INDIRECT("'数据-取费表'!q"&amp;$G$1))</f>
        <v>0.2</v>
      </c>
      <c r="G27" s="469" t="s">
        <v>1260</v>
      </c>
    </row>
    <row r="28" s="407" customFormat="1" ht="13.5" customHeight="1" spans="1:7">
      <c r="A28" s="458" t="s">
        <v>1126</v>
      </c>
      <c r="B28" s="470" t="s">
        <v>1174</v>
      </c>
      <c r="C28" s="471">
        <f ca="1">ROUND((C5+C19+C20)*F27,0)</f>
        <v>4217993</v>
      </c>
      <c r="D28" s="453"/>
      <c r="E28" s="454"/>
      <c r="F28" s="468"/>
      <c r="G28" s="469"/>
    </row>
    <row r="29" s="407" customFormat="1" ht="13.5" customHeight="1" spans="1:7">
      <c r="A29" s="458" t="s">
        <v>1128</v>
      </c>
      <c r="B29" s="470" t="s">
        <v>1175</v>
      </c>
      <c r="C29" s="460">
        <f ca="1">ROUND(C21*F27,4)</f>
        <v>0.004</v>
      </c>
      <c r="D29" s="453"/>
      <c r="E29" s="454"/>
      <c r="F29" s="468"/>
      <c r="G29" s="469"/>
    </row>
    <row r="30" s="407" customFormat="1" ht="13.5" customHeight="1" spans="1:7">
      <c r="A30" s="425" t="s">
        <v>1261</v>
      </c>
      <c r="B30" s="426" t="s">
        <v>1262</v>
      </c>
      <c r="C30" s="453">
        <f>ROUND(F30/(1+'数据-取费表'!C43),4)</f>
        <v>0.0006</v>
      </c>
      <c r="D30" s="454" t="s">
        <v>1249</v>
      </c>
      <c r="E30" s="463"/>
      <c r="F30" s="3283">
        <v>0.00056</v>
      </c>
      <c r="G30" s="455" t="s">
        <v>1263</v>
      </c>
    </row>
    <row r="31" ht="16.5" customHeight="1" spans="1:7">
      <c r="A31" s="472">
        <v>1</v>
      </c>
      <c r="B31" s="426" t="s">
        <v>1264</v>
      </c>
      <c r="C31" s="427">
        <f ca="1">ROUND((C5+C19+C20+C22+C27)/(1-C21-D22-D27-C30),0)</f>
        <v>26596714</v>
      </c>
      <c r="D31" s="473"/>
      <c r="E31" s="427"/>
      <c r="F31" s="474"/>
      <c r="G31" s="455" t="s">
        <v>1265</v>
      </c>
    </row>
    <row r="32" s="406" customFormat="1" ht="15.75" spans="1:7">
      <c r="A32" s="475" t="s">
        <v>1266</v>
      </c>
      <c r="B32" s="476"/>
      <c r="C32" s="476"/>
      <c r="D32" s="476"/>
      <c r="E32" s="476"/>
      <c r="F32" s="476"/>
      <c r="G32" s="477"/>
    </row>
    <row r="33" s="407" customFormat="1" ht="13.5" customHeight="1" spans="1:7">
      <c r="A33" s="425" t="s">
        <v>1221</v>
      </c>
      <c r="B33" s="426" t="s">
        <v>1267</v>
      </c>
      <c r="C33" s="478">
        <f ca="1">SUM(C34:C38)</f>
        <v>576588</v>
      </c>
      <c r="D33" s="450"/>
      <c r="E33" s="428"/>
      <c r="F33" s="463"/>
      <c r="G33" s="455"/>
    </row>
    <row r="34" s="409" customFormat="1" ht="13.5" customHeight="1" spans="1:7">
      <c r="A34" s="458" t="s">
        <v>1126</v>
      </c>
      <c r="B34" s="431" t="s">
        <v>1268</v>
      </c>
      <c r="C34" s="436">
        <f ca="1">ROUND(IF(B1="",SUMPRODUCT('数据-取费表'!K6:K14,'数据-取费表'!L6:L14),INDIRECT("'数据-取费表'!l"&amp;$G$1)*INDIRECT("'数据-取费表'!k"&amp;$G$1)+'数据-取费表'!L14*INDIRECT("'数据-取费表'!S"&amp;$G$1)),0)</f>
        <v>499932</v>
      </c>
      <c r="D34" s="433"/>
      <c r="E34" s="436"/>
      <c r="F34" s="479"/>
      <c r="G34" s="435"/>
    </row>
    <row r="35" ht="13.5" customHeight="1" spans="1:7">
      <c r="A35" s="458" t="s">
        <v>1128</v>
      </c>
      <c r="B35" s="431" t="s">
        <v>1269</v>
      </c>
      <c r="C35" s="436">
        <f ca="1">ROUND(C34*F35,0)</f>
        <v>29996</v>
      </c>
      <c r="D35" s="436"/>
      <c r="E35" s="436"/>
      <c r="F35" s="480">
        <f>'数据-取费表'!B33</f>
        <v>0.06</v>
      </c>
      <c r="G35" s="435" t="s">
        <v>1154</v>
      </c>
    </row>
    <row r="36" ht="24" spans="1:7">
      <c r="A36" s="458" t="s">
        <v>1136</v>
      </c>
      <c r="B36" s="431" t="s">
        <v>1270</v>
      </c>
      <c r="C36" s="436">
        <f ca="1">ROUND(IF(B1="",SUM('数据-取费表'!AP6:AP13)*F36,IF(INDIRECT("'数据-取费表'!c"&amp;$G$1)="住宅",INDIRECT("'数据-取费表'!k"&amp;$G$1)*INDIRECT("'数据-取费表'!l"&amp;$G$1)*F36,0)),0)</f>
        <v>0</v>
      </c>
      <c r="D36" s="436"/>
      <c r="E36" s="436"/>
      <c r="F36" s="480">
        <f>'数据-取费表'!B34</f>
        <v>0</v>
      </c>
      <c r="G36" s="481" t="s">
        <v>1271</v>
      </c>
    </row>
    <row r="37" s="409" customFormat="1" ht="13.5" customHeight="1" spans="1:7">
      <c r="A37" s="458" t="s">
        <v>1169</v>
      </c>
      <c r="B37" s="431" t="s">
        <v>1151</v>
      </c>
      <c r="C37" s="471">
        <f ca="1">ROUND(E37*D37,0)</f>
        <v>41661</v>
      </c>
      <c r="D37" s="433">
        <f ca="1">D19</f>
        <v>138.87</v>
      </c>
      <c r="E37" s="471">
        <f>'数据-取费表'!B35</f>
        <v>300</v>
      </c>
      <c r="F37" s="480"/>
      <c r="G37" s="482"/>
    </row>
    <row r="38" ht="13.5" customHeight="1" spans="1:7">
      <c r="A38" s="458" t="s">
        <v>1152</v>
      </c>
      <c r="B38" s="431" t="s">
        <v>1046</v>
      </c>
      <c r="C38" s="436">
        <f ca="1">ROUND(C34*F38,0)</f>
        <v>4999</v>
      </c>
      <c r="D38" s="436"/>
      <c r="E38" s="436"/>
      <c r="F38" s="480">
        <f>'数据-取费表'!B36</f>
        <v>0.01</v>
      </c>
      <c r="G38" s="435" t="s">
        <v>1154</v>
      </c>
    </row>
    <row r="39" s="407" customFormat="1" ht="13.5" customHeight="1" spans="1:7">
      <c r="A39" s="425" t="s">
        <v>1242</v>
      </c>
      <c r="B39" s="426" t="s">
        <v>1245</v>
      </c>
      <c r="C39" s="450">
        <f ca="1">ROUND(C33*F20,0)</f>
        <v>11532</v>
      </c>
      <c r="D39" s="450"/>
      <c r="E39" s="450"/>
      <c r="F39" s="451">
        <f>F20</f>
        <v>0.02</v>
      </c>
      <c r="G39" s="455" t="s">
        <v>1272</v>
      </c>
    </row>
    <row r="40" s="407" customFormat="1" ht="13.5" customHeight="1" spans="1:7">
      <c r="A40" s="425" t="s">
        <v>1244</v>
      </c>
      <c r="B40" s="426" t="s">
        <v>1248</v>
      </c>
      <c r="C40" s="453">
        <f>F21</f>
        <v>0.02</v>
      </c>
      <c r="D40" s="454" t="s">
        <v>1273</v>
      </c>
      <c r="E40" s="450"/>
      <c r="F40" s="451">
        <f>F21</f>
        <v>0.02</v>
      </c>
      <c r="G40" s="455" t="s">
        <v>1274</v>
      </c>
    </row>
    <row r="41" s="407" customFormat="1" ht="13.5" customHeight="1" spans="1:7">
      <c r="A41" s="425" t="s">
        <v>1247</v>
      </c>
      <c r="B41" s="426" t="s">
        <v>1252</v>
      </c>
      <c r="C41" s="450">
        <f ca="1">ROUND(SUM(C42:C43),0)</f>
        <v>8822</v>
      </c>
      <c r="D41" s="453">
        <f ca="1">C44</f>
        <v>0.0003</v>
      </c>
      <c r="E41" s="454" t="s">
        <v>1273</v>
      </c>
      <c r="F41" s="457">
        <f ca="1">F22</f>
        <v>0.03</v>
      </c>
      <c r="G41" s="455" t="str">
        <f>IF('数据-取费表'!B22&lt;=1,"单利计息","复利计息")</f>
        <v>单利计息</v>
      </c>
    </row>
    <row r="42" ht="13.5" customHeight="1" spans="1:7">
      <c r="A42" s="458" t="s">
        <v>1126</v>
      </c>
      <c r="B42" s="431" t="s">
        <v>1165</v>
      </c>
      <c r="C42" s="460">
        <f ca="1">ROUND(IF('数据-取费表'!B22&lt;=1,C33*F22*'数据-取费表'!B20/2,C33*(POWER((1+F22),'数据-取费表'!B20/2)-1)),0)</f>
        <v>8649</v>
      </c>
      <c r="D42" s="460"/>
      <c r="E42" s="460"/>
      <c r="F42" s="461"/>
      <c r="G42" s="484" t="s">
        <v>1275</v>
      </c>
    </row>
    <row r="43" ht="13.5" customHeight="1" spans="1:7">
      <c r="A43" s="458" t="s">
        <v>1128</v>
      </c>
      <c r="B43" s="431" t="s">
        <v>1254</v>
      </c>
      <c r="C43" s="460">
        <f ca="1">ROUND(IF('数据-取费表'!B22&lt;=1,C39*F22*'数据-取费表'!B20/2,C39*(POWER((1+F22),'数据-取费表'!B20/2)-1)),0)</f>
        <v>173</v>
      </c>
      <c r="D43" s="460"/>
      <c r="E43" s="460"/>
      <c r="F43" s="461"/>
      <c r="G43" s="485"/>
    </row>
    <row r="44" ht="13.5" customHeight="1" spans="1:7">
      <c r="A44" s="458" t="s">
        <v>1136</v>
      </c>
      <c r="B44" s="431" t="s">
        <v>1256</v>
      </c>
      <c r="C44" s="460">
        <f ca="1">ROUND(IF('数据-取费表'!B22&lt;=1,C40*F22*'数据-取费表'!B20/2,C40*(POWER((1+F22),'数据-取费表'!B20/2)-1)),4)</f>
        <v>0.0003</v>
      </c>
      <c r="D44" s="460"/>
      <c r="E44" s="460"/>
      <c r="F44" s="461"/>
      <c r="G44" s="486"/>
    </row>
    <row r="45" s="407" customFormat="1" ht="13.5" customHeight="1" spans="1:7">
      <c r="A45" s="425" t="s">
        <v>1251</v>
      </c>
      <c r="B45" s="466" t="s">
        <v>1259</v>
      </c>
      <c r="C45" s="467">
        <f ca="1">C46</f>
        <v>117624</v>
      </c>
      <c r="D45" s="453">
        <f ca="1">C47</f>
        <v>0.004</v>
      </c>
      <c r="E45" s="454" t="s">
        <v>1273</v>
      </c>
      <c r="F45" s="468">
        <f ca="1">F27</f>
        <v>0.2</v>
      </c>
      <c r="G45" s="469" t="s">
        <v>1276</v>
      </c>
    </row>
    <row r="46" s="407" customFormat="1" ht="13.5" customHeight="1" spans="1:7">
      <c r="A46" s="458" t="s">
        <v>1126</v>
      </c>
      <c r="B46" s="470" t="s">
        <v>1199</v>
      </c>
      <c r="C46" s="471">
        <f ca="1">ROUND((C33+C39)*F27,0)</f>
        <v>117624</v>
      </c>
      <c r="D46" s="487"/>
      <c r="E46" s="454"/>
      <c r="F46" s="468"/>
      <c r="G46" s="469"/>
    </row>
    <row r="47" s="407" customFormat="1" ht="13.5" customHeight="1" spans="1:7">
      <c r="A47" s="458" t="s">
        <v>1128</v>
      </c>
      <c r="B47" s="470" t="s">
        <v>1200</v>
      </c>
      <c r="C47" s="460">
        <f ca="1">ROUND(C40*F27,4)</f>
        <v>0.004</v>
      </c>
      <c r="D47" s="487"/>
      <c r="E47" s="454"/>
      <c r="F47" s="468"/>
      <c r="G47" s="469"/>
    </row>
    <row r="48" s="407" customFormat="1" ht="13.5" customHeight="1" spans="1:7">
      <c r="A48" s="425" t="s">
        <v>1258</v>
      </c>
      <c r="B48" s="426" t="s">
        <v>1262</v>
      </c>
      <c r="C48" s="483">
        <f>ROUND(F30/(1+'数据-取费表'!C43),4)</f>
        <v>0.0006</v>
      </c>
      <c r="D48" s="454" t="s">
        <v>1273</v>
      </c>
      <c r="E48" s="450"/>
      <c r="F48" s="3284">
        <f>F30</f>
        <v>0.00056</v>
      </c>
      <c r="G48" s="455" t="s">
        <v>1277</v>
      </c>
    </row>
    <row r="49" ht="16.5" customHeight="1" spans="1:7">
      <c r="A49" s="425" t="s">
        <v>1261</v>
      </c>
      <c r="B49" s="426" t="s">
        <v>1278</v>
      </c>
      <c r="C49" s="450">
        <f ca="1">ROUND((C33+C39+C41+C45)/(1-C40-D41-D45-C48),0)</f>
        <v>732813</v>
      </c>
      <c r="D49" s="450"/>
      <c r="E49" s="450"/>
      <c r="F49" s="488"/>
      <c r="G49" s="455" t="s">
        <v>1279</v>
      </c>
    </row>
    <row r="50" s="409" customFormat="1" spans="1:7">
      <c r="A50" s="425" t="s">
        <v>1280</v>
      </c>
      <c r="B50" s="426" t="s">
        <v>1281</v>
      </c>
      <c r="C50" s="450"/>
      <c r="D50" s="450"/>
      <c r="E50" s="450"/>
      <c r="F50" s="488">
        <f>IF('数据-取费表'!B24=0,'数据-取费表'!N16,1)</f>
        <v>0.875</v>
      </c>
      <c r="G50" s="469"/>
    </row>
    <row r="51" ht="16.5" customHeight="1" spans="1:7">
      <c r="A51" s="425" t="s">
        <v>1282</v>
      </c>
      <c r="B51" s="426" t="s">
        <v>1283</v>
      </c>
      <c r="C51" s="450">
        <f ca="1">ROUND(C49*F50,0)</f>
        <v>641211</v>
      </c>
      <c r="D51" s="450"/>
      <c r="E51" s="450"/>
      <c r="F51" s="488"/>
      <c r="G51" s="455" t="s">
        <v>1284</v>
      </c>
    </row>
    <row r="52" s="406" customFormat="1" ht="16.5" spans="1:7">
      <c r="A52" s="489" t="s">
        <v>1285</v>
      </c>
      <c r="B52" s="490"/>
      <c r="C52" s="491">
        <f ca="1">C31+C51</f>
        <v>27237925</v>
      </c>
      <c r="D52" s="490"/>
      <c r="E52" s="490"/>
      <c r="F52" s="490"/>
      <c r="G52" s="492"/>
    </row>
    <row r="55" ht="15" spans="1:7">
      <c r="B55" s="493" t="s">
        <v>1213</v>
      </c>
      <c r="C55" s="494"/>
    </row>
    <row r="56" spans="1:7">
      <c r="B56" s="495" t="s">
        <v>1214</v>
      </c>
      <c r="C56" s="497">
        <f ca="1">1-C57</f>
        <v>0.976</v>
      </c>
    </row>
    <row r="57" spans="1:7">
      <c r="B57" s="495" t="s">
        <v>1215</v>
      </c>
      <c r="C57" s="496">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c r="D1" s="2681" t="s">
        <v>124</v>
      </c>
      <c r="E1" s="2682" t="s">
        <v>1287</v>
      </c>
      <c r="F1" s="3229">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3022" t="e">
        <f ca="1">IF(D2="含税",ROUND((C28+J31+L55)*(1+F31),0),C28+J31+L55)</f>
        <v>#DIV/0!</v>
      </c>
      <c r="C2" s="2690" t="s">
        <v>1289</v>
      </c>
      <c r="D2" s="2999"/>
      <c r="E2" s="2692"/>
      <c r="F2" s="2693"/>
      <c r="G2" s="2694"/>
      <c r="H2" s="2695"/>
      <c r="I2" s="2695"/>
      <c r="J2" s="2695"/>
      <c r="K2" s="2696"/>
      <c r="L2" s="2695"/>
      <c r="M2" s="2695"/>
    </row>
    <row r="3" ht="18" customHeight="1" spans="1:37">
      <c r="A3" s="2697" t="s">
        <v>1290</v>
      </c>
      <c r="B3" s="3125">
        <f ca="1">IF(ISERROR(B2*10000/F32),0,ROUND(B2*10000/F32,0))</f>
        <v>0</v>
      </c>
      <c r="C3" s="2690" t="s">
        <v>1291</v>
      </c>
      <c r="D3" s="2690"/>
      <c r="E3" s="2692"/>
      <c r="F3" s="2693"/>
      <c r="G3" s="2694"/>
      <c r="H3" s="2699" t="s">
        <v>1292</v>
      </c>
      <c r="I3" s="2700"/>
      <c r="J3" s="2700"/>
      <c r="K3" s="2701"/>
      <c r="L3" s="2700"/>
      <c r="M3" s="2700"/>
    </row>
    <row r="4" s="408" customFormat="1" ht="18" customHeight="1" spans="1:37">
      <c r="A4" s="3000" t="s">
        <v>1293</v>
      </c>
      <c r="B4" s="3001" t="s">
        <v>1294</v>
      </c>
      <c r="C4" s="3002" t="s">
        <v>1295</v>
      </c>
      <c r="D4" s="3001" t="s">
        <v>1296</v>
      </c>
      <c r="E4" s="3003" t="s">
        <v>1297</v>
      </c>
      <c r="F4" s="3230"/>
      <c r="G4" s="2995"/>
      <c r="H4" s="3000" t="s">
        <v>1293</v>
      </c>
      <c r="I4" s="3001" t="s">
        <v>1294</v>
      </c>
      <c r="J4" s="3002" t="s">
        <v>1295</v>
      </c>
      <c r="K4" s="3001" t="s">
        <v>1296</v>
      </c>
      <c r="L4" s="3003" t="s">
        <v>1297</v>
      </c>
      <c r="M4" s="3230"/>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706">
        <v>1</v>
      </c>
      <c r="B5" s="3008" t="s">
        <v>1298</v>
      </c>
      <c r="C5" s="3009">
        <f ca="1">ROUND(C6+C10+C12,0)</f>
        <v>0</v>
      </c>
      <c r="D5" s="3010" t="s">
        <v>1299</v>
      </c>
      <c r="E5" s="3011"/>
      <c r="F5" s="3012"/>
      <c r="G5" s="2995"/>
      <c r="H5" s="2706">
        <v>1</v>
      </c>
      <c r="I5" s="3008" t="s">
        <v>1298</v>
      </c>
      <c r="J5" s="3009">
        <f ca="1">ROUND(J6+J10+J12,0)</f>
        <v>0</v>
      </c>
      <c r="K5" s="3010" t="s">
        <v>1299</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231">
        <f ca="1">C7-C9</f>
        <v>0</v>
      </c>
      <c r="D6" s="1279" t="s">
        <v>1301</v>
      </c>
      <c r="E6" s="3017" t="s">
        <v>1302</v>
      </c>
      <c r="F6" s="3064">
        <f ca="1">INDIRECT("'数据-取费表'!u"&amp;$G$1)</f>
        <v>0</v>
      </c>
      <c r="G6" s="883"/>
      <c r="H6" s="2712" t="s">
        <v>1009</v>
      </c>
      <c r="I6" s="3015" t="s">
        <v>1300</v>
      </c>
      <c r="J6" s="3232">
        <f ca="1">J7-J9</f>
        <v>0</v>
      </c>
      <c r="K6" s="1279" t="s">
        <v>1301</v>
      </c>
      <c r="L6" s="3017" t="s">
        <v>1302</v>
      </c>
      <c r="M6" s="3064">
        <f ca="1">INDIRECT("'数据-取费表'!z"&amp;$G$1)</f>
        <v>0</v>
      </c>
    </row>
    <row r="7" ht="18" customHeight="1" spans="1:37">
      <c r="A7" s="3020" t="s">
        <v>1038</v>
      </c>
      <c r="B7" s="3021" t="s">
        <v>1303</v>
      </c>
      <c r="C7" s="3232">
        <f ca="1">ROUND(F6*F7*F8/10000,2)</f>
        <v>0</v>
      </c>
      <c r="D7" s="3023" t="s">
        <v>1304</v>
      </c>
      <c r="E7" s="2723" t="s">
        <v>1305</v>
      </c>
      <c r="F7" s="3024">
        <f ca="1">IF(INDIRECT("'数据-取费表'!ah"&amp;$G$1)="",INDIRECT("'数据-取费表'!k"&amp;$G$1),INDIRECT("'数据-取费表'!ah"&amp;$G$1))</f>
        <v>0</v>
      </c>
      <c r="G7" s="883"/>
      <c r="H7" s="3020" t="s">
        <v>1038</v>
      </c>
      <c r="I7" s="3021" t="s">
        <v>1303</v>
      </c>
      <c r="J7" s="3233">
        <f ca="1">ROUND(M6*M8*M7/10000,2)</f>
        <v>0</v>
      </c>
      <c r="K7" s="3023" t="s">
        <v>1304</v>
      </c>
      <c r="L7" s="1301" t="s">
        <v>1305</v>
      </c>
      <c r="M7" s="3024">
        <f ca="1">F7</f>
        <v>0</v>
      </c>
    </row>
    <row r="8" ht="18" customHeight="1" spans="1:37">
      <c r="A8" s="3026"/>
      <c r="B8" s="3027"/>
      <c r="C8" s="3232"/>
      <c r="D8" s="3023"/>
      <c r="E8" s="1301" t="str">
        <f ca="1">IF(F8=1,"年",IF(F8=12,"月","天"))</f>
        <v>天</v>
      </c>
      <c r="F8" s="3028">
        <f ca="1">INDIRECT("'数据-取费表'!ai"&amp;$G$1)</f>
        <v>0</v>
      </c>
      <c r="G8" s="883"/>
      <c r="H8" s="3026"/>
      <c r="I8" s="3027"/>
      <c r="J8" s="3233"/>
      <c r="K8" s="3023"/>
      <c r="L8" s="1301" t="str">
        <f ca="1">IF(M8=1,"年",IF(M8=12,"月","天"))</f>
        <v>天</v>
      </c>
      <c r="M8" s="3028">
        <f ca="1">INDIRECT("'数据-取费表'!ai"&amp;$G$1)</f>
        <v>0</v>
      </c>
    </row>
    <row r="9" ht="18" customHeight="1" spans="1:37">
      <c r="A9" s="1315" t="s">
        <v>1042</v>
      </c>
      <c r="B9" s="3027" t="s">
        <v>1306</v>
      </c>
      <c r="C9" s="3233">
        <f ca="1">ROUND(C7*F9,2)</f>
        <v>0</v>
      </c>
      <c r="D9" s="1279" t="s">
        <v>1307</v>
      </c>
      <c r="E9" s="1301" t="s">
        <v>1308</v>
      </c>
      <c r="F9" s="3030">
        <f ca="1">INDIRECT("'数据-取费表'!w"&amp;$G$1)</f>
        <v>0</v>
      </c>
      <c r="G9" s="883"/>
      <c r="H9" s="1315" t="s">
        <v>1042</v>
      </c>
      <c r="I9" s="3027" t="s">
        <v>1306</v>
      </c>
      <c r="J9" s="3232">
        <f ca="1">ROUND(J7*M9,2)</f>
        <v>0</v>
      </c>
      <c r="K9" s="1279" t="s">
        <v>1307</v>
      </c>
      <c r="L9" s="2728" t="s">
        <v>1308</v>
      </c>
      <c r="M9" s="3036">
        <f ca="1">INDIRECT("'数据-取费表'!ab"&amp;$G$1)</f>
        <v>0</v>
      </c>
    </row>
    <row r="10" ht="18" customHeight="1" spans="1:37">
      <c r="A10" s="2712" t="s">
        <v>1014</v>
      </c>
      <c r="B10" s="2730" t="s">
        <v>1309</v>
      </c>
      <c r="C10" s="3232">
        <f ca="1">ROUND(IF(F10="押一",C6/12*F11,IF(F10="押二",C6/12*2*F11,IF(F10="押三",C6/12*3*F11,C11*F11))),2)</f>
        <v>0</v>
      </c>
      <c r="D10" s="2731" t="s">
        <v>1310</v>
      </c>
      <c r="E10" s="2728" t="s">
        <v>1311</v>
      </c>
      <c r="F10" s="3188"/>
      <c r="G10" s="883"/>
      <c r="H10" s="2712" t="s">
        <v>1014</v>
      </c>
      <c r="I10" s="2730" t="s">
        <v>1309</v>
      </c>
      <c r="J10" s="3234">
        <f ca="1">ROUND(IF(M10="押一",J6/12*M11,IF(M10="押二",J6/12*2*M11,IF(M10="押三",J6/12*3*M11,J11*M11))),2)</f>
        <v>0</v>
      </c>
      <c r="K10" s="2731" t="s">
        <v>1310</v>
      </c>
      <c r="L10" s="2728" t="s">
        <v>1311</v>
      </c>
      <c r="M10" s="3188"/>
    </row>
    <row r="11" ht="18" customHeight="1" spans="1:37">
      <c r="A11" s="2734"/>
      <c r="B11" s="3037" t="str">
        <f>IF(OR(F10="自定义",F10=" "),"（自定义押金）","")</f>
        <v/>
      </c>
      <c r="C11" s="3235"/>
      <c r="D11" s="3035"/>
      <c r="E11" s="2728" t="s">
        <v>1312</v>
      </c>
      <c r="F11" s="3036">
        <f ca="1">'数据-取费表'!B40</f>
        <v>0.015</v>
      </c>
      <c r="G11" s="883"/>
      <c r="H11" s="2737"/>
      <c r="I11" s="3037" t="str">
        <f>IF(OR(M10="自定义",M10=" "),"（自定义押金）","")</f>
        <v/>
      </c>
      <c r="J11" s="3235"/>
      <c r="K11" s="2738"/>
      <c r="L11" s="2728" t="s">
        <v>1312</v>
      </c>
      <c r="M11" s="3031">
        <f ca="1">'数据-取费表'!B40</f>
        <v>0.015</v>
      </c>
    </row>
    <row r="12" ht="18" customHeight="1" spans="1:37">
      <c r="A12" s="2740" t="s">
        <v>1065</v>
      </c>
      <c r="B12" s="2741" t="s">
        <v>1313</v>
      </c>
      <c r="C12" s="3192"/>
      <c r="D12" s="2743"/>
      <c r="E12" s="2744"/>
      <c r="F12" s="2745"/>
      <c r="G12" s="883"/>
      <c r="H12" s="2740" t="s">
        <v>1065</v>
      </c>
      <c r="I12" s="2741" t="s">
        <v>1313</v>
      </c>
      <c r="J12" s="3192"/>
      <c r="K12" s="2746"/>
      <c r="L12" s="2744"/>
      <c r="M12" s="3073"/>
    </row>
    <row r="13" s="408" customFormat="1" ht="18" customHeight="1" spans="1:37">
      <c r="A13" s="2748" t="s">
        <v>1314</v>
      </c>
      <c r="B13" s="2749" t="s">
        <v>1315</v>
      </c>
      <c r="C13" s="3041">
        <f ca="1">ROUND(C14+C22+C24+C26,0)</f>
        <v>0</v>
      </c>
      <c r="D13" s="3236" t="s">
        <v>1316</v>
      </c>
      <c r="E13" s="3043"/>
      <c r="F13" s="3012"/>
      <c r="G13" s="2995"/>
      <c r="H13" s="2748" t="s">
        <v>1314</v>
      </c>
      <c r="I13" s="2749" t="s">
        <v>1315</v>
      </c>
      <c r="J13" s="3041">
        <f ca="1">ROUND(J14+J22+J24+J26,0)</f>
        <v>0</v>
      </c>
      <c r="K13" s="3237" t="s">
        <v>1317</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3232">
        <f ca="1">ROUND(IF(AND(项目基本情况!B11="自然人",项目基本情况!B10="北京市",M56="住宅"),C6*F14,C15+C19+C20),2)</f>
        <v>0</v>
      </c>
      <c r="D14" s="2758" t="s">
        <v>1319</v>
      </c>
      <c r="E14" s="2758" t="str">
        <f>IF(M56="非住宅","","综合税率")</f>
        <v/>
      </c>
      <c r="F14" s="3047" t="str">
        <f ca="1">IF(M56="非住宅","",IF(F6*F7*F8/12/(1+'数据-取费表'!F30)&gt;100000,4%,2.5%))</f>
        <v/>
      </c>
      <c r="G14" s="883"/>
      <c r="H14" s="731" t="s">
        <v>1009</v>
      </c>
      <c r="I14" s="3017" t="s">
        <v>1318</v>
      </c>
      <c r="J14" s="3232">
        <f ca="1">ROUND(IF(AND(项目基本情况!B11="自然人",项目基本情况!B10="北京市",M56="住宅"),J6*M14/(1+'数据-取费表'!C43),J15+J19+J20),2)</f>
        <v>0</v>
      </c>
      <c r="K14" s="3048" t="s">
        <v>1320</v>
      </c>
      <c r="L14" s="2758" t="str">
        <f>E14</f>
        <v/>
      </c>
      <c r="M14" s="3047" t="str">
        <f ca="1">IF(M56="非住宅","",IF(M6*M7*M8/12/(1+'数据-取费表'!F30)&gt;100000,4%,2.5%))</f>
        <v/>
      </c>
    </row>
    <row r="15" s="2677" customFormat="1" ht="18" customHeight="1" spans="1:37">
      <c r="A15" s="1315" t="s">
        <v>1038</v>
      </c>
      <c r="B15" s="3017" t="s">
        <v>1321</v>
      </c>
      <c r="C15" s="3232">
        <f ca="1">C18</f>
        <v>0</v>
      </c>
      <c r="D15" s="1104" t="s">
        <v>1322</v>
      </c>
      <c r="E15" s="3049"/>
      <c r="F15" s="3050"/>
      <c r="G15" s="2764"/>
      <c r="H15" s="1315" t="s">
        <v>1038</v>
      </c>
      <c r="I15" s="3017" t="s">
        <v>1321</v>
      </c>
      <c r="J15" s="3232">
        <f ca="1">J18</f>
        <v>0</v>
      </c>
      <c r="K15" s="1104" t="s">
        <v>1322</v>
      </c>
      <c r="L15" s="3049"/>
      <c r="M15" s="3050"/>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8">
        <f ca="1">ROUND(C6*F16,2)</f>
        <v>0</v>
      </c>
      <c r="D16" s="633" t="s">
        <v>1323</v>
      </c>
      <c r="E16" s="3053" t="s">
        <v>1324</v>
      </c>
      <c r="F16" s="3054">
        <v>0.09</v>
      </c>
      <c r="G16" s="883"/>
      <c r="H16" s="662" t="s">
        <v>1141</v>
      </c>
      <c r="I16" s="3052" t="s">
        <v>973</v>
      </c>
      <c r="J16" s="808">
        <f ca="1">ROUND(J6*M16,2)</f>
        <v>0</v>
      </c>
      <c r="K16" s="3238" t="s">
        <v>1325</v>
      </c>
      <c r="L16" s="3053" t="s">
        <v>1324</v>
      </c>
      <c r="M16" s="3054">
        <v>0.09</v>
      </c>
    </row>
    <row r="17" s="2677" customFormat="1" ht="18" customHeight="1" spans="1:37">
      <c r="A17" s="662" t="s">
        <v>1148</v>
      </c>
      <c r="B17" s="3052" t="s">
        <v>977</v>
      </c>
      <c r="C17" s="3239">
        <f ca="1">ROUND(C22*F16+((C24+C26)*F17),2)</f>
        <v>0</v>
      </c>
      <c r="D17" s="3055" t="s">
        <v>1326</v>
      </c>
      <c r="E17" s="3058"/>
      <c r="F17" s="3054">
        <v>0.06</v>
      </c>
      <c r="G17" s="2764"/>
      <c r="H17" s="662" t="s">
        <v>1148</v>
      </c>
      <c r="I17" s="3052" t="s">
        <v>977</v>
      </c>
      <c r="J17" s="3239">
        <f ca="1">ROUND(J22*M16+((J24+J26)*M17),2)</f>
        <v>0</v>
      </c>
      <c r="K17" s="3055" t="s">
        <v>1326</v>
      </c>
      <c r="L17" s="3058"/>
      <c r="M17" s="3054">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1327</v>
      </c>
      <c r="C18" s="3239">
        <f ca="1">ROUND((C16-C17)*F18,2)</f>
        <v>0</v>
      </c>
      <c r="D18" s="3048" t="s">
        <v>1328</v>
      </c>
      <c r="E18" s="1301" t="s">
        <v>1329</v>
      </c>
      <c r="F18" s="3054">
        <f>'数据-取费表'!B44</f>
        <v>0.12</v>
      </c>
      <c r="G18" s="2764"/>
      <c r="H18" s="662" t="s">
        <v>1150</v>
      </c>
      <c r="I18" s="3052" t="s">
        <v>1330</v>
      </c>
      <c r="J18" s="3239">
        <f ca="1">ROUND((J16-J17)*M18,2)</f>
        <v>0</v>
      </c>
      <c r="K18" s="3048" t="s">
        <v>1328</v>
      </c>
      <c r="L18" s="1301" t="s">
        <v>1329</v>
      </c>
      <c r="M18" s="3054">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3232">
        <f ca="1">IF(AND(项目基本情况!B11="自然人",M56="住宅"),"——",IF(D19="按不含税租金收入（有效毛租金收入）计税",ROUND(C6*F19,2),IF(D19="按房产原值计税",ROUND(C51*F19*0.7,2),INDIRECT("'数据-取费表'!Aj"&amp;$G$1))))</f>
        <v>0</v>
      </c>
      <c r="D19" s="3060"/>
      <c r="E19" s="1301" t="s">
        <v>1332</v>
      </c>
      <c r="F19" s="3054">
        <f>IF(D19="按票据","——",IF(D19="按不含税租金收入（有效毛租金收入）计税",'数据-取费表'!B52,'数据-取费表'!B51))</f>
        <v>0.012</v>
      </c>
      <c r="G19" s="2764"/>
      <c r="H19" s="1315" t="s">
        <v>1042</v>
      </c>
      <c r="I19" s="3017" t="s">
        <v>1331</v>
      </c>
      <c r="J19" s="3232">
        <f ca="1">IF(K19="按不含税租金收入（有效毛租金收入）计税",ROUND(J6*M19,2),ROUND(C51*M19*0.7,2))</f>
        <v>0</v>
      </c>
      <c r="K19" s="2775"/>
      <c r="L19" s="1301" t="s">
        <v>1332</v>
      </c>
      <c r="M19" s="3054">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2718" t="s">
        <v>1333</v>
      </c>
      <c r="C20" s="3234">
        <f ca="1">IF(AND(项目基本情况!B11="自然人",M56="住宅"),"——",ROUND(F20*F21/10000,2))</f>
        <v>0</v>
      </c>
      <c r="D20" s="2778" t="s">
        <v>1334</v>
      </c>
      <c r="E20" s="1301" t="s">
        <v>1335</v>
      </c>
      <c r="F20" s="3134">
        <f>'数据-取费表'!B53</f>
        <v>0</v>
      </c>
      <c r="G20" s="883"/>
      <c r="H20" s="3020" t="s">
        <v>1045</v>
      </c>
      <c r="I20" s="2718" t="s">
        <v>1333</v>
      </c>
      <c r="J20" s="3234">
        <f ca="1">ROUND(M20*M21/10000,2)</f>
        <v>0</v>
      </c>
      <c r="K20" s="2778" t="s">
        <v>1334</v>
      </c>
      <c r="L20" s="1301" t="s">
        <v>1335</v>
      </c>
      <c r="M20" s="3134">
        <f>'数据-取费表'!B53</f>
        <v>0</v>
      </c>
    </row>
    <row r="21" s="2677" customFormat="1" ht="18" customHeight="1" spans="1:37">
      <c r="A21" s="2780"/>
      <c r="B21" s="2815"/>
      <c r="C21" s="3240"/>
      <c r="D21" s="2783"/>
      <c r="E21" s="1301" t="s">
        <v>1336</v>
      </c>
      <c r="F21" s="3024">
        <f ca="1">INDIRECT("'数据-取费表'!r"&amp;$G$1)</f>
        <v>0</v>
      </c>
      <c r="G21" s="2764"/>
      <c r="H21" s="2780"/>
      <c r="I21" s="2781"/>
      <c r="J21" s="3240"/>
      <c r="K21" s="2783"/>
      <c r="L21" s="1301" t="s">
        <v>1336</v>
      </c>
      <c r="M21" s="302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241">
        <f ca="1">ROUND(C51*F22,2)</f>
        <v>0</v>
      </c>
      <c r="D22" s="3068" t="s">
        <v>1338</v>
      </c>
      <c r="E22" s="1301" t="s">
        <v>1332</v>
      </c>
      <c r="F22" s="3030">
        <f ca="1">INDIRECT("'数据-取费表'!Ak"&amp;$G$1)</f>
        <v>0</v>
      </c>
      <c r="G22" s="2764"/>
      <c r="H22" s="3066" t="s">
        <v>1014</v>
      </c>
      <c r="I22" s="2715" t="s">
        <v>1337</v>
      </c>
      <c r="J22" s="3241">
        <f ca="1">ROUND(J35*M22,2)</f>
        <v>0</v>
      </c>
      <c r="K22" s="3068" t="s">
        <v>1338</v>
      </c>
      <c r="L22" s="1301" t="s">
        <v>1332</v>
      </c>
      <c r="M22" s="3030">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42"/>
      <c r="D23" s="3071"/>
      <c r="E23" s="3017" t="s">
        <v>1339</v>
      </c>
      <c r="F23" s="3028">
        <f ca="1">C51</f>
        <v>0</v>
      </c>
      <c r="G23" s="2764"/>
      <c r="H23" s="2780"/>
      <c r="I23" s="2781"/>
      <c r="J23" s="3242"/>
      <c r="K23" s="3071"/>
      <c r="L23" s="3017" t="s">
        <v>1339</v>
      </c>
      <c r="M23" s="302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241">
        <f ca="1">ROUND(C53*F24,2)</f>
        <v>0</v>
      </c>
      <c r="D24" s="3068" t="s">
        <v>1341</v>
      </c>
      <c r="E24" s="1301" t="s">
        <v>1332</v>
      </c>
      <c r="F24" s="3030">
        <f ca="1">INDIRECT("'数据-取费表'!Al"&amp;$G$1)</f>
        <v>0</v>
      </c>
      <c r="G24" s="883"/>
      <c r="H24" s="3066" t="s">
        <v>1065</v>
      </c>
      <c r="I24" s="2715" t="s">
        <v>1340</v>
      </c>
      <c r="J24" s="3241">
        <f ca="1">ROUND(J37*M24,2)</f>
        <v>0</v>
      </c>
      <c r="K24" s="3068" t="s">
        <v>1342</v>
      </c>
      <c r="L24" s="1301" t="s">
        <v>1332</v>
      </c>
      <c r="M24" s="3030">
        <f ca="1">INDIRECT("'数据-取费表'!Al"&amp;$G$1)</f>
        <v>0</v>
      </c>
    </row>
    <row r="25" ht="18" customHeight="1" spans="1:37">
      <c r="A25" s="2780"/>
      <c r="B25" s="2781"/>
      <c r="C25" s="3242"/>
      <c r="D25" s="3071"/>
      <c r="E25" s="3061" t="s">
        <v>1343</v>
      </c>
      <c r="F25" s="3028">
        <f ca="1">C53</f>
        <v>0</v>
      </c>
      <c r="G25" s="883"/>
      <c r="H25" s="2780"/>
      <c r="I25" s="2781"/>
      <c r="J25" s="3242"/>
      <c r="K25" s="3071"/>
      <c r="L25" s="3061" t="s">
        <v>1343</v>
      </c>
      <c r="M25" s="3028">
        <f ca="1">J37</f>
        <v>0</v>
      </c>
    </row>
    <row r="26" s="2677" customFormat="1" ht="18" customHeight="1" spans="1:37">
      <c r="A26" s="2765" t="s">
        <v>1070</v>
      </c>
      <c r="B26" s="2744" t="s">
        <v>1344</v>
      </c>
      <c r="C26" s="3243">
        <f ca="1">ROUND(C5*F26,2)</f>
        <v>0</v>
      </c>
      <c r="D26" s="2788" t="s">
        <v>1345</v>
      </c>
      <c r="E26" s="2744" t="s">
        <v>1332</v>
      </c>
      <c r="F26" s="3073">
        <f ca="1">INDIRECT("'数据-取费表'!Am"&amp;$G$1)</f>
        <v>0</v>
      </c>
      <c r="G26" s="2764"/>
      <c r="H26" s="2765" t="s">
        <v>1070</v>
      </c>
      <c r="I26" s="2744" t="s">
        <v>1344</v>
      </c>
      <c r="J26" s="3243">
        <f ca="1">ROUND(J5*M26,2)</f>
        <v>0</v>
      </c>
      <c r="K26" s="2788" t="s">
        <v>1345</v>
      </c>
      <c r="L26" s="2744" t="s">
        <v>1332</v>
      </c>
      <c r="M26" s="3073">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0</v>
      </c>
      <c r="D27" s="3244" t="s">
        <v>1347</v>
      </c>
      <c r="E27" s="3074"/>
      <c r="F27" s="3075"/>
      <c r="G27" s="3076"/>
      <c r="H27" s="2748" t="s">
        <v>1181</v>
      </c>
      <c r="I27" s="2789" t="s">
        <v>1346</v>
      </c>
      <c r="J27" s="3041">
        <f ca="1">J5-J13</f>
        <v>0</v>
      </c>
      <c r="K27" s="3244" t="s">
        <v>1347</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82">
        <f ca="1">IF(C5&lt;&gt;0,ROUND(C27*(1-((1+F30)/(1+F28))^F29)/(F28-F30),0),0)</f>
        <v>0</v>
      </c>
      <c r="D28" s="3080" t="s">
        <v>1350</v>
      </c>
      <c r="E28" s="3081" t="s">
        <v>1351</v>
      </c>
      <c r="F28" s="3030">
        <f ca="1">INDIRECT("'数据-取费表'!I"&amp;$G$1)</f>
        <v>0</v>
      </c>
      <c r="G28" s="2995"/>
      <c r="H28" s="2706" t="s">
        <v>1348</v>
      </c>
      <c r="I28" s="2707" t="s">
        <v>1352</v>
      </c>
      <c r="J28" s="3082">
        <f ca="1">IF(J5&lt;&gt;0,ROUND(J27*(1-((1+M30)/(1+M28))^M29)/(M28-M30),0),0)</f>
        <v>0</v>
      </c>
      <c r="K28" s="3080" t="s">
        <v>1350</v>
      </c>
      <c r="L28" s="3083" t="s">
        <v>1351</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724"/>
      <c r="B29" s="2793"/>
      <c r="C29" s="3084"/>
      <c r="D29" s="3085" t="s">
        <v>1353</v>
      </c>
      <c r="E29" s="3081" t="s">
        <v>1354</v>
      </c>
      <c r="F29" s="3086">
        <f ca="1">IF(INDIRECT("'数据-取费表'!af"&amp;$G$1)=0,INDIRECT("'数据-取费表'!ae"&amp;$G$1),INDIRECT("'数据-取费表'!af"&amp;$G$1))</f>
        <v>0</v>
      </c>
      <c r="G29" s="2995"/>
      <c r="H29" s="2724"/>
      <c r="I29" s="2793"/>
      <c r="J29" s="3084"/>
      <c r="K29" s="3245" t="s">
        <v>1353</v>
      </c>
      <c r="L29" s="3081" t="s">
        <v>1354</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v>
      </c>
      <c r="G30" s="2995"/>
      <c r="H30" s="2734"/>
      <c r="I30" s="2796"/>
      <c r="J30" s="3088"/>
      <c r="K30" s="3245"/>
      <c r="L30" s="3081" t="s">
        <v>1355</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0</v>
      </c>
      <c r="D31" s="3092" t="s">
        <v>1358</v>
      </c>
      <c r="E31" s="3093" t="str">
        <f>IF(D31="其他类型公式—收益价值×（1+9%）","销项税率","征收率")</f>
        <v>销项税率</v>
      </c>
      <c r="F31" s="3030">
        <f>IF(D31="其他类型公式—收益价值×（1+9%）",9%,3%)</f>
        <v>0.09</v>
      </c>
      <c r="G31" s="3076"/>
      <c r="H31" s="2910" t="s">
        <v>1356</v>
      </c>
      <c r="I31" s="3081" t="s">
        <v>1359</v>
      </c>
      <c r="J31" s="3022">
        <f ca="1">ROUND(J28/(1+F28)^F29,0)</f>
        <v>0</v>
      </c>
      <c r="K31" s="3246" t="s">
        <v>1360</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t="e">
        <f ca="1">ROUND(C31*10000/F32,0)</f>
        <v>#DIV/0!</v>
      </c>
      <c r="D32" s="3098" t="s">
        <v>1363</v>
      </c>
      <c r="E32" s="2798" t="s">
        <v>1364</v>
      </c>
      <c r="F32" s="3099">
        <f ca="1">INDIRECT("'数据-取费表'!k"&amp;$G$1)</f>
        <v>0</v>
      </c>
      <c r="G32" s="3076"/>
      <c r="H32" s="3095" t="s">
        <v>1361</v>
      </c>
      <c r="I32" s="3100" t="s">
        <v>1365</v>
      </c>
      <c r="J32" s="3247">
        <f ca="1">ROUND(J31*(1+F31),0)</f>
        <v>0</v>
      </c>
      <c r="K32" s="3102" t="str">
        <f>D31</f>
        <v>其他类型公式—收益价值×（1+9%）</v>
      </c>
      <c r="L32" s="3103"/>
      <c r="M32" s="3248"/>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1293</v>
      </c>
      <c r="B34" s="3107" t="s">
        <v>1294</v>
      </c>
      <c r="C34" s="3108" t="s">
        <v>1295</v>
      </c>
      <c r="D34" s="3107" t="s">
        <v>1296</v>
      </c>
      <c r="E34" s="3109" t="s">
        <v>1297</v>
      </c>
      <c r="F34" s="3110"/>
      <c r="G34" s="2995"/>
      <c r="H34" s="3106" t="s">
        <v>1293</v>
      </c>
      <c r="I34" s="3107" t="s">
        <v>1294</v>
      </c>
      <c r="J34" s="3108" t="s">
        <v>1295</v>
      </c>
      <c r="K34" s="3107" t="s">
        <v>1296</v>
      </c>
      <c r="L34" s="3109" t="s">
        <v>1297</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910" t="s">
        <v>1366</v>
      </c>
      <c r="B35" s="3081" t="s">
        <v>1367</v>
      </c>
      <c r="C35" s="3022">
        <f ca="1">SUM(C36:C41)</f>
        <v>0</v>
      </c>
      <c r="D35" s="3246" t="s">
        <v>1368</v>
      </c>
      <c r="E35" s="633"/>
      <c r="F35" s="634"/>
      <c r="G35" s="883"/>
      <c r="H35" s="3249" t="s">
        <v>1366</v>
      </c>
      <c r="I35" s="3250" t="s">
        <v>1369</v>
      </c>
      <c r="J35" s="1287">
        <f ca="1">C51</f>
        <v>0</v>
      </c>
      <c r="K35" s="3138" t="s">
        <v>1370</v>
      </c>
      <c r="L35" s="1280"/>
      <c r="M35" s="1281"/>
    </row>
    <row r="36" ht="18" customHeight="1" spans="1:37">
      <c r="A36" s="1315" t="s">
        <v>1038</v>
      </c>
      <c r="B36" s="2365" t="s">
        <v>1371</v>
      </c>
      <c r="C36" s="1103">
        <f ca="1">INDIRECT("'数据-取费表'!m"&amp;$G$1)+INDIRECT("'数据-取费表'!t"&amp;$G$1)</f>
        <v>0</v>
      </c>
      <c r="D36" s="2368" t="s">
        <v>1372</v>
      </c>
      <c r="E36" s="2368"/>
      <c r="F36" s="2795"/>
      <c r="G36" s="883"/>
      <c r="H36" s="3121" t="s">
        <v>1014</v>
      </c>
      <c r="I36" s="3122" t="s">
        <v>1179</v>
      </c>
      <c r="J36" s="803">
        <f ca="1">ROUND(J35*(1-M36),0)</f>
        <v>0</v>
      </c>
      <c r="K36" s="1301" t="s">
        <v>1373</v>
      </c>
      <c r="L36" s="1279" t="s">
        <v>1374</v>
      </c>
      <c r="M36" s="3030">
        <f ca="1">INDIRECT("'数据-取费表'!ad"&amp;$G$1)</f>
        <v>0</v>
      </c>
    </row>
    <row r="37" ht="18" customHeight="1" spans="1:37">
      <c r="A37" s="1315" t="s">
        <v>1042</v>
      </c>
      <c r="B37" s="3052" t="s">
        <v>754</v>
      </c>
      <c r="C37" s="1287">
        <f ca="1">ROUND(C36*F37,0)</f>
        <v>0</v>
      </c>
      <c r="D37" s="1301" t="s">
        <v>1375</v>
      </c>
      <c r="E37" s="1301" t="s">
        <v>1332</v>
      </c>
      <c r="F37" s="3054">
        <f>'数据-取费表'!B33</f>
        <v>0.06</v>
      </c>
      <c r="G37" s="883"/>
      <c r="H37" s="3123" t="s">
        <v>1376</v>
      </c>
      <c r="I37" s="3251" t="s">
        <v>1377</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ROUND(F39*(F32+INDIRECT("'数据-取费表'!S"&amp;$G$1))/10000,0)</f>
        <v>0</v>
      </c>
      <c r="D39" s="1301" t="s">
        <v>1382</v>
      </c>
      <c r="E39" s="1301" t="s">
        <v>1383</v>
      </c>
      <c r="F39" s="3134">
        <f>'数据-取费表'!B35</f>
        <v>300</v>
      </c>
      <c r="G39" s="883"/>
    </row>
    <row r="40" ht="18" customHeight="1" spans="1:37">
      <c r="A40" s="1315" t="s">
        <v>1384</v>
      </c>
      <c r="B40" s="3052" t="s">
        <v>760</v>
      </c>
      <c r="C40" s="1287">
        <f ca="1">ROUND(C36*F40,0)</f>
        <v>0</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0</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1388</v>
      </c>
      <c r="F43" s="3030">
        <f>'数据-取费表'!B39</f>
        <v>0.02</v>
      </c>
      <c r="G43" s="883"/>
      <c r="H43" s="713"/>
      <c r="I43" s="713"/>
      <c r="J43" s="713"/>
      <c r="K43" s="1337"/>
      <c r="L43" s="713"/>
      <c r="M43" s="713"/>
    </row>
    <row r="44" ht="18" customHeight="1" spans="1:37">
      <c r="A44" s="2910" t="s">
        <v>1391</v>
      </c>
      <c r="B44" s="3130" t="s">
        <v>1164</v>
      </c>
      <c r="C44" s="3131" t="str">
        <f ca="1">C45&amp;"+"&amp;C46&amp;"V建"</f>
        <v>0+0.0003V建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(建造成本+管理费用)×利率×(建设周期÷2)</v>
      </c>
      <c r="E45" s="1301" t="s">
        <v>1393</v>
      </c>
      <c r="F45" s="3134">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0+0V建</v>
      </c>
      <c r="D47" s="1295" t="s">
        <v>1397</v>
      </c>
      <c r="E47" s="2361"/>
      <c r="F47" s="3134"/>
      <c r="G47" s="883"/>
      <c r="H47" s="713"/>
      <c r="I47" s="713"/>
      <c r="J47" s="713"/>
      <c r="K47" s="1337"/>
      <c r="L47" s="713"/>
      <c r="M47" s="713"/>
    </row>
    <row r="48" ht="18" customHeight="1" spans="1:37">
      <c r="A48" s="1315" t="s">
        <v>1038</v>
      </c>
      <c r="B48" s="1301" t="s">
        <v>1398</v>
      </c>
      <c r="C48" s="1287">
        <f ca="1">ROUND((C35+C42)*F48,0)</f>
        <v>0</v>
      </c>
      <c r="D48" s="2776" t="s">
        <v>1399</v>
      </c>
      <c r="E48" s="1301" t="s">
        <v>1400</v>
      </c>
      <c r="F48" s="3030">
        <f ca="1">INDIRECT("'数据-取费表'!q"&amp;$G$1)</f>
        <v>0</v>
      </c>
      <c r="G48" s="883"/>
      <c r="H48" s="713"/>
      <c r="I48" s="713"/>
      <c r="J48" s="713"/>
      <c r="K48" s="1337"/>
      <c r="L48" s="713"/>
      <c r="M48" s="713"/>
    </row>
    <row r="49" ht="18" customHeight="1" spans="1:18">
      <c r="A49" s="1315" t="s">
        <v>1042</v>
      </c>
      <c r="B49" s="1301" t="s">
        <v>1401</v>
      </c>
      <c r="C49" s="3252">
        <f ca="1">ROUND(F43*F48,4)</f>
        <v>0</v>
      </c>
      <c r="D49" s="2776" t="s">
        <v>1402</v>
      </c>
      <c r="E49" s="1301"/>
      <c r="F49" s="3054"/>
      <c r="G49" s="883"/>
      <c r="H49" s="713"/>
      <c r="I49" s="713"/>
      <c r="J49" s="713"/>
      <c r="K49" s="1337"/>
      <c r="L49" s="713"/>
      <c r="M49" s="713"/>
    </row>
    <row r="50" ht="18" customHeight="1" spans="1:18">
      <c r="A50" s="2910" t="s">
        <v>1403</v>
      </c>
      <c r="B50" s="3081" t="s">
        <v>1404</v>
      </c>
      <c r="C50" s="3022">
        <f>ROUND(F50/(1+'数据-取费表'!C43),4)</f>
        <v>0</v>
      </c>
      <c r="D50" s="3135" t="s">
        <v>1405</v>
      </c>
      <c r="E50" s="3081"/>
      <c r="F50" s="3030"/>
      <c r="G50" s="883"/>
      <c r="H50" s="713"/>
      <c r="I50" s="713"/>
      <c r="J50" s="713"/>
      <c r="K50" s="1337"/>
      <c r="L50" s="713"/>
      <c r="M50" s="713"/>
    </row>
    <row r="51" s="883" customFormat="1" ht="18" customHeight="1" spans="1:18">
      <c r="A51" s="2910" t="s">
        <v>1406</v>
      </c>
      <c r="B51" s="3081" t="s">
        <v>1407</v>
      </c>
      <c r="C51" s="3022">
        <f ca="1">ROUND((C35+C42+C45+C48)/(1-F43-C46-C49-C50),0)</f>
        <v>0</v>
      </c>
      <c r="D51" s="3138" t="s">
        <v>1370</v>
      </c>
      <c r="E51" s="3081"/>
      <c r="F51" s="3030"/>
      <c r="K51" s="2821"/>
    </row>
    <row r="52" s="883" customFormat="1" ht="18" customHeight="1" spans="1:18">
      <c r="A52" s="3139" t="s">
        <v>1205</v>
      </c>
      <c r="B52" s="3130" t="s">
        <v>1179</v>
      </c>
      <c r="C52" s="3022">
        <f ca="1">ROUND(C51*(1-F52),0)</f>
        <v>0</v>
      </c>
      <c r="D52" s="3081" t="s">
        <v>1408</v>
      </c>
      <c r="E52" s="3081" t="s">
        <v>1409</v>
      </c>
      <c r="F52" s="3030">
        <f ca="1">INDIRECT("'数据-取费表'!y"&amp;$G$1)</f>
        <v>0</v>
      </c>
      <c r="K52" s="2821"/>
    </row>
    <row r="53" s="883" customFormat="1" ht="18" customHeight="1" spans="1:18">
      <c r="A53" s="3140" t="s">
        <v>1410</v>
      </c>
      <c r="B53" s="3141" t="s">
        <v>1411</v>
      </c>
      <c r="C53" s="3125">
        <f ca="1">C51-C52</f>
        <v>0</v>
      </c>
      <c r="D53" s="3126" t="s">
        <v>1378</v>
      </c>
      <c r="E53" s="2798"/>
      <c r="F53" s="3142"/>
      <c r="K53" s="2821"/>
    </row>
    <row r="54" s="883" customFormat="1" ht="18" customHeight="1" spans="1:18">
      <c r="A54" s="2819"/>
      <c r="B54" s="2819"/>
      <c r="C54" s="2820"/>
      <c r="D54" s="2819"/>
      <c r="E54" s="2819"/>
      <c r="F54" s="2819"/>
      <c r="I54" s="3143" t="s">
        <v>1412</v>
      </c>
      <c r="J54" s="2276"/>
      <c r="O54" s="3144" t="s">
        <v>1413</v>
      </c>
      <c r="P54" s="2818"/>
      <c r="Q54" s="2818"/>
      <c r="R54" s="2818"/>
    </row>
    <row r="55" s="883" customFormat="1" ht="13.5" spans="1:18">
      <c r="A55" s="2826" t="s">
        <v>1414</v>
      </c>
      <c r="C55" s="3253" t="e">
        <f ca="1">IF(D2="含税",C83-C31,C80-C28)</f>
        <v>#DIV/0!</v>
      </c>
      <c r="D55" s="2828" t="str">
        <f>C2</f>
        <v>万元</v>
      </c>
      <c r="E55" s="2819"/>
      <c r="F55" s="2819"/>
      <c r="I55" s="2829" t="s">
        <v>1415</v>
      </c>
      <c r="J55" s="2830"/>
      <c r="K55" s="2831"/>
      <c r="L55" s="3147" t="e">
        <f ca="1">IF(M56="住宅",0,IF(L57&gt;J60,L69,J69))</f>
        <v>#DIV/0!</v>
      </c>
      <c r="O55" s="3148" t="s">
        <v>952</v>
      </c>
      <c r="P55" s="3149" t="s">
        <v>1416</v>
      </c>
      <c r="Q55" s="3151" t="s">
        <v>1417</v>
      </c>
      <c r="R55" s="3151" t="s">
        <v>1418</v>
      </c>
    </row>
    <row r="56" s="883" customFormat="1" ht="13.5" spans="1:18">
      <c r="A56" s="3152" t="s">
        <v>1293</v>
      </c>
      <c r="B56" s="3153" t="s">
        <v>1294</v>
      </c>
      <c r="C56" s="3108" t="s">
        <v>1295</v>
      </c>
      <c r="D56" s="3153" t="s">
        <v>1296</v>
      </c>
      <c r="E56" s="3154" t="s">
        <v>1297</v>
      </c>
      <c r="F56" s="2354"/>
      <c r="G56" s="2839"/>
      <c r="I56" s="2840" t="s">
        <v>1419</v>
      </c>
      <c r="J56" s="2841"/>
      <c r="K56" s="2842" t="s">
        <v>1420</v>
      </c>
      <c r="L56" s="3156">
        <f ca="1">INDIRECT("'数据-取费表'!d"&amp;$G$1)</f>
        <v>0</v>
      </c>
      <c r="M56" s="2844" t="str">
        <f>IF(ISNUMBER(FIND("住宅",C1)),"住宅","非住宅")</f>
        <v>非住宅</v>
      </c>
      <c r="O56" s="3157" t="s">
        <v>1143</v>
      </c>
      <c r="P56" s="3165" t="s">
        <v>1421</v>
      </c>
      <c r="Q56" s="3205">
        <f ca="1">C28+J31</f>
        <v>0</v>
      </c>
      <c r="R56" s="3160" t="s">
        <v>1422</v>
      </c>
    </row>
    <row r="57" s="883" customFormat="1" ht="39" spans="1:18">
      <c r="A57" s="2875" t="s">
        <v>1121</v>
      </c>
      <c r="B57" s="2707" t="s">
        <v>1423</v>
      </c>
      <c r="C57" s="3161">
        <f ca="1">ROUND(C58+C62+C64,0)</f>
        <v>0</v>
      </c>
      <c r="D57" s="3010" t="s">
        <v>1299</v>
      </c>
      <c r="E57" s="3162"/>
      <c r="F57" s="2851"/>
      <c r="G57" s="2839"/>
      <c r="H57" s="2852"/>
      <c r="I57" s="2853" t="s">
        <v>1424</v>
      </c>
      <c r="J57" s="2854"/>
      <c r="K57" s="2855" t="s">
        <v>1425</v>
      </c>
      <c r="L57" s="3164">
        <f ca="1">INDIRECT("'数据-取费表'!f"&amp;$G$1)</f>
        <v>0</v>
      </c>
      <c r="O57" s="3157" t="s">
        <v>1146</v>
      </c>
      <c r="P57" s="3165" t="s">
        <v>1426</v>
      </c>
      <c r="Q57" s="3205" t="e">
        <f ca="1">J69</f>
        <v>#DIV/0!</v>
      </c>
      <c r="R57" s="3160" t="s">
        <v>1427</v>
      </c>
    </row>
    <row r="58" s="883" customFormat="1" ht="15" spans="1:18">
      <c r="A58" s="3166" t="s">
        <v>1009</v>
      </c>
      <c r="B58" s="3015" t="s">
        <v>1300</v>
      </c>
      <c r="C58" s="3254">
        <f ca="1">C59-C61</f>
        <v>0</v>
      </c>
      <c r="D58" s="1279" t="s">
        <v>1301</v>
      </c>
      <c r="E58" s="3168" t="s">
        <v>1428</v>
      </c>
      <c r="F58" s="3255"/>
      <c r="G58" s="2863"/>
      <c r="H58" s="2852"/>
      <c r="I58" s="2853" t="s">
        <v>1429</v>
      </c>
      <c r="J58" s="3170"/>
      <c r="K58" s="2855" t="s">
        <v>1430</v>
      </c>
      <c r="L58" s="3171"/>
      <c r="O58" s="2866" t="s">
        <v>1431</v>
      </c>
      <c r="P58" s="2846" t="s">
        <v>1432</v>
      </c>
      <c r="Q58" s="3210">
        <f ca="1">C51</f>
        <v>0</v>
      </c>
      <c r="R58" s="2847" t="s">
        <v>1433</v>
      </c>
    </row>
    <row r="59" s="883" customFormat="1" ht="13.5" spans="1:18">
      <c r="A59" s="3174" t="s">
        <v>1038</v>
      </c>
      <c r="B59" s="3256" t="s">
        <v>1303</v>
      </c>
      <c r="C59" s="3234">
        <f ca="1">ROUND(F58*F60*F59/10000,2)</f>
        <v>0</v>
      </c>
      <c r="D59" s="3023" t="s">
        <v>1304</v>
      </c>
      <c r="E59" s="2870" t="s">
        <v>1305</v>
      </c>
      <c r="F59" s="3175">
        <f ca="1">F7</f>
        <v>0</v>
      </c>
      <c r="H59" s="2852"/>
      <c r="I59" s="2853" t="s">
        <v>1434</v>
      </c>
      <c r="J59" s="3257">
        <f>SUMPRODUCT((I72:I74=J56)*(J71:L71=J57)*(J72:L74))</f>
        <v>0</v>
      </c>
      <c r="K59" s="2855" t="s">
        <v>1435</v>
      </c>
      <c r="L59" s="3171"/>
      <c r="M59" s="2873"/>
      <c r="O59" s="2866" t="s">
        <v>1436</v>
      </c>
      <c r="P59" s="2846" t="s">
        <v>1437</v>
      </c>
      <c r="Q59" s="3177" t="e">
        <f ca="1">J67</f>
        <v>#DIV/0!</v>
      </c>
      <c r="R59" s="2847"/>
    </row>
    <row r="60" s="883" customFormat="1" ht="13.5" spans="1:18">
      <c r="A60" s="3258"/>
      <c r="B60" s="3256"/>
      <c r="C60" s="3240"/>
      <c r="D60" s="3023"/>
      <c r="E60" s="2876" t="str">
        <f ca="1">IF(F60=1,"年",IF(F60=12,"月","天"))</f>
        <v>天</v>
      </c>
      <c r="F60" s="3028">
        <f ca="1">F8</f>
        <v>0</v>
      </c>
      <c r="I60" s="2877" t="s">
        <v>1438</v>
      </c>
      <c r="J60" s="3164">
        <f>IF(J58="",J59,J58+J59-YEAR('数据-取费表'!B2))</f>
        <v>0</v>
      </c>
      <c r="K60" s="2878" t="s">
        <v>1439</v>
      </c>
      <c r="L60" s="3180">
        <f ca="1">ROUND(-PV(INDIRECT("'数据-取费表'!h"&amp;$G$1),J60,(C27-C52*C88),0),0)</f>
        <v>0</v>
      </c>
      <c r="M60" s="2880"/>
      <c r="O60" s="2866" t="s">
        <v>1440</v>
      </c>
      <c r="P60" s="2846" t="s">
        <v>1441</v>
      </c>
      <c r="Q60" s="3177">
        <f>J61</f>
        <v>0</v>
      </c>
      <c r="R60" s="2847"/>
    </row>
    <row r="61" s="883" customFormat="1" ht="13.5" spans="1:18">
      <c r="A61" s="3259" t="s">
        <v>1042</v>
      </c>
      <c r="B61" s="3256" t="s">
        <v>1306</v>
      </c>
      <c r="C61" s="3260">
        <f ca="1">ROUND(C59*F61,2)</f>
        <v>0</v>
      </c>
      <c r="D61" s="1279" t="s">
        <v>1307</v>
      </c>
      <c r="E61" s="2876" t="s">
        <v>1308</v>
      </c>
      <c r="F61" s="3183"/>
      <c r="I61" s="2882" t="s">
        <v>1442</v>
      </c>
      <c r="J61" s="3184"/>
      <c r="K61" s="2882" t="s">
        <v>1443</v>
      </c>
      <c r="L61" s="3184"/>
      <c r="O61" s="2866" t="s">
        <v>1444</v>
      </c>
      <c r="P61" s="2846" t="s">
        <v>1445</v>
      </c>
      <c r="Q61" s="3173">
        <f ca="1">J62</f>
        <v>0</v>
      </c>
      <c r="R61" s="2847" t="s">
        <v>1446</v>
      </c>
    </row>
    <row r="62" s="883" customFormat="1" ht="25.5" spans="1:18">
      <c r="A62" s="3186" t="s">
        <v>1014</v>
      </c>
      <c r="B62" s="3187" t="s">
        <v>1309</v>
      </c>
      <c r="C62" s="3232">
        <f ca="1">ROUND(IF(F62="押一",C58/12*F11,IF(F62="押二",C58/12*2*F11,IF(F62="押三",C58/12*3*F11,C63*F11))),2)</f>
        <v>0</v>
      </c>
      <c r="D62" s="2731" t="s">
        <v>1310</v>
      </c>
      <c r="E62" s="2728" t="s">
        <v>1311</v>
      </c>
      <c r="F62" s="3261"/>
      <c r="I62" s="2885" t="s">
        <v>1447</v>
      </c>
      <c r="J62" s="3189">
        <f ca="1">IF(M56="住宅",IF(D1="——",MAX(J60,L57),MAX(J60,L57-'数据-取费表'!B24)),IF(D1="——",MIN(J60,L57),MIN(J60,L57-'数据-取费表'!B24)))</f>
        <v>0</v>
      </c>
      <c r="K62" s="2887" t="s">
        <v>1448</v>
      </c>
      <c r="L62" s="2888"/>
      <c r="O62" s="3157" t="s">
        <v>1449</v>
      </c>
      <c r="P62" s="3158" t="s">
        <v>1450</v>
      </c>
      <c r="Q62" s="3205" t="e">
        <f ca="1">ROUND((Q56+Q57)*(1+F31),0)</f>
        <v>#DIV/0!</v>
      </c>
      <c r="R62" s="3160" t="s">
        <v>1451</v>
      </c>
    </row>
    <row r="63" s="883" customFormat="1" ht="13.5" spans="1:18">
      <c r="A63" s="3262"/>
      <c r="B63" s="3037" t="str">
        <f>IF(OR(F62="自定义",F62=" "),"（自定义押金）","")</f>
        <v/>
      </c>
      <c r="C63" s="3235"/>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3"/>
      <c r="K63" s="2893"/>
      <c r="L63" s="2893"/>
      <c r="M63" s="2863"/>
      <c r="O63" s="2825" t="s">
        <v>1452</v>
      </c>
      <c r="P63" s="2894"/>
      <c r="Q63" s="2894"/>
      <c r="R63" s="2894"/>
    </row>
    <row r="64" s="883" customFormat="1" ht="13.5" spans="1:18">
      <c r="A64" s="3264" t="s">
        <v>1065</v>
      </c>
      <c r="B64" s="2741" t="s">
        <v>1313</v>
      </c>
      <c r="C64" s="3265"/>
      <c r="D64" s="2731"/>
      <c r="E64" s="2890"/>
      <c r="F64" s="2891"/>
      <c r="I64" s="2895" t="s">
        <v>1453</v>
      </c>
      <c r="J64" s="3266" t="e">
        <f ca="1">ROUND(IF(J56="钢混",J66/J59,1-(1-2%)*(J59-J66)/J59),3)</f>
        <v>#DIV/0!</v>
      </c>
      <c r="K64" s="2897" t="s">
        <v>1454</v>
      </c>
      <c r="L64" s="2898"/>
      <c r="O64" s="3148" t="s">
        <v>952</v>
      </c>
      <c r="P64" s="3149" t="s">
        <v>1416</v>
      </c>
      <c r="Q64" s="3151" t="s">
        <v>1417</v>
      </c>
      <c r="R64" s="3151" t="s">
        <v>1418</v>
      </c>
    </row>
    <row r="65" s="883" customFormat="1" ht="25.5" spans="1:18">
      <c r="A65" s="2910" t="s">
        <v>1314</v>
      </c>
      <c r="B65" s="2900" t="s">
        <v>1315</v>
      </c>
      <c r="C65" s="3022">
        <f ca="1">ROUND(C66+C74+C76+C78,0)</f>
        <v>0</v>
      </c>
      <c r="D65" s="2900" t="s">
        <v>1455</v>
      </c>
      <c r="E65" s="2912"/>
      <c r="F65" s="2851"/>
      <c r="I65" s="2902" t="s">
        <v>1456</v>
      </c>
      <c r="J65" s="3267"/>
      <c r="K65" s="2853" t="s">
        <v>1457</v>
      </c>
      <c r="L65" s="3164">
        <f ca="1">IF(L57&lt;J60,"——",L57-J62)</f>
        <v>0</v>
      </c>
      <c r="O65" s="3157" t="s">
        <v>1143</v>
      </c>
      <c r="P65" s="3165" t="s">
        <v>1421</v>
      </c>
      <c r="Q65" s="3205">
        <f ca="1">C28+J31</f>
        <v>0</v>
      </c>
      <c r="R65" s="3160" t="s">
        <v>1422</v>
      </c>
    </row>
    <row r="66" s="883" customFormat="1" ht="24.75" spans="1:18">
      <c r="A66" s="1282" t="s">
        <v>1009</v>
      </c>
      <c r="B66" s="1306" t="s">
        <v>1318</v>
      </c>
      <c r="C66" s="3232">
        <f ca="1">ROUND(IF(AND(项目基本情况!B11="自然人",项目基本情况!B10="北京市",M56="住宅"),C58*F66,C67+C71+C72),2)</f>
        <v>0</v>
      </c>
      <c r="D66" s="2914" t="s">
        <v>1319</v>
      </c>
      <c r="E66" s="2914" t="str">
        <f>E14</f>
        <v/>
      </c>
      <c r="F66" s="3047" t="str">
        <f ca="1">IF(M56="非住宅","",IF(F58*F59*F60/12/(1+'数据-取费表'!F30)&gt;100000,4%,2.5%))</f>
        <v/>
      </c>
      <c r="I66" s="2908" t="s">
        <v>1458</v>
      </c>
      <c r="J66" s="3194">
        <f ca="1">IF(OR(M56="住宅",J60&lt;L57,J65="是"),"——",J60-L57)</f>
        <v>0</v>
      </c>
      <c r="K66" s="2853" t="s">
        <v>1459</v>
      </c>
      <c r="L66" s="3195">
        <f ca="1">IF(L57&lt;J60,"——",IF(L64="比较法",L58,IF(L64="基准地价",L59,L60)))</f>
        <v>0</v>
      </c>
      <c r="O66" s="3157" t="s">
        <v>1146</v>
      </c>
      <c r="P66" s="3165" t="s">
        <v>1460</v>
      </c>
      <c r="Q66" s="3159" t="e">
        <f ca="1">L69</f>
        <v>#DIV/0!</v>
      </c>
      <c r="R66" s="3160" t="s">
        <v>1461</v>
      </c>
    </row>
    <row r="67" s="883" customFormat="1" ht="24.75" spans="1:18">
      <c r="A67" s="3020" t="s">
        <v>1038</v>
      </c>
      <c r="B67" s="3017" t="s">
        <v>1321</v>
      </c>
      <c r="C67" s="3232">
        <f ca="1">C70</f>
        <v>0</v>
      </c>
      <c r="D67" s="1104" t="s">
        <v>1322</v>
      </c>
      <c r="E67" s="3049"/>
      <c r="F67" s="3050"/>
      <c r="I67" s="2908" t="s">
        <v>1462</v>
      </c>
      <c r="J67" s="3196" t="e">
        <f ca="1">IF(J64&lt;0.4,0.4,J64)</f>
        <v>#DIV/0!</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3232">
        <f ca="1">ROUND(C58*F68,2)</f>
        <v>0</v>
      </c>
      <c r="D68" s="633" t="s">
        <v>1323</v>
      </c>
      <c r="E68" s="3053" t="s">
        <v>1324</v>
      </c>
      <c r="F68" s="3054">
        <f>F16</f>
        <v>0.09</v>
      </c>
      <c r="I68" s="2908" t="s">
        <v>1465</v>
      </c>
      <c r="J68" s="3197"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3232">
        <f ca="1">ROUND(C74*F68+((C76+C78)*F69),2)</f>
        <v>0</v>
      </c>
      <c r="D69" s="3055" t="s">
        <v>1326</v>
      </c>
      <c r="E69" s="3058"/>
      <c r="F69" s="3054">
        <f t="shared" ref="F69:F70" si="0">F17</f>
        <v>0.06</v>
      </c>
      <c r="I69" s="2916" t="s">
        <v>1467</v>
      </c>
      <c r="J69" s="3198" t="e">
        <f ca="1">IF(OR(M56="住宅",J60&lt;L57,J65="是"),"0",ROUND(J68/(1+J61)^J62,0))</f>
        <v>#DIV/0!</v>
      </c>
      <c r="K69" s="2918" t="s">
        <v>1468</v>
      </c>
      <c r="L69" s="3198" t="e">
        <f ca="1">IF(OR(M56="住宅",L57&lt;J60),0,ROUND(L66*(L67/L68-1),0))</f>
        <v>#DIV/0!</v>
      </c>
      <c r="O69" s="2866" t="s">
        <v>1440</v>
      </c>
      <c r="P69" s="2846" t="s">
        <v>1469</v>
      </c>
      <c r="Q69" s="3199" t="e">
        <f ca="1">L67</f>
        <v>#DIV/0!</v>
      </c>
      <c r="R69" s="2847" t="s">
        <v>1470</v>
      </c>
    </row>
    <row r="70" s="883" customFormat="1" ht="13.5" spans="1:18">
      <c r="A70" s="662" t="s">
        <v>1150</v>
      </c>
      <c r="B70" s="3052" t="s">
        <v>1330</v>
      </c>
      <c r="C70" s="3232">
        <f ca="1">ROUND((C68-C69)*F70,2)</f>
        <v>0</v>
      </c>
      <c r="D70" s="3048" t="s">
        <v>1328</v>
      </c>
      <c r="E70" s="1301" t="s">
        <v>1329</v>
      </c>
      <c r="F70" s="3054">
        <f t="shared" si="0"/>
        <v>0.12</v>
      </c>
      <c r="I70" s="2818"/>
      <c r="J70" s="2818"/>
      <c r="K70" s="2818"/>
      <c r="L70" s="2818"/>
      <c r="O70" s="2866" t="s">
        <v>1444</v>
      </c>
      <c r="P70" s="2846" t="str">
        <f>K68</f>
        <v>建筑物剩余耐用年限下的土地年期修正系数Kn</v>
      </c>
      <c r="Q70" s="3199" t="e">
        <f ca="1">L68</f>
        <v>#DIV/0!</v>
      </c>
      <c r="R70" s="2847" t="s">
        <v>1471</v>
      </c>
    </row>
    <row r="71" s="883" customFormat="1" ht="25.5" spans="1:18">
      <c r="A71" s="3268" t="s">
        <v>1042</v>
      </c>
      <c r="B71" s="1306" t="s">
        <v>1331</v>
      </c>
      <c r="C71" s="3232">
        <f ca="1">IF(项目基本情况!B11="自然人","——",IF(D71="按不含税租金收入（有效毛租金收入）计税",ROUND(C58*F71/(1+'数据-取费表'!C43),2),IF(D71="按房产原值计税",ROUND(F74*F71*0.7,2),INDIRECT("'数据-取费表'!Aj"&amp;$G$1))))</f>
        <v>0</v>
      </c>
      <c r="D71" s="2775"/>
      <c r="E71" s="1343" t="s">
        <v>1332</v>
      </c>
      <c r="F71" s="3054">
        <f t="shared" ref="F71:F73" si="1">F19</f>
        <v>0.012</v>
      </c>
      <c r="I71" s="2921" t="s">
        <v>1472</v>
      </c>
      <c r="J71" s="2922" t="s">
        <v>1473</v>
      </c>
      <c r="K71" s="2922" t="s">
        <v>1474</v>
      </c>
      <c r="L71" s="2922" t="s">
        <v>1475</v>
      </c>
      <c r="M71" s="804" t="s">
        <v>1476</v>
      </c>
      <c r="O71" s="3157" t="s">
        <v>1449</v>
      </c>
      <c r="P71" s="3158" t="s">
        <v>1450</v>
      </c>
      <c r="Q71" s="3159" t="e">
        <f ca="1">ROUND((Q65+Q66)*(1+F31),0)</f>
        <v>#DIV/0!</v>
      </c>
      <c r="R71" s="3160" t="s">
        <v>1451</v>
      </c>
    </row>
    <row r="72" s="883" customFormat="1" ht="13.5" spans="1:18">
      <c r="A72" s="3020" t="s">
        <v>1045</v>
      </c>
      <c r="B72" s="3269" t="s">
        <v>1333</v>
      </c>
      <c r="C72" s="3234">
        <f ca="1">IF(项目基本情况!B11="自然人","——",ROUND(F72*F73/10000,2))</f>
        <v>0</v>
      </c>
      <c r="D72" s="2920" t="s">
        <v>1334</v>
      </c>
      <c r="E72" s="1343" t="s">
        <v>1335</v>
      </c>
      <c r="F72" s="3018">
        <f t="shared" si="1"/>
        <v>0</v>
      </c>
      <c r="I72" s="2921" t="s">
        <v>1477</v>
      </c>
      <c r="J72" s="3202">
        <v>70</v>
      </c>
      <c r="K72" s="3202">
        <v>50</v>
      </c>
      <c r="L72" s="3202">
        <v>80</v>
      </c>
      <c r="M72" s="2925">
        <v>0.02</v>
      </c>
      <c r="O72" s="2825" t="s">
        <v>1478</v>
      </c>
      <c r="P72" s="2894"/>
      <c r="Q72" s="2894"/>
      <c r="R72" s="2894"/>
    </row>
    <row r="73" s="883" customFormat="1" ht="13.5" spans="1:18">
      <c r="A73" s="2780"/>
      <c r="B73" s="3270"/>
      <c r="C73" s="3240"/>
      <c r="D73" s="2924"/>
      <c r="E73" s="1343" t="s">
        <v>1336</v>
      </c>
      <c r="F73" s="3064">
        <f ca="1" t="shared" si="1"/>
        <v>0</v>
      </c>
      <c r="I73" s="2921" t="s">
        <v>1479</v>
      </c>
      <c r="J73" s="3202">
        <v>50</v>
      </c>
      <c r="K73" s="3202">
        <v>35</v>
      </c>
      <c r="L73" s="3202">
        <v>60</v>
      </c>
      <c r="M73" s="804">
        <v>0</v>
      </c>
      <c r="O73" s="2833" t="s">
        <v>1480</v>
      </c>
      <c r="P73" s="2834" t="s">
        <v>1481</v>
      </c>
      <c r="Q73" s="2835" t="s">
        <v>1482</v>
      </c>
      <c r="R73" s="2835" t="s">
        <v>1483</v>
      </c>
    </row>
    <row r="74" s="883" customFormat="1" ht="13.5" spans="1:18">
      <c r="A74" s="3203" t="s">
        <v>1014</v>
      </c>
      <c r="B74" s="2919" t="s">
        <v>1337</v>
      </c>
      <c r="C74" s="3241">
        <f ca="1">ROUND(F74*F75,2)</f>
        <v>0</v>
      </c>
      <c r="D74" s="3204" t="s">
        <v>1338</v>
      </c>
      <c r="E74" s="3271" t="s">
        <v>1484</v>
      </c>
      <c r="F74" s="3180">
        <f ca="1">C51</f>
        <v>0</v>
      </c>
      <c r="I74" s="2921" t="s">
        <v>1485</v>
      </c>
      <c r="J74" s="3202">
        <v>40</v>
      </c>
      <c r="K74" s="3202">
        <v>30</v>
      </c>
      <c r="L74" s="3202">
        <v>50</v>
      </c>
      <c r="M74" s="2925">
        <v>0.02</v>
      </c>
      <c r="O74" s="3157" t="s">
        <v>1143</v>
      </c>
      <c r="P74" s="3165" t="s">
        <v>1421</v>
      </c>
      <c r="Q74" s="3205">
        <f ca="1">C28+J31</f>
        <v>0</v>
      </c>
      <c r="R74" s="3160" t="s">
        <v>1422</v>
      </c>
    </row>
    <row r="75" s="883" customFormat="1" ht="17.25" spans="1:18">
      <c r="A75" s="3272"/>
      <c r="B75" s="2923"/>
      <c r="C75" s="3242"/>
      <c r="D75" s="3207"/>
      <c r="E75" s="1343" t="s">
        <v>1332</v>
      </c>
      <c r="F75" s="3030">
        <f ca="1">F22</f>
        <v>0</v>
      </c>
      <c r="O75" s="3157" t="s">
        <v>1146</v>
      </c>
      <c r="P75" s="3165" t="s">
        <v>1460</v>
      </c>
      <c r="Q75" s="3159" t="e">
        <f ca="1">L69</f>
        <v>#DIV/0!</v>
      </c>
      <c r="R75" s="3160" t="s">
        <v>1461</v>
      </c>
    </row>
    <row r="76" s="883" customFormat="1" ht="13.5" spans="1:18">
      <c r="A76" s="3203" t="s">
        <v>1065</v>
      </c>
      <c r="B76" s="2919" t="s">
        <v>1340</v>
      </c>
      <c r="C76" s="3241">
        <f ca="1">ROUND(F76*F77,2)</f>
        <v>0</v>
      </c>
      <c r="D76" s="3204" t="s">
        <v>1341</v>
      </c>
      <c r="E76" s="3271" t="s">
        <v>1411</v>
      </c>
      <c r="F76" s="3209">
        <f ca="1">C53</f>
        <v>0</v>
      </c>
      <c r="O76" s="2845"/>
      <c r="P76" s="2846"/>
      <c r="Q76" s="3173"/>
      <c r="R76" s="2847"/>
    </row>
    <row r="77" s="883" customFormat="1" ht="17.25" spans="1:18">
      <c r="A77" s="3206"/>
      <c r="B77" s="2923"/>
      <c r="C77" s="3242"/>
      <c r="D77" s="3207"/>
      <c r="E77" s="1343" t="s">
        <v>1332</v>
      </c>
      <c r="F77" s="3030">
        <f ca="1">F24</f>
        <v>0</v>
      </c>
      <c r="O77" s="2866" t="s">
        <v>1431</v>
      </c>
      <c r="P77" s="2846" t="s">
        <v>1464</v>
      </c>
      <c r="Q77" s="3210">
        <f ca="1">L60</f>
        <v>0</v>
      </c>
      <c r="R77" s="2847" t="s">
        <v>1486</v>
      </c>
    </row>
    <row r="78" s="883" customFormat="1" ht="13.5" spans="1:18">
      <c r="A78" s="3206" t="s">
        <v>1070</v>
      </c>
      <c r="B78" s="1343" t="s">
        <v>1344</v>
      </c>
      <c r="C78" s="3232">
        <f ca="1">ROUND(C57*F78,2)</f>
        <v>0</v>
      </c>
      <c r="D78" s="2915" t="s">
        <v>1345</v>
      </c>
      <c r="E78" s="1343" t="s">
        <v>1332</v>
      </c>
      <c r="F78" s="3030">
        <f ca="1">F26</f>
        <v>0</v>
      </c>
      <c r="O78" s="2866"/>
      <c r="P78" s="2846"/>
      <c r="Q78" s="3210"/>
      <c r="R78" s="2847"/>
    </row>
    <row r="79" s="883" customFormat="1" ht="17.25" spans="1:18">
      <c r="A79" s="2899" t="s">
        <v>1181</v>
      </c>
      <c r="B79" s="2926" t="s">
        <v>1346</v>
      </c>
      <c r="C79" s="3022">
        <f ca="1">C57-C65</f>
        <v>0</v>
      </c>
      <c r="D79" s="2926" t="s">
        <v>1347</v>
      </c>
      <c r="E79" s="3211"/>
      <c r="F79" s="3212"/>
      <c r="O79" s="2866" t="s">
        <v>1436</v>
      </c>
      <c r="P79" s="2932" t="s">
        <v>1487</v>
      </c>
      <c r="Q79" s="3210">
        <f ca="1">ROUND(Q80-Q81*Q82,0)</f>
        <v>0</v>
      </c>
      <c r="R79" s="2847" t="s">
        <v>1488</v>
      </c>
    </row>
    <row r="80" s="883" customFormat="1" ht="13.5" spans="1:18">
      <c r="A80" s="3213" t="s">
        <v>1348</v>
      </c>
      <c r="B80" s="2931" t="s">
        <v>1349</v>
      </c>
      <c r="C80" s="3032" t="e">
        <f ca="1">ROUND(C79*(1-((1+F82)/(1+F80))^F81)/(F80-F82),0)</f>
        <v>#DIV/0!</v>
      </c>
      <c r="D80" s="3214" t="s">
        <v>1350</v>
      </c>
      <c r="E80" s="2900" t="s">
        <v>1351</v>
      </c>
      <c r="F80" s="3030">
        <f ca="1">F28</f>
        <v>0</v>
      </c>
      <c r="O80" s="2866" t="s">
        <v>1489</v>
      </c>
      <c r="P80" s="2932" t="s">
        <v>1490</v>
      </c>
      <c r="Q80" s="3210">
        <f ca="1">C27</f>
        <v>0</v>
      </c>
      <c r="R80" s="2847" t="s">
        <v>1433</v>
      </c>
    </row>
    <row r="81" s="883" customFormat="1" ht="13.5" spans="1:18">
      <c r="A81" s="3215"/>
      <c r="B81" s="2934"/>
      <c r="C81" s="3009"/>
      <c r="D81" s="3216" t="s">
        <v>1353</v>
      </c>
      <c r="E81" s="2900" t="s">
        <v>1354</v>
      </c>
      <c r="F81" s="3086">
        <f ca="1">F29</f>
        <v>0</v>
      </c>
      <c r="O81" s="2866" t="s">
        <v>1491</v>
      </c>
      <c r="P81" s="2932" t="s">
        <v>1492</v>
      </c>
      <c r="Q81" s="3210">
        <f ca="1">C52</f>
        <v>0</v>
      </c>
      <c r="R81" s="2847" t="s">
        <v>1433</v>
      </c>
    </row>
    <row r="82" s="883" customFormat="1" ht="13.5" spans="1:18">
      <c r="A82" s="3273"/>
      <c r="B82" s="3274"/>
      <c r="C82" s="3274"/>
      <c r="D82" s="3219"/>
      <c r="E82" s="2900" t="s">
        <v>1355</v>
      </c>
      <c r="F82" s="3183"/>
      <c r="O82" s="2866" t="s">
        <v>1493</v>
      </c>
      <c r="P82" s="2932" t="s">
        <v>1494</v>
      </c>
      <c r="Q82" s="3177">
        <f ca="1">C88</f>
        <v>0</v>
      </c>
      <c r="R82" s="2847"/>
    </row>
    <row r="83" s="883" customFormat="1" ht="13.5" spans="1:18">
      <c r="A83" s="2936" t="s">
        <v>1356</v>
      </c>
      <c r="B83" s="3220" t="s">
        <v>1495</v>
      </c>
      <c r="C83" s="3041" t="e">
        <f ca="1">ROUND(C80*(1+F31),0)</f>
        <v>#DIV/0!</v>
      </c>
      <c r="D83" s="3275" t="str">
        <f>D31</f>
        <v>其他类型公式—收益价值×（1+9%）</v>
      </c>
      <c r="E83" s="2691"/>
      <c r="F83" s="3222"/>
      <c r="O83" s="2866" t="s">
        <v>1440</v>
      </c>
      <c r="P83" s="2846" t="s">
        <v>1466</v>
      </c>
      <c r="Q83" s="3177">
        <f>L61</f>
        <v>0</v>
      </c>
      <c r="R83" s="2847"/>
    </row>
    <row r="84" ht="17.25" spans="1:18">
      <c r="A84" s="2938" t="s">
        <v>1361</v>
      </c>
      <c r="B84" s="2939" t="s">
        <v>1362</v>
      </c>
      <c r="C84" s="3125" t="e">
        <f ca="1">ROUND(C83*10000/F84,0)</f>
        <v>#DIV/0!</v>
      </c>
      <c r="D84" s="3223" t="s">
        <v>1363</v>
      </c>
      <c r="E84" s="2939" t="s">
        <v>1364</v>
      </c>
      <c r="F84" s="3099">
        <f ca="1">F32</f>
        <v>0</v>
      </c>
      <c r="G84" s="883"/>
      <c r="H84" s="883"/>
      <c r="O84" s="2866" t="s">
        <v>1444</v>
      </c>
      <c r="P84" s="2846" t="s">
        <v>1469</v>
      </c>
      <c r="Q84" s="3276" t="e">
        <f ca="1">L67</f>
        <v>#DIV/0!</v>
      </c>
      <c r="R84" s="2847" t="s">
        <v>1470</v>
      </c>
    </row>
    <row r="85" ht="13.5" spans="1:18">
      <c r="A85" s="883"/>
      <c r="B85" s="2276"/>
      <c r="C85" s="2276"/>
      <c r="D85" s="883"/>
      <c r="E85" s="883"/>
      <c r="F85" s="883"/>
      <c r="O85" s="2866" t="s">
        <v>1496</v>
      </c>
      <c r="P85" s="2846" t="str">
        <f>K68</f>
        <v>建筑物剩余耐用年限下的土地年期修正系数Kn</v>
      </c>
      <c r="Q85" s="3276" t="e">
        <f ca="1">L68</f>
        <v>#DIV/0!</v>
      </c>
      <c r="R85" s="2847" t="s">
        <v>1471</v>
      </c>
    </row>
    <row r="86" ht="25.5" spans="1:18">
      <c r="A86" s="883"/>
      <c r="B86" s="495" t="s">
        <v>1497</v>
      </c>
      <c r="C86" s="2942"/>
      <c r="D86" s="883"/>
      <c r="E86" s="883"/>
      <c r="F86" s="883"/>
      <c r="K86" s="2821"/>
      <c r="L86" s="883"/>
      <c r="O86" s="3157" t="s">
        <v>1449</v>
      </c>
      <c r="P86" s="3158" t="s">
        <v>1450</v>
      </c>
      <c r="Q86" s="3205" t="e">
        <f ca="1">ROUND((Q74+Q75)*(1+F31),0)</f>
        <v>#DIV/0!</v>
      </c>
      <c r="R86" s="3160" t="s">
        <v>1451</v>
      </c>
    </row>
    <row r="87" spans="1:18">
      <c r="A87" s="883"/>
      <c r="B87" s="2943" t="s">
        <v>1498</v>
      </c>
      <c r="C87" s="1807">
        <f ca="1">ROUND(C53*C88,0)</f>
        <v>0</v>
      </c>
      <c r="D87" s="883"/>
      <c r="E87" s="883"/>
      <c r="F87" s="883"/>
      <c r="I87" s="883"/>
      <c r="J87" s="883"/>
      <c r="K87" s="2821"/>
      <c r="L87" s="883"/>
    </row>
    <row r="88" spans="1:18">
      <c r="B88" s="837" t="s">
        <v>1499</v>
      </c>
      <c r="C88" s="3224">
        <f ca="1">INDIRECT("'数据-取费表'!j"&amp;$G$1)</f>
        <v>0</v>
      </c>
      <c r="I88" s="883"/>
      <c r="J88" s="883"/>
      <c r="K88" s="2821"/>
      <c r="L88" s="883"/>
    </row>
    <row r="89" spans="1:18">
      <c r="B89" s="2946" t="s">
        <v>1500</v>
      </c>
      <c r="C89" s="2947"/>
    </row>
    <row r="90" spans="1:18">
      <c r="B90" s="493" t="s">
        <v>1501</v>
      </c>
      <c r="C90" s="2948"/>
    </row>
    <row r="91" spans="1:18">
      <c r="B91" s="2943" t="s">
        <v>1502</v>
      </c>
      <c r="C91" s="3225" t="e">
        <f ca="1">1-C92</f>
        <v>#DIV/0!</v>
      </c>
    </row>
    <row r="92" spans="1:18">
      <c r="B92" s="2943" t="s">
        <v>1503</v>
      </c>
      <c r="C92" s="3225" t="e">
        <f ca="1">ROUND(C87/C27,3)</f>
        <v>#DIV/0!</v>
      </c>
    </row>
    <row r="93" spans="1:18">
      <c r="B93" s="493" t="s">
        <v>1504</v>
      </c>
      <c r="C93" s="460"/>
    </row>
    <row r="94" spans="1:18">
      <c r="B94" s="495" t="s">
        <v>1214</v>
      </c>
      <c r="C94" s="3226" t="e">
        <f ca="1">1-C95</f>
        <v>#DIV/0!</v>
      </c>
    </row>
    <row r="95" spans="1:18">
      <c r="B95" s="495" t="s">
        <v>1215</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D19" workbookViewId="0">
      <selection activeCell="E47" sqref="E4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1509</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919.5971</v>
      </c>
      <c r="C2" s="1859" t="s">
        <v>1511</v>
      </c>
      <c r="D2" s="2954">
        <f ca="1">IF(E1="项目模式",IF(E2="——",ROUND(C49*D3/10000,0),ROUND(C49*D3/10000,0)-F2),IF(E1="单套模式",IF(E2="——",ROUND(C49*D3/10000,4),ROUND(C49*D3/10000,4)-F2)))</f>
        <v>919.5971</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66220</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1522</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SUMIF(58:58,YEAR(E7)&amp;"-"&amp;MONTH(E7),59:59)</f>
        <v>100</v>
      </c>
      <c r="G7" s="1429">
        <v>46023</v>
      </c>
      <c r="H7" s="1432">
        <f>SUMIF(58:58,YEAR(G7)&amp;"-"&amp;MONTH(G7),59:59)</f>
        <v>100</v>
      </c>
      <c r="I7" s="1429">
        <v>46023</v>
      </c>
      <c r="J7" s="1432">
        <f>SUMIF(58:58,YEAR(I7)&amp;"-"&amp;MONTH(I7),59:59)</f>
        <v>100</v>
      </c>
      <c r="K7" s="2960"/>
      <c r="P7" s="1436" t="s">
        <v>1526</v>
      </c>
      <c r="Q7" s="1437"/>
      <c r="R7" s="2115" t="s">
        <v>1527</v>
      </c>
      <c r="S7" s="2116">
        <f t="shared" ref="S7:S15" si="0">F7</f>
        <v>100</v>
      </c>
      <c r="T7" s="2115" t="s">
        <v>1527</v>
      </c>
      <c r="U7" s="2116">
        <f t="shared" ref="U7:U15" si="1">H7</f>
        <v>100</v>
      </c>
      <c r="V7" s="2115" t="s">
        <v>1527</v>
      </c>
      <c r="W7" s="2116">
        <f t="shared" ref="W7:W15" si="2">J7</f>
        <v>100</v>
      </c>
      <c r="X7" s="1440"/>
      <c r="Y7" s="1441" t="s">
        <v>1526</v>
      </c>
      <c r="Z7" s="1442"/>
      <c r="AA7" s="1443">
        <f>D7/F7</f>
        <v>1</v>
      </c>
      <c r="AB7" s="1443">
        <f>D7/H7</f>
        <v>1</v>
      </c>
      <c r="AC7" s="1443">
        <f>D7/J7</f>
        <v>1</v>
      </c>
    </row>
    <row r="8" s="1352" customFormat="1" ht="15.75" spans="1:29">
      <c r="A8" s="1885" t="s">
        <v>1528</v>
      </c>
      <c r="B8" s="1886"/>
      <c r="C8" s="1895" t="s">
        <v>1529</v>
      </c>
      <c r="D8" s="1428">
        <v>100</v>
      </c>
      <c r="E8" s="1895" t="s">
        <v>1530</v>
      </c>
      <c r="F8" s="1430">
        <f>SUMIF(61:61,E8,62:62)-SUMIF(61:61,C8,62:62)+100</f>
        <v>105</v>
      </c>
      <c r="G8" s="1895" t="s">
        <v>1530</v>
      </c>
      <c r="H8" s="1432">
        <f>SUMIF(61:61,G8,62:62)-SUMIF(61:61,C8,62:62)+100</f>
        <v>105</v>
      </c>
      <c r="I8" s="1895" t="s">
        <v>1530</v>
      </c>
      <c r="J8" s="1432">
        <f>SUMIF(61:61,I8,62:62)-SUMIF(61:61,C8,62:62)+100</f>
        <v>105</v>
      </c>
      <c r="K8" s="2960"/>
      <c r="L8" s="1434"/>
      <c r="M8" s="1435"/>
      <c r="N8" s="1435"/>
      <c r="O8" s="1435"/>
      <c r="P8" s="1436" t="s">
        <v>1531</v>
      </c>
      <c r="Q8" s="1445"/>
      <c r="R8" s="2115" t="s">
        <v>1527</v>
      </c>
      <c r="S8" s="2116">
        <f t="shared" si="0"/>
        <v>105</v>
      </c>
      <c r="T8" s="2115" t="s">
        <v>1527</v>
      </c>
      <c r="U8" s="2116">
        <f t="shared" si="1"/>
        <v>105</v>
      </c>
      <c r="V8" s="2115" t="s">
        <v>1527</v>
      </c>
      <c r="W8" s="2116">
        <f t="shared" si="2"/>
        <v>105</v>
      </c>
      <c r="X8" s="1440"/>
      <c r="Y8" s="1441" t="s">
        <v>1531</v>
      </c>
      <c r="Z8" s="1442"/>
      <c r="AA8" s="1443">
        <f t="shared" ref="AA8:AA46" si="3">D8/F8</f>
        <v>0.952380952380952</v>
      </c>
      <c r="AB8" s="1443">
        <f t="shared" ref="AB8:AB46" si="4">D8/H8</f>
        <v>0.952380952380952</v>
      </c>
      <c r="AC8" s="1443">
        <f t="shared" ref="AC8:AC46" si="5">D8/J8</f>
        <v>0.952380952380952</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t="s">
        <v>1537</v>
      </c>
      <c r="D10" s="1455">
        <v>100</v>
      </c>
      <c r="E10" s="2173" t="s">
        <v>1537</v>
      </c>
      <c r="F10" s="2175">
        <f>SUMIF(65:65,E10,66:66)-SUMIF(65:65,C10,66:66)+100</f>
        <v>100</v>
      </c>
      <c r="G10" s="2173" t="s">
        <v>1537</v>
      </c>
      <c r="H10" s="1456">
        <f>SUMIF(65:65,G10,66:66)-SUMIF(65:65,C10,66:66)+100</f>
        <v>100</v>
      </c>
      <c r="I10" s="3227" t="s">
        <v>1538</v>
      </c>
      <c r="J10" s="1456">
        <f>SUMIF(65:65,I10,66:66)-SUMIF(65:65,C10,66:66)+100</f>
        <v>101</v>
      </c>
      <c r="K10" s="2960"/>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101</v>
      </c>
      <c r="X10" s="1440"/>
      <c r="Y10" s="1169"/>
      <c r="Z10" s="1443" t="str">
        <f t="shared" si="7"/>
        <v>土地使用年限（年）</v>
      </c>
      <c r="AA10" s="1443">
        <f t="shared" si="3"/>
        <v>1</v>
      </c>
      <c r="AB10" s="1443">
        <f t="shared" si="4"/>
        <v>1</v>
      </c>
      <c r="AC10" s="1443">
        <f t="shared" si="5"/>
        <v>0.99009900990099</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68.25" spans="1:29">
      <c r="A15" s="1669" t="s">
        <v>1540</v>
      </c>
      <c r="B15" s="1779" t="s">
        <v>1541</v>
      </c>
      <c r="C15" s="1780" t="str">
        <f>估价对象房地状况!C4</f>
        <v>估价对象位于XX商圈，周边商业氛围成熟，人流量大，商业繁华度好</v>
      </c>
      <c r="D15" s="1484">
        <v>100</v>
      </c>
      <c r="E15" s="1485"/>
      <c r="F15" s="2962">
        <f>SUMIF(76:76,E16,77:77)-SUMIF(76:76,C16,77:77)+100</f>
        <v>100</v>
      </c>
      <c r="G15" s="1487"/>
      <c r="H15" s="1486">
        <f>SUMIF(76:76,G16,77:77)-SUMIF(76:76,C16,77:77)+100</f>
        <v>100</v>
      </c>
      <c r="I15" s="1485"/>
      <c r="J15" s="1486">
        <f>SUMIF(76:76,I16,77:77)-SUMIF(76:76,C16,77:77)+100</f>
        <v>100</v>
      </c>
      <c r="K15" s="2963">
        <v>3</v>
      </c>
      <c r="L15" s="1475"/>
      <c r="M15" s="1391"/>
      <c r="N15" s="1391"/>
      <c r="O15" s="1391"/>
      <c r="P15" s="1501" t="s">
        <v>1542</v>
      </c>
      <c r="Q15" s="1051" t="str">
        <f t="shared" si="6"/>
        <v>商业繁华度</v>
      </c>
      <c r="R15" s="2121" t="s">
        <v>1527</v>
      </c>
      <c r="S15" s="2122">
        <f t="shared" si="0"/>
        <v>100</v>
      </c>
      <c r="T15" s="2121" t="s">
        <v>1527</v>
      </c>
      <c r="U15" s="2122">
        <f t="shared" si="1"/>
        <v>100</v>
      </c>
      <c r="V15" s="2121" t="s">
        <v>1527</v>
      </c>
      <c r="W15" s="2122">
        <f t="shared" si="2"/>
        <v>100</v>
      </c>
      <c r="X15" s="1396"/>
      <c r="Y15" s="1490" t="s">
        <v>1542</v>
      </c>
      <c r="Z15" s="1491" t="str">
        <f t="shared" si="7"/>
        <v>商业繁华度</v>
      </c>
      <c r="AA15" s="1491">
        <f t="shared" si="3"/>
        <v>1</v>
      </c>
      <c r="AB15" s="1491">
        <f t="shared" si="4"/>
        <v>1</v>
      </c>
      <c r="AC15" s="1491">
        <f t="shared" si="5"/>
        <v>1</v>
      </c>
    </row>
    <row r="16" ht="15" spans="1:29">
      <c r="A16" s="1676"/>
      <c r="B16" s="1781"/>
      <c r="C16" s="1493" t="s">
        <v>1543</v>
      </c>
      <c r="D16" s="1494"/>
      <c r="E16" s="1493" t="s">
        <v>1543</v>
      </c>
      <c r="F16" s="2964"/>
      <c r="G16" s="1493" t="s">
        <v>1543</v>
      </c>
      <c r="H16" s="1497"/>
      <c r="I16" s="1493" t="s">
        <v>1543</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1544</v>
      </c>
      <c r="C17" s="1501" t="str">
        <f>估价对象房地状况!C6</f>
        <v>估价对象周边道路状况、公共交通通达情况、停车便捷程度，综合评价交通便捷度较好</v>
      </c>
      <c r="D17" s="1502">
        <v>100</v>
      </c>
      <c r="E17" s="1503"/>
      <c r="F17" s="2966">
        <f>SUMIF(78:78,E18,79:79)-SUMIF(78:78,C18,79:79)+100</f>
        <v>100</v>
      </c>
      <c r="G17" s="1505"/>
      <c r="H17" s="1504">
        <f>SUMIF(78:78,G18,79:79)-SUMIF(78:78,C18,79:79)+100</f>
        <v>100</v>
      </c>
      <c r="I17" s="1503"/>
      <c r="J17" s="1504">
        <f>SUMIF(78:78,I18,79:79)-SUMIF(78:78,C18,79:79)+100</f>
        <v>100</v>
      </c>
      <c r="K17" s="2963">
        <v>2</v>
      </c>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t="s">
        <v>1545</v>
      </c>
      <c r="D18" s="1502"/>
      <c r="E18" s="1784" t="s">
        <v>1545</v>
      </c>
      <c r="F18" s="2966"/>
      <c r="G18" s="1784" t="s">
        <v>1545</v>
      </c>
      <c r="H18" s="1496"/>
      <c r="I18" s="1784" t="s">
        <v>1545</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8"/>
      <c r="F19" s="2967">
        <f>SUMIF(80:80,E20,81:81)-SUMIF(80:80,C20,81:81)+100</f>
        <v>100</v>
      </c>
      <c r="G19" s="1789"/>
      <c r="H19" s="1497">
        <f>SUMIF(80:80,G20,81:81)-SUMIF(80:80,C20,81:81)+100</f>
        <v>100</v>
      </c>
      <c r="I19" s="1788"/>
      <c r="J19" s="1497">
        <f>SUMIF(80:80,I20,81:81)-SUMIF(80:80,C20,81:81)+100</f>
        <v>100</v>
      </c>
      <c r="K19" s="2963">
        <v>2</v>
      </c>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t="s">
        <v>1543</v>
      </c>
      <c r="D20" s="1494"/>
      <c r="E20" s="1493" t="s">
        <v>1543</v>
      </c>
      <c r="F20" s="2964"/>
      <c r="G20" s="1493" t="s">
        <v>1543</v>
      </c>
      <c r="H20" s="1496"/>
      <c r="I20" s="1493" t="s">
        <v>1543</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1548</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 t="shared" si="3"/>
        <v>1</v>
      </c>
      <c r="AB23" s="1491">
        <f t="shared" si="4"/>
        <v>1</v>
      </c>
      <c r="AC23" s="1491">
        <f t="shared" si="5"/>
        <v>1</v>
      </c>
    </row>
    <row r="24" ht="15" spans="1:29">
      <c r="A24" s="1676"/>
      <c r="B24" s="1539"/>
      <c r="C24" s="1493" t="s">
        <v>1543</v>
      </c>
      <c r="D24" s="1494"/>
      <c r="E24" s="1493" t="s">
        <v>1543</v>
      </c>
      <c r="F24" s="2964"/>
      <c r="G24" s="1493" t="s">
        <v>1543</v>
      </c>
      <c r="H24" s="1496"/>
      <c r="I24" s="1493" t="s">
        <v>1543</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1549</v>
      </c>
      <c r="C25" s="1514" t="s">
        <v>1550</v>
      </c>
      <c r="D25" s="1473">
        <v>100</v>
      </c>
      <c r="E25" s="1514" t="s">
        <v>1550</v>
      </c>
      <c r="F25" s="2190">
        <f>SUMIF(86:86,E25,87:87)-SUMIF(86:86,C25,87:87)+100</f>
        <v>100</v>
      </c>
      <c r="G25" s="1514" t="s">
        <v>1550</v>
      </c>
      <c r="H25" s="1474">
        <f>SUMIF(86:86,G25,87:87)-SUMIF(86:86,C25,87:87)+100</f>
        <v>100</v>
      </c>
      <c r="I25" s="1514" t="s">
        <v>1551</v>
      </c>
      <c r="J25" s="1474">
        <f>SUMIF(86:86,I25,87:87)-SUMIF(86:86,C25,87:87)+100</f>
        <v>90</v>
      </c>
      <c r="K25" s="1793">
        <v>10</v>
      </c>
      <c r="L25" s="1475"/>
      <c r="M25" s="1391"/>
      <c r="N25" s="1391"/>
      <c r="O25" s="1391"/>
      <c r="P25" s="1516"/>
      <c r="Q25" s="1051" t="str">
        <f t="shared" ref="Q25:Q46" si="11">B25</f>
        <v>临街状况</v>
      </c>
      <c r="R25" s="2121" t="s">
        <v>1527</v>
      </c>
      <c r="S25" s="2122">
        <f>F25</f>
        <v>100</v>
      </c>
      <c r="T25" s="2121" t="s">
        <v>1527</v>
      </c>
      <c r="U25" s="2122">
        <f>H25</f>
        <v>100</v>
      </c>
      <c r="V25" s="2121" t="s">
        <v>1527</v>
      </c>
      <c r="W25" s="2122">
        <f>J25</f>
        <v>90</v>
      </c>
      <c r="X25" s="1396"/>
      <c r="Y25" s="1499"/>
      <c r="Z25" s="1491" t="str">
        <f>Q25</f>
        <v>临街状况</v>
      </c>
      <c r="AA25" s="1491">
        <f t="shared" si="3"/>
        <v>1</v>
      </c>
      <c r="AB25" s="1491">
        <f t="shared" si="4"/>
        <v>1</v>
      </c>
      <c r="AC25" s="1491">
        <f t="shared" si="5"/>
        <v>1.11111111111111</v>
      </c>
    </row>
    <row r="26" ht="15" spans="1:29">
      <c r="A26" s="1676"/>
      <c r="B26" s="1794" t="s">
        <v>1552</v>
      </c>
      <c r="C26" s="2969" t="s">
        <v>1543</v>
      </c>
      <c r="D26" s="1473">
        <v>100</v>
      </c>
      <c r="E26" s="2969" t="s">
        <v>1543</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1" t="s">
        <v>1527</v>
      </c>
      <c r="S26" s="2122">
        <f>F26</f>
        <v>100</v>
      </c>
      <c r="T26" s="2121" t="s">
        <v>1527</v>
      </c>
      <c r="U26" s="2122">
        <f>H26</f>
        <v>100</v>
      </c>
      <c r="V26" s="2121" t="s">
        <v>1527</v>
      </c>
      <c r="W26" s="2122">
        <f>J26</f>
        <v>100</v>
      </c>
      <c r="X26" s="1396"/>
      <c r="Y26" s="1499"/>
      <c r="Z26" s="1491" t="str">
        <f>Q26</f>
        <v>平面位置/可视性</v>
      </c>
      <c r="AA26" s="1491">
        <f t="shared" si="3"/>
        <v>1</v>
      </c>
      <c r="AB26" s="1491">
        <f t="shared" si="4"/>
        <v>1</v>
      </c>
      <c r="AC26" s="1491">
        <f t="shared" si="5"/>
        <v>1</v>
      </c>
    </row>
    <row r="27" s="1352" customFormat="1" ht="15" spans="1:29">
      <c r="A27" s="1724"/>
      <c r="B27" s="1782" t="s">
        <v>1553</v>
      </c>
      <c r="C27" s="2970" t="s">
        <v>1545</v>
      </c>
      <c r="D27" s="2184">
        <v>100</v>
      </c>
      <c r="E27" s="2970" t="s">
        <v>1554</v>
      </c>
      <c r="F27" s="2971">
        <f>SUMIF(90:90,E27,91:91)-SUMIF(90:90,C27,91:91)+100</f>
        <v>110</v>
      </c>
      <c r="G27" s="2970" t="s">
        <v>1554</v>
      </c>
      <c r="H27" s="2185">
        <f>SUMIF(90:90,G27,91:91)-SUMIF(90:90,C27,91:91)+100</f>
        <v>110</v>
      </c>
      <c r="I27" s="2970" t="s">
        <v>1554</v>
      </c>
      <c r="J27" s="2185">
        <f>SUMIF(90:90,I27,91:91)-SUMIF(90:90,C27,91:91)+100</f>
        <v>110</v>
      </c>
      <c r="K27" s="1793">
        <v>10</v>
      </c>
      <c r="L27" s="1434"/>
      <c r="M27" s="1435"/>
      <c r="N27" s="1435"/>
      <c r="O27" s="1435"/>
      <c r="P27" s="1516"/>
      <c r="Q27" s="1205" t="str">
        <f t="shared" si="11"/>
        <v>人流量</v>
      </c>
      <c r="R27" s="2115" t="s">
        <v>1527</v>
      </c>
      <c r="S27" s="2116">
        <f>F27</f>
        <v>110</v>
      </c>
      <c r="T27" s="2115" t="s">
        <v>1527</v>
      </c>
      <c r="U27" s="2116">
        <f>H27</f>
        <v>110</v>
      </c>
      <c r="V27" s="2115" t="s">
        <v>1527</v>
      </c>
      <c r="W27" s="2116">
        <f>J27</f>
        <v>110</v>
      </c>
      <c r="X27" s="1440"/>
      <c r="Y27" s="1499"/>
      <c r="Z27" s="1443" t="str">
        <f>Q27</f>
        <v>人流量</v>
      </c>
      <c r="AA27" s="1491">
        <f t="shared" si="3"/>
        <v>0.909090909090909</v>
      </c>
      <c r="AB27" s="1491">
        <f t="shared" si="4"/>
        <v>0.909090909090909</v>
      </c>
      <c r="AC27" s="1491">
        <f t="shared" si="5"/>
        <v>0.909090909090909</v>
      </c>
    </row>
    <row r="28" ht="15" spans="1:29">
      <c r="A28" s="1676"/>
      <c r="B28" s="1453" t="s">
        <v>1555</v>
      </c>
      <c r="C28" s="1514" t="s">
        <v>1556</v>
      </c>
      <c r="D28" s="1473">
        <v>100</v>
      </c>
      <c r="E28" s="1514" t="s">
        <v>1556</v>
      </c>
      <c r="F28" s="2190">
        <f>SUMIF(92:92,E28,93:93)-SUMIF(92:92,C28,93:93)+100</f>
        <v>100</v>
      </c>
      <c r="G28" s="1514" t="s">
        <v>1556</v>
      </c>
      <c r="H28" s="1474">
        <f>SUMIF(92:92,G28,93:93)-SUMIF(92:92,C28,93:93)+100</f>
        <v>100</v>
      </c>
      <c r="I28" s="1514" t="s">
        <v>1556</v>
      </c>
      <c r="J28" s="1474">
        <f>SUMIF(92:92,I28,93:93)-SUMIF(92:92,C28,93:93)+100</f>
        <v>100</v>
      </c>
      <c r="K28" s="1792"/>
      <c r="L28" s="3228" t="s">
        <v>1557</v>
      </c>
      <c r="M28" s="1391"/>
      <c r="N28" s="1391"/>
      <c r="O28" s="1391"/>
      <c r="P28" s="1516"/>
      <c r="Q28" s="1051" t="str">
        <f t="shared" si="11"/>
        <v>楼层</v>
      </c>
      <c r="R28" s="2121" t="s">
        <v>1527</v>
      </c>
      <c r="S28" s="2122">
        <f t="shared" ref="S28:S46" si="12">F28</f>
        <v>100</v>
      </c>
      <c r="T28" s="2121" t="s">
        <v>1527</v>
      </c>
      <c r="U28" s="2122">
        <f t="shared" ref="U28:U46" si="13">H28</f>
        <v>100</v>
      </c>
      <c r="V28" s="2121" t="s">
        <v>1527</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1491">
        <f t="shared" si="5"/>
        <v>1</v>
      </c>
    </row>
    <row r="32" ht="15" spans="1:29">
      <c r="A32" s="1669" t="s">
        <v>1558</v>
      </c>
      <c r="B32" s="1447" t="s">
        <v>1559</v>
      </c>
      <c r="C32" s="2188" t="s">
        <v>1560</v>
      </c>
      <c r="D32" s="1541">
        <v>100</v>
      </c>
      <c r="E32" s="2188" t="s">
        <v>1560</v>
      </c>
      <c r="F32" s="2190">
        <f>SUMIF(100:100,E32,101:101)-SUMIF(100:100,C32,101:101)+100</f>
        <v>100</v>
      </c>
      <c r="G32" s="2188" t="s">
        <v>1560</v>
      </c>
      <c r="H32" s="1474">
        <f>SUMIF(100:100,G32,101:101)-SUMIF(100:100,C32,101:101)+100</f>
        <v>100</v>
      </c>
      <c r="I32" s="2188" t="s">
        <v>1561</v>
      </c>
      <c r="J32" s="1542">
        <f>SUMIF(100:100,I32,101:101)-SUMIF(100:100,C32,101:101)+100</f>
        <v>103</v>
      </c>
      <c r="K32" s="1793">
        <v>3</v>
      </c>
      <c r="L32" s="1475"/>
      <c r="M32" s="1391"/>
      <c r="N32" s="1391"/>
      <c r="O32" s="1391"/>
      <c r="P32" s="2132" t="s">
        <v>1562</v>
      </c>
      <c r="Q32" s="1051" t="str">
        <f t="shared" si="11"/>
        <v>商业类型</v>
      </c>
      <c r="R32" s="2121" t="s">
        <v>1527</v>
      </c>
      <c r="S32" s="2122">
        <f t="shared" si="12"/>
        <v>100</v>
      </c>
      <c r="T32" s="2121" t="s">
        <v>1527</v>
      </c>
      <c r="U32" s="2122">
        <f t="shared" si="13"/>
        <v>100</v>
      </c>
      <c r="V32" s="2121" t="s">
        <v>1527</v>
      </c>
      <c r="W32" s="2122">
        <f t="shared" si="14"/>
        <v>103</v>
      </c>
      <c r="X32" s="1396"/>
      <c r="Y32" s="1526" t="s">
        <v>1562</v>
      </c>
      <c r="Z32" s="1491" t="str">
        <f t="shared" si="15"/>
        <v>商业类型</v>
      </c>
      <c r="AA32" s="1491">
        <f t="shared" si="3"/>
        <v>1</v>
      </c>
      <c r="AB32" s="1491">
        <f t="shared" si="4"/>
        <v>1</v>
      </c>
      <c r="AC32" s="1491">
        <f t="shared" si="5"/>
        <v>0.970873786407767</v>
      </c>
    </row>
    <row r="33" s="1354" customFormat="1" ht="15" spans="1:29">
      <c r="A33" s="1745"/>
      <c r="B33" s="1453" t="s">
        <v>1563</v>
      </c>
      <c r="C33" s="2197">
        <v>138.87</v>
      </c>
      <c r="D33" s="1455">
        <v>100</v>
      </c>
      <c r="E33" s="1463">
        <v>206.9</v>
      </c>
      <c r="F33" s="2175">
        <f>LOOKUP(E33,103:103,104:104)-LOOKUP(C33,103:103,104:104)+100</f>
        <v>100</v>
      </c>
      <c r="G33" s="1462">
        <v>131</v>
      </c>
      <c r="H33" s="1456">
        <f>LOOKUP(G33,103:103,104:104)-LOOKUP(C33,103:103,104:104)+100</f>
        <v>100</v>
      </c>
      <c r="I33" s="1462">
        <v>214.18</v>
      </c>
      <c r="J33" s="1456">
        <f>LOOKUP(I33,103:103,104:104)-LOOKUP(C33,103:103,104:104)+100</f>
        <v>100</v>
      </c>
      <c r="K33" s="1792"/>
      <c r="L33" s="1465"/>
      <c r="M33" s="1532"/>
      <c r="N33" s="1532"/>
      <c r="O33" s="1532"/>
      <c r="P33" s="2133"/>
      <c r="Q33" s="2072" t="str">
        <f t="shared" si="11"/>
        <v>项目建筑规模</v>
      </c>
      <c r="R33" s="2134" t="s">
        <v>1527</v>
      </c>
      <c r="S33" s="2135">
        <f t="shared" si="12"/>
        <v>100</v>
      </c>
      <c r="T33" s="2134" t="s">
        <v>1527</v>
      </c>
      <c r="U33" s="2135">
        <f t="shared" si="13"/>
        <v>100</v>
      </c>
      <c r="V33" s="2134" t="s">
        <v>1527</v>
      </c>
      <c r="W33" s="2135">
        <f t="shared" si="14"/>
        <v>100</v>
      </c>
      <c r="X33" s="1537"/>
      <c r="Y33" s="1526"/>
      <c r="Z33" s="1538" t="str">
        <f t="shared" si="15"/>
        <v>项目建筑规模</v>
      </c>
      <c r="AA33" s="1491">
        <f t="shared" si="3"/>
        <v>1</v>
      </c>
      <c r="AB33" s="1491">
        <f t="shared" si="4"/>
        <v>1</v>
      </c>
      <c r="AC33" s="1491">
        <f t="shared" si="5"/>
        <v>1</v>
      </c>
    </row>
    <row r="34" ht="15" spans="1:29">
      <c r="A34" s="1754"/>
      <c r="B34" s="1453" t="s">
        <v>1564</v>
      </c>
      <c r="C34" s="2182" t="s">
        <v>1565</v>
      </c>
      <c r="D34" s="1473">
        <v>100</v>
      </c>
      <c r="E34" s="2182" t="s">
        <v>1565</v>
      </c>
      <c r="F34" s="2190">
        <f>SUMIF(105:105,E34,106:106)-SUMIF(105:105,C34,106:106)+100</f>
        <v>100</v>
      </c>
      <c r="G34" s="2182" t="s">
        <v>1565</v>
      </c>
      <c r="H34" s="1474">
        <f>SUMIF(105:105,G34,106:106)-SUMIF(105:105,C34,106:106)+100</f>
        <v>100</v>
      </c>
      <c r="I34" s="2182" t="s">
        <v>1565</v>
      </c>
      <c r="J34" s="1474">
        <f>SUMIF(105:105,I34,106:106)-SUMIF(105:105,C34,106:106)+100</f>
        <v>100</v>
      </c>
      <c r="K34" s="1793">
        <v>1</v>
      </c>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5"/>
        <v>建筑结构</v>
      </c>
      <c r="AA34" s="1491">
        <f t="shared" si="3"/>
        <v>1</v>
      </c>
      <c r="AB34" s="1491">
        <f t="shared" si="4"/>
        <v>1</v>
      </c>
      <c r="AC34" s="1491">
        <f t="shared" si="5"/>
        <v>1</v>
      </c>
    </row>
    <row r="35" ht="15" spans="1:29">
      <c r="A35" s="1754"/>
      <c r="B35" s="1453" t="s">
        <v>1566</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1527</v>
      </c>
      <c r="S35" s="2122">
        <f t="shared" si="12"/>
        <v>100</v>
      </c>
      <c r="T35" s="2121" t="s">
        <v>1527</v>
      </c>
      <c r="U35" s="2122">
        <f t="shared" si="13"/>
        <v>100</v>
      </c>
      <c r="V35" s="2121" t="s">
        <v>1527</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11"/>
        <v>成新度</v>
      </c>
      <c r="R36" s="2121" t="s">
        <v>1527</v>
      </c>
      <c r="S36" s="2122">
        <f t="shared" si="12"/>
        <v>100</v>
      </c>
      <c r="T36" s="2121" t="s">
        <v>1527</v>
      </c>
      <c r="U36" s="2122">
        <f t="shared" si="13"/>
        <v>100</v>
      </c>
      <c r="V36" s="2121" t="s">
        <v>1527</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1567</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11"/>
        <v>市政基础设施</v>
      </c>
      <c r="R37" s="2115" t="s">
        <v>1527</v>
      </c>
      <c r="S37" s="2116">
        <f t="shared" si="12"/>
        <v>100</v>
      </c>
      <c r="T37" s="2115" t="s">
        <v>1527</v>
      </c>
      <c r="U37" s="2116">
        <f t="shared" si="13"/>
        <v>100</v>
      </c>
      <c r="V37" s="2115" t="s">
        <v>1527</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1568</v>
      </c>
      <c r="C38" s="1545" t="s">
        <v>1569</v>
      </c>
      <c r="D38" s="1473">
        <v>100</v>
      </c>
      <c r="E38" s="1545" t="s">
        <v>1569</v>
      </c>
      <c r="F38" s="2190">
        <f>SUMIF(114:114,E38,115:115)-SUMIF(114:114,C38,115:115)+100</f>
        <v>100</v>
      </c>
      <c r="G38" s="1545" t="s">
        <v>1569</v>
      </c>
      <c r="H38" s="1474">
        <f>SUMIF(114:114,G38,115:115)-SUMIF(114:114,C38,115:115)+100</f>
        <v>100</v>
      </c>
      <c r="I38" s="1545" t="s">
        <v>1569</v>
      </c>
      <c r="J38" s="1474">
        <f>SUMIF(114:114,I38,115:115)-SUMIF(114:114,C38,115:115)+100</f>
        <v>100</v>
      </c>
      <c r="K38" s="1793">
        <v>5</v>
      </c>
      <c r="L38" s="1475"/>
      <c r="M38" s="1391"/>
      <c r="N38" s="1391"/>
      <c r="O38" s="1391"/>
      <c r="P38" s="2133" t="s">
        <v>1562</v>
      </c>
      <c r="Q38" s="1051" t="str">
        <f t="shared" si="11"/>
        <v>业态</v>
      </c>
      <c r="R38" s="2121" t="s">
        <v>1527</v>
      </c>
      <c r="S38" s="2122">
        <f t="shared" si="12"/>
        <v>100</v>
      </c>
      <c r="T38" s="2121" t="s">
        <v>1527</v>
      </c>
      <c r="U38" s="2122">
        <f t="shared" si="13"/>
        <v>100</v>
      </c>
      <c r="V38" s="2121" t="s">
        <v>1527</v>
      </c>
      <c r="W38" s="2122">
        <f t="shared" si="14"/>
        <v>100</v>
      </c>
      <c r="X38" s="1396"/>
      <c r="Y38" s="1526" t="s">
        <v>1562</v>
      </c>
      <c r="Z38" s="1491" t="str">
        <f t="shared" si="15"/>
        <v>业态</v>
      </c>
      <c r="AA38" s="1491">
        <f t="shared" si="3"/>
        <v>1</v>
      </c>
      <c r="AB38" s="1491">
        <f t="shared" si="4"/>
        <v>1</v>
      </c>
      <c r="AC38" s="1491">
        <f t="shared" si="5"/>
        <v>1</v>
      </c>
    </row>
    <row r="39" ht="15" spans="1:29">
      <c r="A39" s="1754"/>
      <c r="B39" s="1453" t="s">
        <v>1570</v>
      </c>
      <c r="C39" s="1545" t="s">
        <v>1571</v>
      </c>
      <c r="D39" s="1473">
        <v>100</v>
      </c>
      <c r="E39" s="1545" t="s">
        <v>1571</v>
      </c>
      <c r="F39" s="2190">
        <f>SUMIF(116:116,E39,117:117)-SUMIF(116:116,C39,117:117)+100</f>
        <v>100</v>
      </c>
      <c r="G39" s="1545" t="s">
        <v>1571</v>
      </c>
      <c r="H39" s="1474">
        <f>SUMIF(116:116,G39,117:117)-SUMIF(116:116,C39,117:117)+100</f>
        <v>100</v>
      </c>
      <c r="I39" s="1545" t="s">
        <v>1572</v>
      </c>
      <c r="J39" s="1474">
        <f>SUMIF(116:116,I39,117:117)-SUMIF(116:116,C39,117:117)+100</f>
        <v>90</v>
      </c>
      <c r="K39" s="1793">
        <v>10</v>
      </c>
      <c r="L39" s="1475"/>
      <c r="M39" s="1391"/>
      <c r="N39" s="1391"/>
      <c r="O39" s="1391"/>
      <c r="P39" s="2133"/>
      <c r="Q39" s="1051" t="str">
        <f t="shared" si="11"/>
        <v>层高</v>
      </c>
      <c r="R39" s="2121" t="s">
        <v>1527</v>
      </c>
      <c r="S39" s="2122">
        <f t="shared" si="12"/>
        <v>100</v>
      </c>
      <c r="T39" s="2121" t="s">
        <v>1527</v>
      </c>
      <c r="U39" s="2122">
        <f t="shared" si="13"/>
        <v>100</v>
      </c>
      <c r="V39" s="2121" t="s">
        <v>1527</v>
      </c>
      <c r="W39" s="2122">
        <f t="shared" si="14"/>
        <v>90</v>
      </c>
      <c r="X39" s="1396"/>
      <c r="Y39" s="1526"/>
      <c r="Z39" s="1491" t="str">
        <f t="shared" si="15"/>
        <v>层高</v>
      </c>
      <c r="AA39" s="1491">
        <f t="shared" si="3"/>
        <v>1</v>
      </c>
      <c r="AB39" s="1491">
        <f t="shared" si="4"/>
        <v>1</v>
      </c>
      <c r="AC39" s="1491">
        <f t="shared" si="5"/>
        <v>1.11111111111111</v>
      </c>
    </row>
    <row r="40" ht="15" spans="1:29">
      <c r="A40" s="1754"/>
      <c r="B40" s="1453" t="s">
        <v>1573</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ROUND(O43*N40/N43,0)</f>
        <v>127</v>
      </c>
      <c r="P40" s="2133"/>
      <c r="Q40" s="1051" t="str">
        <f t="shared" si="11"/>
        <v>单套建筑面积</v>
      </c>
      <c r="R40" s="2121" t="s">
        <v>1527</v>
      </c>
      <c r="S40" s="2122">
        <f t="shared" si="12"/>
        <v>100</v>
      </c>
      <c r="T40" s="2121" t="s">
        <v>1527</v>
      </c>
      <c r="U40" s="2122">
        <f t="shared" si="13"/>
        <v>100</v>
      </c>
      <c r="V40" s="2121" t="s">
        <v>1527</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1574</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11"/>
        <v>进深比</v>
      </c>
      <c r="R41" s="2134" t="s">
        <v>1527</v>
      </c>
      <c r="S41" s="2135">
        <f t="shared" si="12"/>
        <v>100</v>
      </c>
      <c r="T41" s="2134" t="s">
        <v>1527</v>
      </c>
      <c r="U41" s="2135">
        <f t="shared" si="13"/>
        <v>100</v>
      </c>
      <c r="V41" s="2134" t="s">
        <v>1527</v>
      </c>
      <c r="W41" s="2135">
        <f t="shared" si="14"/>
        <v>100</v>
      </c>
      <c r="X41" s="1537"/>
      <c r="Y41" s="1526"/>
      <c r="Z41" s="1538" t="str">
        <f t="shared" si="15"/>
        <v>进深比</v>
      </c>
      <c r="AA41" s="1491">
        <f t="shared" si="3"/>
        <v>1</v>
      </c>
      <c r="AB41" s="1491">
        <f t="shared" si="4"/>
        <v>1</v>
      </c>
      <c r="AC41" s="1491">
        <f t="shared" si="5"/>
        <v>1</v>
      </c>
    </row>
    <row r="42" ht="15" spans="1:29">
      <c r="A42" s="1754"/>
      <c r="B42" s="1453" t="s">
        <v>1575</v>
      </c>
      <c r="C42" s="1545" t="s">
        <v>1576</v>
      </c>
      <c r="D42" s="1473">
        <v>100</v>
      </c>
      <c r="E42" s="1545" t="s">
        <v>1577</v>
      </c>
      <c r="F42" s="2190">
        <f>SUMIF(122:122,E42,123:123)-SUMIF(122:122,C42,123:123)+100</f>
        <v>96</v>
      </c>
      <c r="G42" s="1545" t="s">
        <v>1578</v>
      </c>
      <c r="H42" s="1474">
        <f>SUMIF(122:122,G42,123:123)-SUMIF(122:122,C42,123:123)+100</f>
        <v>98</v>
      </c>
      <c r="I42" s="1545" t="s">
        <v>1579</v>
      </c>
      <c r="J42" s="1474">
        <f>SUMIF(122:122,I42,123:123)-SUMIF(122:122,C42,123:123)+100</f>
        <v>102</v>
      </c>
      <c r="K42" s="1793">
        <v>2</v>
      </c>
      <c r="L42" s="1475"/>
      <c r="M42" s="1391" t="s">
        <v>1580</v>
      </c>
      <c r="N42" s="1391">
        <f>(N40+N41)/2</f>
        <v>0.85</v>
      </c>
      <c r="O42" s="1391">
        <f>ROUND(O43*N42/N43,0)</f>
        <v>108</v>
      </c>
      <c r="P42" s="2133"/>
      <c r="Q42" s="1051" t="str">
        <f t="shared" si="11"/>
        <v>内部装修</v>
      </c>
      <c r="R42" s="2121" t="s">
        <v>1527</v>
      </c>
      <c r="S42" s="2122">
        <f t="shared" si="12"/>
        <v>96</v>
      </c>
      <c r="T42" s="2121" t="s">
        <v>1527</v>
      </c>
      <c r="U42" s="2122">
        <f t="shared" si="13"/>
        <v>98</v>
      </c>
      <c r="V42" s="2121" t="s">
        <v>1527</v>
      </c>
      <c r="W42" s="2122">
        <f t="shared" si="14"/>
        <v>102</v>
      </c>
      <c r="X42" s="1396"/>
      <c r="Y42" s="1526"/>
      <c r="Z42" s="1491" t="str">
        <f t="shared" si="15"/>
        <v>内部装修</v>
      </c>
      <c r="AA42" s="1491">
        <f t="shared" si="3"/>
        <v>1.04166666666667</v>
      </c>
      <c r="AB42" s="1491">
        <f t="shared" si="4"/>
        <v>1.02040816326531</v>
      </c>
      <c r="AC42" s="1491">
        <f t="shared" si="5"/>
        <v>0.980392156862745</v>
      </c>
    </row>
    <row r="43" ht="15" spans="1:29">
      <c r="A43" s="1754"/>
      <c r="B43" s="1453" t="s">
        <v>1581</v>
      </c>
      <c r="C43" s="1545" t="s">
        <v>1543</v>
      </c>
      <c r="D43" s="1473">
        <v>100</v>
      </c>
      <c r="E43" s="1545" t="s">
        <v>1543</v>
      </c>
      <c r="F43" s="2190">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t="s">
        <v>1582</v>
      </c>
      <c r="N43" s="1391">
        <v>0.79</v>
      </c>
      <c r="O43" s="1391">
        <v>100</v>
      </c>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5"/>
        <v>111</v>
      </c>
      <c r="AA46" s="1491">
        <f t="shared" si="3"/>
        <v>1</v>
      </c>
      <c r="AB46" s="1491">
        <f t="shared" si="4"/>
        <v>1</v>
      </c>
      <c r="AC46" s="1491">
        <f t="shared" si="5"/>
        <v>1</v>
      </c>
    </row>
    <row r="47" ht="15" spans="1:29">
      <c r="A47" s="1552" t="s">
        <v>1583</v>
      </c>
      <c r="B47" s="1967"/>
      <c r="C47" s="1968" t="s">
        <v>124</v>
      </c>
      <c r="D47" s="1798"/>
      <c r="E47" s="1556">
        <f>ROUND(E50/(O42/O43),0)</f>
        <v>71605</v>
      </c>
      <c r="F47" s="1557"/>
      <c r="G47" s="1556">
        <f>ROUND(G50/(O42/O43),0)</f>
        <v>74216</v>
      </c>
      <c r="H47" s="1559"/>
      <c r="I47" s="1556">
        <f>ROUND(I50/(O40/O43),0)</f>
        <v>68013</v>
      </c>
      <c r="J47" s="1559"/>
      <c r="K47" s="1560"/>
      <c r="L47" s="1561"/>
      <c r="M47" s="1562"/>
      <c r="N47" s="1391"/>
      <c r="O47" s="1562"/>
      <c r="P47" s="1051" t="str">
        <f>A47</f>
        <v>成交单价（元/平方米）</v>
      </c>
      <c r="Q47" s="1051"/>
      <c r="R47" s="1563">
        <f>E47</f>
        <v>71605</v>
      </c>
      <c r="S47" s="1563"/>
      <c r="T47" s="1563">
        <f>G47</f>
        <v>74216</v>
      </c>
      <c r="U47" s="1563"/>
      <c r="V47" s="1563">
        <f>I47</f>
        <v>68013</v>
      </c>
      <c r="W47" s="1563"/>
      <c r="X47" s="1564"/>
      <c r="Y47" s="1565"/>
      <c r="Z47" s="1564"/>
      <c r="AA47" s="1564"/>
      <c r="AB47" s="1564"/>
      <c r="AC47" s="1564"/>
    </row>
    <row r="48" ht="15.75" spans="1:29">
      <c r="A48" s="1566" t="s">
        <v>1584</v>
      </c>
      <c r="B48" s="1969"/>
      <c r="C48" s="1571">
        <f>R49</f>
        <v>66220</v>
      </c>
      <c r="D48" s="1799" t="s">
        <v>1585</v>
      </c>
      <c r="E48" s="1568">
        <f>R48</f>
        <v>64579</v>
      </c>
      <c r="F48" s="1570"/>
      <c r="G48" s="1571">
        <f>T48</f>
        <v>65568</v>
      </c>
      <c r="H48" s="1570"/>
      <c r="I48" s="1568">
        <f>V48</f>
        <v>68512</v>
      </c>
      <c r="J48" s="1570"/>
      <c r="K48" s="1572">
        <f>F48+H48+J48</f>
        <v>0</v>
      </c>
      <c r="L48" s="1561"/>
      <c r="M48" s="1562"/>
      <c r="N48" s="1391"/>
      <c r="O48" s="1562"/>
      <c r="P48" s="1051" t="str">
        <f>A48</f>
        <v>比较价值（元/平方米）</v>
      </c>
      <c r="Q48" s="1051"/>
      <c r="R48" s="1563">
        <f>IF(F1="售价",ROUND(PRODUCT(R47,AA7:AA46),0),ROUND(PRODUCT(R47,AA7:AA46),1))</f>
        <v>64579</v>
      </c>
      <c r="S48" s="1563"/>
      <c r="T48" s="1563">
        <f>IF(F1="售价",ROUND(PRODUCT(T47,AB7:AB46),0),ROUND(PRODUCT(T47,AB7:AB46),1))</f>
        <v>65568</v>
      </c>
      <c r="U48" s="1563"/>
      <c r="V48" s="1563">
        <f>IF(F1="售价",ROUND(PRODUCT(V47,AC7:AC46),0),ROUND(PRODUCT(V47,AC7:AC46),1))</f>
        <v>68512</v>
      </c>
      <c r="W48" s="1563"/>
      <c r="X48" s="1564"/>
      <c r="Y48" s="1564"/>
      <c r="Z48" s="1564"/>
      <c r="AA48" s="1564"/>
      <c r="AB48" s="1564"/>
      <c r="AC48" s="1564"/>
    </row>
    <row r="49" ht="15.75" spans="1:29">
      <c r="A49" s="1573" t="s">
        <v>1586</v>
      </c>
      <c r="B49" s="1574"/>
      <c r="C49" s="1575">
        <f>R49</f>
        <v>66220</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66220</v>
      </c>
      <c r="S49" s="1580"/>
      <c r="T49" s="1580"/>
      <c r="U49" s="1580"/>
      <c r="V49" s="1580"/>
      <c r="W49" s="1580"/>
      <c r="X49" s="1564"/>
      <c r="Y49" s="1564"/>
      <c r="Z49" s="1564"/>
      <c r="AA49" s="1564"/>
      <c r="AB49" s="1564"/>
      <c r="AC49" s="1564"/>
    </row>
    <row r="50" spans="1:29">
      <c r="A50" s="1562"/>
      <c r="B50" s="1562"/>
      <c r="C50" s="1562"/>
      <c r="D50" s="1562"/>
      <c r="E50" s="1562">
        <v>77333</v>
      </c>
      <c r="F50" s="1562"/>
      <c r="G50" s="1562">
        <v>80153</v>
      </c>
      <c r="H50" s="1562"/>
      <c r="I50" s="1562">
        <v>86376</v>
      </c>
      <c r="J50" s="1562"/>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1587</v>
      </c>
      <c r="D52" s="1123"/>
      <c r="E52" s="1584">
        <f>IF(E47&lt;E48,E48/E47-1,E47/E48-1)</f>
        <v>0.108796977345577</v>
      </c>
      <c r="F52" s="1585" t="str">
        <f>IF(OR(E52&gt;=0.3,E52&lt;=-0.3),"超过30%","")</f>
        <v/>
      </c>
      <c r="G52" s="1584">
        <f>IF(G47&lt;G48,G48/G47-1,G47/G48-1)</f>
        <v>0.131893606637384</v>
      </c>
      <c r="H52" s="1585" t="str">
        <f>IF(OR(G52&gt;=0.3,G52&lt;=-0.3),"超过30%","")</f>
        <v/>
      </c>
      <c r="I52" s="1584">
        <f>IF(I47&lt;I48,I48/I47-1,I47/I48-1)</f>
        <v>0.00733683266434348</v>
      </c>
      <c r="J52" s="1585" t="str">
        <f>IF(OR(I52&gt;=0.3,I52&lt;=-0.3),"超过30%","")</f>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1588</v>
      </c>
      <c r="D53" s="1122"/>
      <c r="E53" s="1584">
        <f>IF(E48&lt;G48,G48/E48-1,E48/G48-1)</f>
        <v>0.0153145759457409</v>
      </c>
      <c r="F53" s="1585" t="str">
        <f>IF(OR(E53&gt;=0.2,E53&lt;=-0.2),"超过20%","")</f>
        <v/>
      </c>
      <c r="G53" s="1584">
        <f>IF(G48&lt;I48,I48/G48-1,G48/I48-1)</f>
        <v>0.0448999511957051</v>
      </c>
      <c r="H53" s="1585" t="str">
        <f>IF(OR(G53&gt;=0.2,G53&lt;=-0.2),"超过20%","")</f>
        <v/>
      </c>
      <c r="I53" s="1584">
        <f>IF(I48&lt;E48,E48/I48-1,I48/E48-1)</f>
        <v>0.0609021508539929</v>
      </c>
      <c r="J53" s="1585" t="str">
        <f>IF(OR(I53&gt;=0.2,I53&lt;=-0.2),"超过20%","")</f>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1589</v>
      </c>
      <c r="D54" s="1122"/>
      <c r="E54" s="1584">
        <f>IF(E47&lt;G47,G47/E47-1,E47/G47-1)</f>
        <v>0.0364639340828155</v>
      </c>
      <c r="F54" s="1585" t="str">
        <f>IF(OR(E54&gt;=0.3,E54&lt;=-0.3),"超过30%","")</f>
        <v/>
      </c>
      <c r="G54" s="1584">
        <f>IF(G47&lt;I47,I47/G47-1,G47/I47-1)</f>
        <v>0.0912031523385235</v>
      </c>
      <c r="H54" s="1585" t="str">
        <f>IF(OR(G54&gt;=0.3,G54&lt;=-0.3),"超过30%","")</f>
        <v/>
      </c>
      <c r="I54" s="1584">
        <f>IF(I47&lt;E47,E47/I47-1,I47/E47-1)</f>
        <v>0.0528134327260965</v>
      </c>
      <c r="J54" s="1585" t="str">
        <f>IF(OR(I54&gt;=0.3,I54&lt;=-0.3),"超过30%","")</f>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1590</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1591</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1592</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1593</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t="s">
        <v>1538</v>
      </c>
      <c r="D65" s="1734" t="s">
        <v>1594</v>
      </c>
      <c r="E65" s="1734" t="s">
        <v>1537</v>
      </c>
      <c r="F65" s="1734" t="s">
        <v>1595</v>
      </c>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1596</v>
      </c>
      <c r="C66" s="1678">
        <v>100</v>
      </c>
      <c r="D66" s="1678">
        <v>99.5</v>
      </c>
      <c r="E66" s="1678">
        <v>99</v>
      </c>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1539</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1540</v>
      </c>
      <c r="B76" s="1670" t="s">
        <v>1597</v>
      </c>
      <c r="C76" s="1718" t="s">
        <v>1598</v>
      </c>
      <c r="D76" s="1718" t="s">
        <v>1599</v>
      </c>
      <c r="E76" s="1718" t="s">
        <v>1600</v>
      </c>
      <c r="F76" s="1718" t="s">
        <v>1601</v>
      </c>
      <c r="G76" s="1718" t="s">
        <v>1602</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1544</v>
      </c>
      <c r="C78" s="1723" t="s">
        <v>1598</v>
      </c>
      <c r="D78" s="1723" t="s">
        <v>1599</v>
      </c>
      <c r="E78" s="1723" t="s">
        <v>1600</v>
      </c>
      <c r="F78" s="1723" t="s">
        <v>1601</v>
      </c>
      <c r="G78" s="1723" t="s">
        <v>1602</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1546</v>
      </c>
      <c r="C80" s="1723" t="s">
        <v>1598</v>
      </c>
      <c r="D80" s="1723" t="s">
        <v>1599</v>
      </c>
      <c r="E80" s="1723" t="s">
        <v>1600</v>
      </c>
      <c r="F80" s="1723" t="s">
        <v>1601</v>
      </c>
      <c r="G80" s="1723" t="s">
        <v>1602</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1547</v>
      </c>
      <c r="C82" s="1499" t="s">
        <v>1603</v>
      </c>
      <c r="D82" s="1499" t="s">
        <v>1604</v>
      </c>
      <c r="E82" s="1499" t="s">
        <v>1605</v>
      </c>
      <c r="F82" s="1499" t="s">
        <v>1606</v>
      </c>
      <c r="G82" s="1499" t="s">
        <v>1607</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C83-$K21</f>
        <v>99</v>
      </c>
      <c r="E83" s="1687">
        <f t="shared" ref="E83:G83" si="19">D83-$K21</f>
        <v>98</v>
      </c>
      <c r="F83" s="1687">
        <f t="shared" si="19"/>
        <v>97</v>
      </c>
      <c r="G83" s="1687">
        <f t="shared" si="19"/>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1548</v>
      </c>
      <c r="C84" s="1723" t="s">
        <v>1598</v>
      </c>
      <c r="D84" s="1723" t="s">
        <v>1599</v>
      </c>
      <c r="E84" s="1723" t="s">
        <v>1600</v>
      </c>
      <c r="F84" s="1723" t="s">
        <v>1601</v>
      </c>
      <c r="G84" s="1723" t="s">
        <v>1602</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1549</v>
      </c>
      <c r="C86" s="2988" t="s">
        <v>1608</v>
      </c>
      <c r="D86" s="2988" t="s">
        <v>1550</v>
      </c>
      <c r="E86" s="2988" t="s">
        <v>1551</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90</v>
      </c>
      <c r="E87" s="1687">
        <f t="shared" si="20"/>
        <v>80</v>
      </c>
      <c r="F87" s="1687">
        <f t="shared" si="20"/>
        <v>70</v>
      </c>
      <c r="G87" s="1687">
        <f t="shared" si="20"/>
        <v>60</v>
      </c>
      <c r="H87" s="1687">
        <f t="shared" si="20"/>
        <v>50</v>
      </c>
      <c r="I87" s="1687">
        <f t="shared" si="20"/>
        <v>40</v>
      </c>
      <c r="J87" s="1687">
        <f t="shared" si="20"/>
        <v>30</v>
      </c>
      <c r="K87" s="1687">
        <f t="shared" si="20"/>
        <v>20</v>
      </c>
      <c r="L87" s="1687">
        <f t="shared" si="20"/>
        <v>10</v>
      </c>
      <c r="M87" s="1687">
        <f t="shared" si="20"/>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1554</v>
      </c>
      <c r="D90" s="2988" t="s">
        <v>1545</v>
      </c>
      <c r="E90" s="2988" t="s">
        <v>1609</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90</v>
      </c>
      <c r="E91" s="1687">
        <f t="shared" ref="E91:M91" si="21">D91-$K27</f>
        <v>80</v>
      </c>
      <c r="F91" s="1687">
        <f t="shared" si="21"/>
        <v>70</v>
      </c>
      <c r="G91" s="1687">
        <f t="shared" si="21"/>
        <v>60</v>
      </c>
      <c r="H91" s="1687">
        <f t="shared" si="21"/>
        <v>50</v>
      </c>
      <c r="I91" s="1687">
        <f t="shared" si="21"/>
        <v>40</v>
      </c>
      <c r="J91" s="1687">
        <f t="shared" si="21"/>
        <v>30</v>
      </c>
      <c r="K91" s="1687">
        <f t="shared" si="21"/>
        <v>20</v>
      </c>
      <c r="L91" s="1687">
        <f t="shared" si="21"/>
        <v>10</v>
      </c>
      <c r="M91" s="1687">
        <f t="shared" si="21"/>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1610</v>
      </c>
      <c r="D92" s="2989" t="s">
        <v>1611</v>
      </c>
      <c r="E92" s="2989" t="s">
        <v>1612</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1558</v>
      </c>
      <c r="B100" s="1670" t="s">
        <v>1559</v>
      </c>
      <c r="C100" s="2990" t="s">
        <v>1561</v>
      </c>
      <c r="D100" s="2990" t="s">
        <v>1560</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1563</v>
      </c>
      <c r="C102" s="1723" t="str">
        <f>C103&amp;"(含)"&amp;"-"&amp;D103</f>
        <v>0(含)-100</v>
      </c>
      <c r="D102" s="1723" t="str">
        <f t="shared" ref="D102:L102" si="23">D103&amp;"(含)"&amp;"-"&amp;E103</f>
        <v>100(含)-300</v>
      </c>
      <c r="E102" s="1723" t="str">
        <f t="shared" si="23"/>
        <v>300(含)-500</v>
      </c>
      <c r="F102" s="1723" t="str">
        <f t="shared" si="23"/>
        <v>500(含)-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1564</v>
      </c>
      <c r="C105" s="2988" t="s">
        <v>1565</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99</v>
      </c>
      <c r="E106" s="1687">
        <f t="shared" si="24"/>
        <v>98</v>
      </c>
      <c r="F106" s="1687">
        <f t="shared" si="24"/>
        <v>97</v>
      </c>
      <c r="G106" s="1687">
        <f t="shared" si="24"/>
        <v>96</v>
      </c>
      <c r="H106" s="1687">
        <f t="shared" si="24"/>
        <v>95</v>
      </c>
      <c r="I106" s="1687">
        <f t="shared" si="24"/>
        <v>94</v>
      </c>
      <c r="J106" s="1687">
        <f t="shared" si="24"/>
        <v>93</v>
      </c>
      <c r="K106" s="1687">
        <f t="shared" si="24"/>
        <v>92</v>
      </c>
      <c r="L106" s="1687">
        <f t="shared" si="24"/>
        <v>91</v>
      </c>
      <c r="M106" s="1688">
        <f t="shared" si="24"/>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1566</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1567</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1568</v>
      </c>
      <c r="C114" s="2988" t="s">
        <v>1569</v>
      </c>
      <c r="D114" s="2988" t="s">
        <v>1613</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95</v>
      </c>
      <c r="E115" s="1687">
        <f t="shared" si="29"/>
        <v>90</v>
      </c>
      <c r="F115" s="1687">
        <f t="shared" si="29"/>
        <v>85</v>
      </c>
      <c r="G115" s="1687">
        <f t="shared" si="29"/>
        <v>80</v>
      </c>
      <c r="H115" s="1687">
        <f t="shared" si="29"/>
        <v>75</v>
      </c>
      <c r="I115" s="1687">
        <f t="shared" si="29"/>
        <v>70</v>
      </c>
      <c r="J115" s="1687">
        <f t="shared" si="29"/>
        <v>65</v>
      </c>
      <c r="K115" s="1687">
        <f t="shared" si="29"/>
        <v>60</v>
      </c>
      <c r="L115" s="1687">
        <f t="shared" si="29"/>
        <v>55</v>
      </c>
      <c r="M115" s="1688">
        <f t="shared" si="29"/>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1570</v>
      </c>
      <c r="C116" s="2988" t="s">
        <v>1571</v>
      </c>
      <c r="D116" s="2988" t="s">
        <v>1572</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90</v>
      </c>
      <c r="E117" s="1687">
        <f>D117-$K39</f>
        <v>80</v>
      </c>
      <c r="F117" s="1687">
        <f>E117-$K39</f>
        <v>70</v>
      </c>
      <c r="G117" s="1687">
        <f>F117-$K39</f>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1573</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1614</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1575</v>
      </c>
      <c r="C122" s="2988" t="s">
        <v>1579</v>
      </c>
      <c r="D122" s="2988" t="s">
        <v>1576</v>
      </c>
      <c r="E122" s="2988" t="s">
        <v>1578</v>
      </c>
      <c r="F122" s="2992" t="s">
        <v>1577</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1581</v>
      </c>
      <c r="C124" s="1723" t="s">
        <v>1598</v>
      </c>
      <c r="D124" s="1723" t="s">
        <v>1599</v>
      </c>
      <c r="E124" s="1723" t="s">
        <v>1600</v>
      </c>
      <c r="F124" s="1723" t="s">
        <v>1601</v>
      </c>
      <c r="G124" s="1723" t="s">
        <v>1602</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1" sqref="J61"/>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t="s">
        <v>229</v>
      </c>
      <c r="D1" s="2681" t="s">
        <v>124</v>
      </c>
      <c r="E1" s="2682" t="s">
        <v>1287</v>
      </c>
      <c r="F1" s="2683">
        <f ca="1">J62</f>
        <v>27</v>
      </c>
      <c r="G1" s="2684">
        <f>MATCH(C1,'数据-取费表'!A6:A16,0)+5</f>
        <v>6</v>
      </c>
      <c r="H1" s="2685"/>
      <c r="I1" s="2686"/>
      <c r="J1" s="2686"/>
      <c r="K1" s="2687"/>
      <c r="L1" s="2686"/>
      <c r="M1" s="2686"/>
      <c r="N1" s="2688"/>
      <c r="O1" s="2688"/>
      <c r="P1" s="2688"/>
      <c r="Q1" s="299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381">
        <f ca="1">ROUND(D3/10000,4)</f>
        <v>471.1169</v>
      </c>
      <c r="C2" s="2690" t="s">
        <v>1289</v>
      </c>
      <c r="D2" s="2999" t="s">
        <v>1511</v>
      </c>
      <c r="E2" s="2692"/>
      <c r="F2" s="2693"/>
      <c r="G2" s="2694"/>
      <c r="H2" s="2695"/>
      <c r="I2" s="2695"/>
      <c r="J2" s="2695"/>
      <c r="K2" s="2696"/>
      <c r="L2" s="2695"/>
      <c r="M2" s="2695"/>
    </row>
    <row r="3" ht="18" customHeight="1" spans="1:37">
      <c r="A3" s="2697" t="s">
        <v>1290</v>
      </c>
      <c r="B3" s="2698">
        <f ca="1">IF(ISERROR(D3/F32),0,ROUND(D3/F32,0))</f>
        <v>33925</v>
      </c>
      <c r="C3" s="2690" t="s">
        <v>1291</v>
      </c>
      <c r="D3" s="2690">
        <f ca="1">IF(D2="含税",ROUND((C28+J31+L55)*(1+F31),0),C28+J31+L55)</f>
        <v>4711169</v>
      </c>
      <c r="E3" s="2692"/>
      <c r="F3" s="2693"/>
      <c r="G3" s="2694"/>
      <c r="H3" s="2699" t="s">
        <v>1292</v>
      </c>
      <c r="I3" s="2700"/>
      <c r="J3" s="2700"/>
      <c r="K3" s="2701"/>
      <c r="L3" s="2700"/>
      <c r="M3" s="2700"/>
    </row>
    <row r="4" s="2993" customFormat="1" ht="18" customHeight="1" spans="1:37">
      <c r="A4" s="3000" t="s">
        <v>1293</v>
      </c>
      <c r="B4" s="3001" t="s">
        <v>1294</v>
      </c>
      <c r="C4" s="3002" t="s">
        <v>1615</v>
      </c>
      <c r="D4" s="3001" t="s">
        <v>1296</v>
      </c>
      <c r="E4" s="3003" t="s">
        <v>1297</v>
      </c>
      <c r="F4" s="3004"/>
      <c r="G4" s="3005"/>
      <c r="H4" s="3000" t="s">
        <v>1293</v>
      </c>
      <c r="I4" s="3001" t="s">
        <v>1294</v>
      </c>
      <c r="J4" s="3002" t="s">
        <v>1615</v>
      </c>
      <c r="K4" s="3001" t="s">
        <v>1296</v>
      </c>
      <c r="L4" s="3006" t="s">
        <v>1297</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706">
        <v>1</v>
      </c>
      <c r="B5" s="3008" t="s">
        <v>1298</v>
      </c>
      <c r="C5" s="3009">
        <f ca="1">C6+C10+C12</f>
        <v>292325</v>
      </c>
      <c r="D5" s="3010" t="s">
        <v>1299</v>
      </c>
      <c r="E5" s="3011"/>
      <c r="F5" s="3012"/>
      <c r="G5" s="2995"/>
      <c r="H5" s="2706">
        <v>1</v>
      </c>
      <c r="I5" s="2707" t="s">
        <v>1423</v>
      </c>
      <c r="J5" s="3009">
        <f ca="1">J6+J10+J12</f>
        <v>0</v>
      </c>
      <c r="K5" s="3010" t="s">
        <v>1299</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016">
        <f ca="1">C7-C9</f>
        <v>291960</v>
      </c>
      <c r="D6" s="1279" t="s">
        <v>1301</v>
      </c>
      <c r="E6" s="3017" t="s">
        <v>1616</v>
      </c>
      <c r="F6" s="3018">
        <f ca="1">INDIRECT("'数据-取费表'!u"&amp;$G$1)</f>
        <v>6.4</v>
      </c>
      <c r="G6" s="883"/>
      <c r="H6" s="2712" t="s">
        <v>1009</v>
      </c>
      <c r="I6" s="3015" t="s">
        <v>1300</v>
      </c>
      <c r="J6" s="1287">
        <f ca="1">J7-J9</f>
        <v>0</v>
      </c>
      <c r="K6" s="1279" t="s">
        <v>1301</v>
      </c>
      <c r="L6" s="3017" t="s">
        <v>1616</v>
      </c>
      <c r="M6" s="3019">
        <f ca="1">INDIRECT("'数据-取费表'!z"&amp;$G$1)</f>
        <v>0</v>
      </c>
    </row>
    <row r="7" ht="18" customHeight="1" spans="1:37">
      <c r="A7" s="3020" t="s">
        <v>1038</v>
      </c>
      <c r="B7" s="3021" t="s">
        <v>1303</v>
      </c>
      <c r="C7" s="3022">
        <f ca="1">ROUND(F6*F7*F8,0)</f>
        <v>324400</v>
      </c>
      <c r="D7" s="3023" t="s">
        <v>1304</v>
      </c>
      <c r="E7" s="2723" t="s">
        <v>1305</v>
      </c>
      <c r="F7" s="3024">
        <f ca="1">IF(INDIRECT("'数据-取费表'!ah"&amp;$G$1)="",INDIRECT("'数据-取费表'!k"&amp;$G$1),INDIRECT("'数据-取费表'!ah"&amp;$G$1))</f>
        <v>138.87</v>
      </c>
      <c r="G7" s="883"/>
      <c r="H7" s="3020" t="s">
        <v>1038</v>
      </c>
      <c r="I7" s="3021" t="s">
        <v>1303</v>
      </c>
      <c r="J7" s="3009">
        <f ca="1">ROUND(M6*M8*M7,0)</f>
        <v>0</v>
      </c>
      <c r="K7" s="3023" t="s">
        <v>1304</v>
      </c>
      <c r="L7" s="1301" t="s">
        <v>1305</v>
      </c>
      <c r="M7" s="3025">
        <f ca="1">F7</f>
        <v>138.87</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1042</v>
      </c>
      <c r="B9" s="3027" t="s">
        <v>1306</v>
      </c>
      <c r="C9" s="3009">
        <f ca="1">ROUND(C7*F9,0)</f>
        <v>32440</v>
      </c>
      <c r="D9" s="1279" t="s">
        <v>1307</v>
      </c>
      <c r="E9" s="1301" t="s">
        <v>1308</v>
      </c>
      <c r="F9" s="3030">
        <f ca="1">INDIRECT("'数据-取费表'!w"&amp;$G$1)</f>
        <v>0.1</v>
      </c>
      <c r="G9" s="883"/>
      <c r="H9" s="1315" t="s">
        <v>1042</v>
      </c>
      <c r="I9" s="3027" t="s">
        <v>1306</v>
      </c>
      <c r="J9" s="3022">
        <f ca="1">ROUND(J7*M9,0)</f>
        <v>0</v>
      </c>
      <c r="K9" s="1279" t="s">
        <v>1307</v>
      </c>
      <c r="L9" s="2728" t="s">
        <v>1308</v>
      </c>
      <c r="M9" s="3031">
        <f ca="1">INDIRECT("'数据-取费表'!ab"&amp;$G$1)</f>
        <v>0</v>
      </c>
    </row>
    <row r="10" ht="18" customHeight="1" spans="1:37">
      <c r="A10" s="2712" t="s">
        <v>1014</v>
      </c>
      <c r="B10" s="2730" t="s">
        <v>1309</v>
      </c>
      <c r="C10" s="3022">
        <f ca="1">ROUND(IF(F10="押一",C6/12*F11,IF(F10="押二",C6/12*2*F11,IF(F10="押三",C6/12*3*F11,C11*F11))),0)</f>
        <v>365</v>
      </c>
      <c r="D10" s="2731" t="s">
        <v>1310</v>
      </c>
      <c r="E10" s="2728" t="s">
        <v>1311</v>
      </c>
      <c r="F10" s="2732" t="s">
        <v>1617</v>
      </c>
      <c r="G10" s="883"/>
      <c r="H10" s="2712" t="s">
        <v>1014</v>
      </c>
      <c r="I10" s="2730" t="s">
        <v>1309</v>
      </c>
      <c r="J10" s="3032">
        <f ca="1">ROUND(IF(M10="押一",J6/12*M11,IF(M10="押二",J6/12*2*M11,IF(M10="押三",J6/12*3*M11,J11*M11))),0)</f>
        <v>0</v>
      </c>
      <c r="K10" s="2731" t="s">
        <v>1310</v>
      </c>
      <c r="L10" s="2728" t="s">
        <v>1311</v>
      </c>
      <c r="M10" s="3033"/>
    </row>
    <row r="11" ht="18" customHeight="1" spans="1:37">
      <c r="A11" s="2734"/>
      <c r="B11" s="2735" t="str">
        <f>IF(OR(F10="自定义",F10=" "),"（自定义押金）单位：元","")</f>
        <v/>
      </c>
      <c r="C11" s="3034"/>
      <c r="D11" s="3035"/>
      <c r="E11" s="2728" t="s">
        <v>1312</v>
      </c>
      <c r="F11" s="3036">
        <f ca="1">'数据-取费表'!B40</f>
        <v>0.015</v>
      </c>
      <c r="G11" s="883"/>
      <c r="H11" s="2737"/>
      <c r="I11" s="3037" t="str">
        <f>IF(OR(M10="自定义",M10=" "),"（自定义押金）单位：元","")</f>
        <v/>
      </c>
      <c r="J11" s="3038"/>
      <c r="K11" s="2738"/>
      <c r="L11" s="2728" t="s">
        <v>1312</v>
      </c>
      <c r="M11" s="3031">
        <f ca="1">'数据-取费表'!B40</f>
        <v>0.015</v>
      </c>
    </row>
    <row r="12" ht="18" customHeight="1" spans="1:37">
      <c r="A12" s="2740" t="s">
        <v>1065</v>
      </c>
      <c r="B12" s="2741" t="s">
        <v>1313</v>
      </c>
      <c r="C12" s="3039"/>
      <c r="D12" s="2743"/>
      <c r="E12" s="2744"/>
      <c r="F12" s="2745"/>
      <c r="G12" s="883"/>
      <c r="H12" s="2740" t="s">
        <v>1065</v>
      </c>
      <c r="I12" s="2741" t="s">
        <v>1313</v>
      </c>
      <c r="J12" s="3039"/>
      <c r="K12" s="2746"/>
      <c r="L12" s="2744"/>
      <c r="M12" s="3040"/>
    </row>
    <row r="13" s="408" customFormat="1" ht="18" customHeight="1" spans="1:37">
      <c r="A13" s="2748" t="s">
        <v>1314</v>
      </c>
      <c r="B13" s="2749" t="s">
        <v>1315</v>
      </c>
      <c r="C13" s="3041">
        <f ca="1">ROUND(C14+C22+C24+C26,0)</f>
        <v>41725</v>
      </c>
      <c r="D13" s="3042" t="s">
        <v>1316</v>
      </c>
      <c r="E13" s="3043"/>
      <c r="F13" s="3012"/>
      <c r="G13" s="2995"/>
      <c r="H13" s="2748" t="s">
        <v>1314</v>
      </c>
      <c r="I13" s="2749" t="s">
        <v>1315</v>
      </c>
      <c r="J13" s="3041">
        <f ca="1">ROUND(J14+J22+J24+J26,0)</f>
        <v>7601</v>
      </c>
      <c r="K13" s="3044" t="s">
        <v>1317</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1287">
        <f ca="1">ROUND(IF(AND(项目基本情况!B11="自然人",项目基本情况!B10="北京市",M56="住宅"),C6*F14,C15+C19+C20),2)</f>
        <v>38157</v>
      </c>
      <c r="D14" s="2758" t="s">
        <v>1319</v>
      </c>
      <c r="E14" s="2758" t="str">
        <f>IF(M56="非住宅","","综合税率")</f>
        <v/>
      </c>
      <c r="F14" s="3047" t="str">
        <f ca="1">IF(M56="非住宅","",IF(F6*F7*F8/12/(1+'数据-取费表'!F30)&gt;100000,4%,2.5%))</f>
        <v/>
      </c>
      <c r="G14" s="883"/>
      <c r="H14" s="731" t="s">
        <v>1009</v>
      </c>
      <c r="I14" s="3017" t="s">
        <v>1318</v>
      </c>
      <c r="J14" s="1287">
        <f ca="1">ROUND(IF(AND(项目基本情况!B11="自然人",项目基本情况!B10="北京市",M56="住宅"),J6*M14/(1+'数据-取费表'!C43),J15+J19+J20),0)</f>
        <v>6136</v>
      </c>
      <c r="K14" s="3048" t="s">
        <v>1320</v>
      </c>
      <c r="L14" s="2758" t="str">
        <f>E14</f>
        <v/>
      </c>
      <c r="M14" s="3047" t="str">
        <f ca="1">IF(M56="非住宅","",IF(M6*M7*M8/12/(1+'数据-取费表'!F30)&gt;100000,4%,2.5%))</f>
        <v/>
      </c>
    </row>
    <row r="15" s="2677" customFormat="1" ht="18" customHeight="1" spans="1:37">
      <c r="A15" s="1315" t="s">
        <v>1038</v>
      </c>
      <c r="B15" s="3017" t="s">
        <v>1321</v>
      </c>
      <c r="C15" s="1287">
        <f ca="1">C18</f>
        <v>3122</v>
      </c>
      <c r="D15" s="1104" t="s">
        <v>1322</v>
      </c>
      <c r="E15" s="3049"/>
      <c r="F15" s="3050"/>
      <c r="G15" s="2764"/>
      <c r="H15" s="1315" t="s">
        <v>1038</v>
      </c>
      <c r="I15" s="3017" t="s">
        <v>1321</v>
      </c>
      <c r="J15" s="1287">
        <f ca="1">J18</f>
        <v>-16</v>
      </c>
      <c r="K15" s="1279" t="s">
        <v>1322</v>
      </c>
      <c r="L15" s="3049"/>
      <c r="M15" s="3050"/>
      <c r="N15" s="2764"/>
      <c r="O15" s="2764"/>
      <c r="P15" s="2764"/>
      <c r="Q15" s="3051"/>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3">
        <f ca="1">ROUND(C6*F16,0)</f>
        <v>26276</v>
      </c>
      <c r="D16" s="633" t="s">
        <v>1323</v>
      </c>
      <c r="E16" s="3053" t="s">
        <v>1324</v>
      </c>
      <c r="F16" s="3054">
        <v>0.09</v>
      </c>
      <c r="G16" s="883"/>
      <c r="H16" s="662" t="s">
        <v>1141</v>
      </c>
      <c r="I16" s="3052" t="s">
        <v>973</v>
      </c>
      <c r="J16" s="803">
        <f ca="1">ROUND(J6*M16,0)</f>
        <v>0</v>
      </c>
      <c r="K16" s="3055" t="s">
        <v>1618</v>
      </c>
      <c r="L16" s="3053" t="s">
        <v>1324</v>
      </c>
      <c r="M16" s="3056">
        <v>0.09</v>
      </c>
    </row>
    <row r="17" s="2677" customFormat="1" ht="18" customHeight="1" spans="1:37">
      <c r="A17" s="662" t="s">
        <v>1148</v>
      </c>
      <c r="B17" s="3052" t="s">
        <v>977</v>
      </c>
      <c r="C17" s="3057">
        <f ca="1">ROUND(C22*F16+((C24+C26)*F17),0)</f>
        <v>258</v>
      </c>
      <c r="D17" s="3055" t="s">
        <v>1326</v>
      </c>
      <c r="E17" s="3058"/>
      <c r="F17" s="3054">
        <v>0.06</v>
      </c>
      <c r="G17" s="2764"/>
      <c r="H17" s="662" t="s">
        <v>1148</v>
      </c>
      <c r="I17" s="3052" t="s">
        <v>977</v>
      </c>
      <c r="J17" s="3057">
        <f ca="1">ROUND(J22*M16+((J24+J26)*M17),0)</f>
        <v>132</v>
      </c>
      <c r="K17" s="3059" t="s">
        <v>1326</v>
      </c>
      <c r="L17" s="3058"/>
      <c r="M17" s="3056">
        <v>0.06</v>
      </c>
      <c r="N17" s="2764"/>
      <c r="O17" s="2764"/>
      <c r="P17" s="2764"/>
      <c r="Q17" s="3051"/>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1330</v>
      </c>
      <c r="C18" s="3057">
        <f ca="1">ROUND((C16-C17)*F18,0)</f>
        <v>3122</v>
      </c>
      <c r="D18" s="3048" t="s">
        <v>1328</v>
      </c>
      <c r="E18" s="1301" t="s">
        <v>1329</v>
      </c>
      <c r="F18" s="3054">
        <f>'数据-取费表'!B44</f>
        <v>0.12</v>
      </c>
      <c r="G18" s="2764"/>
      <c r="H18" s="662" t="s">
        <v>1150</v>
      </c>
      <c r="I18" s="3052" t="s">
        <v>1330</v>
      </c>
      <c r="J18" s="3057">
        <f ca="1">ROUND((J16-J17)*M18,0)</f>
        <v>-16</v>
      </c>
      <c r="K18" s="3048" t="s">
        <v>1328</v>
      </c>
      <c r="L18" s="1301" t="s">
        <v>1329</v>
      </c>
      <c r="M18" s="3056">
        <f>'数据-取费表'!B44</f>
        <v>0.12</v>
      </c>
      <c r="N18" s="2764"/>
      <c r="O18" s="2764"/>
      <c r="P18" s="2764"/>
      <c r="Q18" s="3051"/>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1287">
        <f ca="1">IF(AND(项目基本情况!B11="自然人",M56="住宅"),"——",IF(D19="按不含税租金收入（有效毛租金收入）计税",ROUND(C6*F19,0),IF(D19="按房产原值计税",ROUND(C51*F19*0.7,0),INDIRECT("'数据-取费表'!Aj"&amp;$G$1))))</f>
        <v>35035</v>
      </c>
      <c r="D19" s="3060" t="s">
        <v>1619</v>
      </c>
      <c r="E19" s="1301" t="s">
        <v>1332</v>
      </c>
      <c r="F19" s="3054">
        <f>IF(D19="按票据","——",IF(D19="按不含税租金收入（有效毛租金收入）计税",'数据-取费表'!B52,'数据-取费表'!B51))</f>
        <v>0.12</v>
      </c>
      <c r="G19" s="2764"/>
      <c r="H19" s="1315" t="s">
        <v>1042</v>
      </c>
      <c r="I19" s="3017" t="s">
        <v>1331</v>
      </c>
      <c r="J19" s="1287">
        <f ca="1">IF(K19="按不含税租金收入（有效毛租金收入）计税",ROUND(J6*M19,0),ROUND(C51*M19*0.7,0))</f>
        <v>6152</v>
      </c>
      <c r="K19" s="2775"/>
      <c r="L19" s="1301" t="s">
        <v>1332</v>
      </c>
      <c r="M19" s="3056">
        <f>IF(K19="按不含税租金收入（有效毛租金收入）计税",'数据-取费表'!B52,'数据-取费表'!B51)</f>
        <v>0.012</v>
      </c>
      <c r="N19" s="2764"/>
      <c r="O19" s="2764"/>
      <c r="P19" s="2764"/>
      <c r="Q19" s="3051"/>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3061" t="s">
        <v>1333</v>
      </c>
      <c r="C20" s="3062">
        <f ca="1">IF(AND(项目基本情况!B11="自然人",M56="住宅"),"——",ROUND(F20*F21,0))</f>
        <v>0</v>
      </c>
      <c r="D20" s="2778" t="s">
        <v>1334</v>
      </c>
      <c r="E20" s="1301" t="s">
        <v>1335</v>
      </c>
      <c r="F20" s="3018">
        <f>'数据-取费表'!B53</f>
        <v>0</v>
      </c>
      <c r="G20" s="883"/>
      <c r="H20" s="3020" t="s">
        <v>1045</v>
      </c>
      <c r="I20" s="3061" t="s">
        <v>1333</v>
      </c>
      <c r="J20" s="3062">
        <f ca="1">ROUND(M20*M21,0)</f>
        <v>0</v>
      </c>
      <c r="K20" s="2778" t="s">
        <v>1334</v>
      </c>
      <c r="L20" s="1301" t="s">
        <v>1335</v>
      </c>
      <c r="M20" s="3019">
        <f>'数据-取费表'!B53</f>
        <v>0</v>
      </c>
    </row>
    <row r="21" s="2677" customFormat="1" ht="18" customHeight="1" spans="1:37">
      <c r="A21" s="2780"/>
      <c r="B21" s="2815"/>
      <c r="C21" s="3063"/>
      <c r="D21" s="2783"/>
      <c r="E21" s="1301" t="s">
        <v>1336</v>
      </c>
      <c r="F21" s="3064">
        <f ca="1">INDIRECT("'数据-取费表'!r"&amp;$G$1)</f>
        <v>0</v>
      </c>
      <c r="G21" s="2764"/>
      <c r="H21" s="2780"/>
      <c r="I21" s="2781"/>
      <c r="J21" s="3063"/>
      <c r="K21" s="2783"/>
      <c r="L21" s="1301" t="s">
        <v>1336</v>
      </c>
      <c r="M21" s="3065">
        <f ca="1">INDIRECT("'数据-取费表'!r"&amp;$G$1)</f>
        <v>0</v>
      </c>
      <c r="N21" s="2764"/>
      <c r="O21" s="2764"/>
      <c r="P21" s="2764"/>
      <c r="Q21" s="3051"/>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067">
        <f ca="1">ROUND(C51*F22,0)</f>
        <v>1465</v>
      </c>
      <c r="D22" s="3068" t="s">
        <v>1338</v>
      </c>
      <c r="E22" s="1301" t="s">
        <v>1332</v>
      </c>
      <c r="F22" s="3030">
        <f ca="1">INDIRECT("'数据-取费表'!Ak"&amp;$G$1)</f>
        <v>0.002</v>
      </c>
      <c r="G22" s="2764"/>
      <c r="H22" s="3066" t="s">
        <v>1014</v>
      </c>
      <c r="I22" s="2715" t="s">
        <v>1337</v>
      </c>
      <c r="J22" s="3067">
        <f ca="1">ROUND(J35*M22,0)</f>
        <v>1465</v>
      </c>
      <c r="K22" s="3068" t="s">
        <v>1338</v>
      </c>
      <c r="L22" s="1301" t="s">
        <v>1332</v>
      </c>
      <c r="M22" s="3069">
        <f ca="1">INDIRECT("'数据-取费表'!Ak"&amp;$G$1)</f>
        <v>0.002</v>
      </c>
      <c r="N22" s="2764"/>
      <c r="O22" s="2764"/>
      <c r="P22" s="2764"/>
      <c r="Q22" s="3051"/>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70"/>
      <c r="D23" s="3071"/>
      <c r="E23" s="3017" t="s">
        <v>1339</v>
      </c>
      <c r="F23" s="3028">
        <f ca="1">C51</f>
        <v>732362</v>
      </c>
      <c r="G23" s="2764"/>
      <c r="H23" s="2780"/>
      <c r="I23" s="2781"/>
      <c r="J23" s="3070"/>
      <c r="K23" s="3071"/>
      <c r="L23" s="3017" t="s">
        <v>1339</v>
      </c>
      <c r="M23" s="3029">
        <f ca="1">J35</f>
        <v>732362</v>
      </c>
      <c r="N23" s="2764"/>
      <c r="O23" s="2764"/>
      <c r="P23" s="2764"/>
      <c r="Q23" s="3051"/>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067">
        <f ca="1">ROUND(C53*F24,0)</f>
        <v>641</v>
      </c>
      <c r="D24" s="3068" t="s">
        <v>1341</v>
      </c>
      <c r="E24" s="1301" t="s">
        <v>1332</v>
      </c>
      <c r="F24" s="3030">
        <f ca="1">INDIRECT("'数据-取费表'!Al"&amp;$G$1)</f>
        <v>0.001</v>
      </c>
      <c r="G24" s="883"/>
      <c r="H24" s="3066" t="s">
        <v>1065</v>
      </c>
      <c r="I24" s="2715" t="s">
        <v>1340</v>
      </c>
      <c r="J24" s="3067">
        <f ca="1">ROUND(J37*M24,0)</f>
        <v>0</v>
      </c>
      <c r="K24" s="3068" t="s">
        <v>1620</v>
      </c>
      <c r="L24" s="1301" t="s">
        <v>1332</v>
      </c>
      <c r="M24" s="3069">
        <f ca="1">INDIRECT("'数据-取费表'!Al"&amp;$G$1)</f>
        <v>0.001</v>
      </c>
    </row>
    <row r="25" ht="18" customHeight="1" spans="1:37">
      <c r="A25" s="2780"/>
      <c r="B25" s="2781"/>
      <c r="C25" s="3070"/>
      <c r="D25" s="3071"/>
      <c r="E25" s="3061" t="s">
        <v>1343</v>
      </c>
      <c r="F25" s="3028">
        <f ca="1">C53</f>
        <v>640817</v>
      </c>
      <c r="G25" s="883"/>
      <c r="H25" s="2780"/>
      <c r="I25" s="2781"/>
      <c r="J25" s="3070"/>
      <c r="K25" s="3071"/>
      <c r="L25" s="3061" t="s">
        <v>1343</v>
      </c>
      <c r="M25" s="3029">
        <f ca="1">J37</f>
        <v>0</v>
      </c>
    </row>
    <row r="26" s="2677" customFormat="1" ht="18" customHeight="1" spans="1:37">
      <c r="A26" s="2765" t="s">
        <v>1070</v>
      </c>
      <c r="B26" s="2744" t="s">
        <v>1344</v>
      </c>
      <c r="C26" s="3072">
        <f ca="1">ROUND(C5*F26,0)</f>
        <v>1462</v>
      </c>
      <c r="D26" s="2788" t="s">
        <v>1345</v>
      </c>
      <c r="E26" s="2744" t="s">
        <v>1332</v>
      </c>
      <c r="F26" s="3073">
        <f ca="1">INDIRECT("'数据-取费表'!Am"&amp;$G$1)</f>
        <v>0.005</v>
      </c>
      <c r="G26" s="2764"/>
      <c r="H26" s="2765" t="s">
        <v>1070</v>
      </c>
      <c r="I26" s="2744" t="s">
        <v>1344</v>
      </c>
      <c r="J26" s="3072">
        <f ca="1">ROUND(J5*M26,0)</f>
        <v>0</v>
      </c>
      <c r="K26" s="2788" t="s">
        <v>1345</v>
      </c>
      <c r="L26" s="2744" t="s">
        <v>1332</v>
      </c>
      <c r="M26" s="3040">
        <f ca="1">INDIRECT("'数据-取费表'!Am"&amp;$G$1)</f>
        <v>0.005</v>
      </c>
      <c r="N26" s="2764"/>
      <c r="O26" s="2764"/>
      <c r="P26" s="2764"/>
      <c r="Q26" s="3051"/>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250600</v>
      </c>
      <c r="D27" s="3044" t="s">
        <v>1347</v>
      </c>
      <c r="E27" s="3074"/>
      <c r="F27" s="3075"/>
      <c r="G27" s="3076"/>
      <c r="H27" s="2748" t="s">
        <v>1181</v>
      </c>
      <c r="I27" s="2789" t="s">
        <v>1346</v>
      </c>
      <c r="J27" s="3041">
        <f ca="1">J5-J13</f>
        <v>-7601</v>
      </c>
      <c r="K27" s="3044" t="s">
        <v>1347</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32">
        <f ca="1">ROUND(C27*(1-((1+F30)/(1+F28))^F29)/(F28-F30),0)</f>
        <v>4280605</v>
      </c>
      <c r="D28" s="3080" t="s">
        <v>1621</v>
      </c>
      <c r="E28" s="3081" t="s">
        <v>1351</v>
      </c>
      <c r="F28" s="3030">
        <f ca="1">INDIRECT("'数据-取费表'!I"&amp;$G$1)</f>
        <v>0.055</v>
      </c>
      <c r="G28" s="2995"/>
      <c r="H28" s="2706" t="s">
        <v>1348</v>
      </c>
      <c r="I28" s="3008" t="s">
        <v>1622</v>
      </c>
      <c r="J28" s="3082">
        <f ca="1">IF(J5&lt;&gt;0,ROUND(J27*(1-((1+M30)/(1+M28))^M29)/(M28-M30),0),0)</f>
        <v>0</v>
      </c>
      <c r="K28" s="3080" t="s">
        <v>1621</v>
      </c>
      <c r="L28" s="3083" t="s">
        <v>1351</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724"/>
      <c r="B29" s="2793"/>
      <c r="C29" s="3084"/>
      <c r="D29" s="3085"/>
      <c r="E29" s="3081" t="s">
        <v>1354</v>
      </c>
      <c r="F29" s="3086">
        <f ca="1">IF(INDIRECT("'数据-取费表'!af"&amp;$G$1)=0,INDIRECT("'数据-取费表'!ae"&amp;$G$1),INDIRECT("'数据-取费表'!af"&amp;$G$1))</f>
        <v>27</v>
      </c>
      <c r="G29" s="2995"/>
      <c r="H29" s="2724"/>
      <c r="I29" s="2793"/>
      <c r="J29" s="3084"/>
      <c r="K29" s="3085"/>
      <c r="L29" s="3081" t="s">
        <v>1354</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0.02</v>
      </c>
      <c r="G30" s="2995"/>
      <c r="H30" s="2734"/>
      <c r="I30" s="2796"/>
      <c r="J30" s="3088"/>
      <c r="K30" s="2789"/>
      <c r="L30" s="3081" t="s">
        <v>1355</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4665859</v>
      </c>
      <c r="D31" s="3092" t="s">
        <v>1358</v>
      </c>
      <c r="E31" s="3093" t="str">
        <f>IF(D31="其他类型公式—收益价值×（1+9%）","销项税率","征收率")</f>
        <v>销项税率</v>
      </c>
      <c r="F31" s="3094">
        <f>IF(D31="其他类型公式—收益价值×（1+9%）",9%,3%)</f>
        <v>0.09</v>
      </c>
      <c r="G31" s="3076"/>
      <c r="H31" s="2910" t="s">
        <v>1356</v>
      </c>
      <c r="I31" s="3081" t="s">
        <v>1359</v>
      </c>
      <c r="J31" s="3022">
        <f ca="1">ROUND(J28/(1+F28)^F29,0)</f>
        <v>0</v>
      </c>
      <c r="K31" s="1295" t="s">
        <v>1623</v>
      </c>
      <c r="L31" s="3081"/>
      <c r="M31" s="3087">
        <f ca="1">INDIRECT("'数据-取费表'!k"&amp;$G$1)</f>
        <v>138.87</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f ca="1">ROUND(C31/F32,0)</f>
        <v>33599</v>
      </c>
      <c r="D32" s="3098" t="s">
        <v>1363</v>
      </c>
      <c r="E32" s="2798" t="s">
        <v>1364</v>
      </c>
      <c r="F32" s="3099">
        <f ca="1">INDIRECT("'数据-取费表'!k"&amp;$G$1)</f>
        <v>138.87</v>
      </c>
      <c r="G32" s="3076"/>
      <c r="H32" s="3095" t="s">
        <v>1361</v>
      </c>
      <c r="I32" s="3100" t="s">
        <v>1365</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0.142734969639956</v>
      </c>
      <c r="G33" s="883"/>
    </row>
    <row r="34" s="408" customFormat="1" ht="18" customHeight="1" spans="1:37">
      <c r="A34" s="3106" t="s">
        <v>1293</v>
      </c>
      <c r="B34" s="3107" t="s">
        <v>1294</v>
      </c>
      <c r="C34" s="3108" t="s">
        <v>1615</v>
      </c>
      <c r="D34" s="3107" t="s">
        <v>1296</v>
      </c>
      <c r="E34" s="3109" t="s">
        <v>1297</v>
      </c>
      <c r="F34" s="3110"/>
      <c r="G34" s="2995"/>
      <c r="H34" s="3106" t="s">
        <v>1293</v>
      </c>
      <c r="I34" s="3107" t="s">
        <v>1294</v>
      </c>
      <c r="J34" s="3108" t="s">
        <v>1615</v>
      </c>
      <c r="K34" s="3107" t="s">
        <v>1296</v>
      </c>
      <c r="L34" s="3109" t="s">
        <v>1297</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1366</v>
      </c>
      <c r="B35" s="3001" t="s">
        <v>1367</v>
      </c>
      <c r="C35" s="3111">
        <f ca="1">SUM(C36:C41)</f>
        <v>576588</v>
      </c>
      <c r="D35" s="3112" t="s">
        <v>1368</v>
      </c>
      <c r="E35" s="3113"/>
      <c r="F35" s="3114"/>
      <c r="G35" s="883"/>
      <c r="H35" s="3115" t="s">
        <v>1366</v>
      </c>
      <c r="I35" s="3116" t="s">
        <v>1369</v>
      </c>
      <c r="J35" s="3117">
        <f ca="1">C51</f>
        <v>732362</v>
      </c>
      <c r="K35" s="3118" t="s">
        <v>1370</v>
      </c>
      <c r="L35" s="3119"/>
      <c r="M35" s="3120"/>
    </row>
    <row r="36" ht="18" customHeight="1" spans="1:37">
      <c r="A36" s="1315" t="s">
        <v>1038</v>
      </c>
      <c r="B36" s="2365" t="s">
        <v>1371</v>
      </c>
      <c r="C36" s="1103">
        <f ca="1">ROUND(INDIRECT("'数据-取费表'!l"&amp;$G$1)*F32+'数据-取费表'!L14*INDIRECT("'数据-取费表'!S"&amp;$G$1),0)</f>
        <v>499932</v>
      </c>
      <c r="D36" s="2368" t="s">
        <v>1372</v>
      </c>
      <c r="E36" s="2368"/>
      <c r="F36" s="2795"/>
      <c r="G36" s="883"/>
      <c r="H36" s="3121" t="s">
        <v>1014</v>
      </c>
      <c r="I36" s="3122" t="s">
        <v>1179</v>
      </c>
      <c r="J36" s="803">
        <f ca="1">ROUND(J35*(1-M36),0)</f>
        <v>732362</v>
      </c>
      <c r="K36" s="1301" t="s">
        <v>1373</v>
      </c>
      <c r="L36" s="1279" t="s">
        <v>1374</v>
      </c>
      <c r="M36" s="3030">
        <f ca="1">INDIRECT("'数据-取费表'!ad"&amp;$G$1)</f>
        <v>0</v>
      </c>
    </row>
    <row r="37" ht="18" customHeight="1" spans="1:37">
      <c r="A37" s="1315" t="s">
        <v>1042</v>
      </c>
      <c r="B37" s="2365" t="s">
        <v>1624</v>
      </c>
      <c r="C37" s="1287">
        <f ca="1">ROUND(C36*F37,0)</f>
        <v>29996</v>
      </c>
      <c r="D37" s="1301" t="s">
        <v>1375</v>
      </c>
      <c r="E37" s="1301" t="s">
        <v>1332</v>
      </c>
      <c r="F37" s="3054">
        <f>'数据-取费表'!B33</f>
        <v>0.06</v>
      </c>
      <c r="G37" s="883"/>
      <c r="H37" s="3123" t="s">
        <v>1376</v>
      </c>
      <c r="I37" s="3124" t="s">
        <v>1625</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ROUND(F39*(F32+INDIRECT("'数据-取费表'!S"&amp;$G$1)),0)</f>
        <v>41661</v>
      </c>
      <c r="D39" s="1301" t="s">
        <v>1382</v>
      </c>
      <c r="E39" s="1301" t="s">
        <v>1383</v>
      </c>
      <c r="F39" s="3128">
        <f>'数据-取费表'!B35</f>
        <v>300</v>
      </c>
      <c r="G39" s="883"/>
    </row>
    <row r="40" ht="18" customHeight="1" spans="1:37">
      <c r="A40" s="1315" t="s">
        <v>1384</v>
      </c>
      <c r="B40" s="3052" t="s">
        <v>760</v>
      </c>
      <c r="C40" s="1287">
        <f ca="1">ROUND(C36*F40,0)</f>
        <v>4999</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11532</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1626</v>
      </c>
      <c r="F43" s="3030">
        <f>'数据-取费表'!B39</f>
        <v>0.02</v>
      </c>
      <c r="G43" s="883"/>
      <c r="H43" s="713"/>
      <c r="I43" s="713"/>
      <c r="J43" s="713"/>
      <c r="K43" s="1337"/>
      <c r="L43" s="713"/>
      <c r="M43" s="713"/>
    </row>
    <row r="44" ht="18" customHeight="1" spans="1:37">
      <c r="A44" s="2910" t="s">
        <v>1391</v>
      </c>
      <c r="B44" s="3130" t="s">
        <v>1164</v>
      </c>
      <c r="C44" s="3131" t="str">
        <f ca="1">C45&amp;"+"&amp;C46&amp;"V建"</f>
        <v>8822+0.0003V建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8822</v>
      </c>
      <c r="D45" s="1280" t="str">
        <f>IF(F45&lt;=1,"(建造成本+管理费用)×利率×(建设周期÷2)","(建造成本+管理费用)×((1+利率)^(建设周期÷2)-1)")</f>
        <v>(建造成本+管理费用)×利率×(建设周期÷2)</v>
      </c>
      <c r="E45" s="1301" t="s">
        <v>1393</v>
      </c>
      <c r="F45" s="3018">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117624+0.004V建</v>
      </c>
      <c r="D47" s="1295" t="s">
        <v>1397</v>
      </c>
      <c r="E47" s="2361"/>
      <c r="F47" s="3134"/>
      <c r="G47" s="883"/>
      <c r="H47" s="713"/>
      <c r="I47" s="713"/>
      <c r="J47" s="713"/>
      <c r="K47" s="1337"/>
      <c r="L47" s="713"/>
      <c r="M47" s="713"/>
    </row>
    <row r="48" ht="18" customHeight="1" spans="1:37">
      <c r="A48" s="1315" t="s">
        <v>1038</v>
      </c>
      <c r="B48" s="1301" t="s">
        <v>1398</v>
      </c>
      <c r="C48" s="1287">
        <f ca="1">ROUND((C35+C42)*F48,0)</f>
        <v>117624</v>
      </c>
      <c r="D48" s="2776" t="s">
        <v>1399</v>
      </c>
      <c r="E48" s="1301" t="s">
        <v>1400</v>
      </c>
      <c r="F48" s="3030">
        <f ca="1">INDIRECT("'数据-取费表'!q"&amp;$G$1)</f>
        <v>0.2</v>
      </c>
      <c r="G48" s="883"/>
      <c r="H48" s="713"/>
      <c r="I48" s="713"/>
      <c r="J48" s="713"/>
      <c r="K48" s="1337"/>
      <c r="L48" s="713"/>
      <c r="M48" s="713"/>
    </row>
    <row r="49" ht="18" customHeight="1" spans="1:37">
      <c r="A49" s="1315" t="s">
        <v>1042</v>
      </c>
      <c r="B49" s="1301" t="s">
        <v>1401</v>
      </c>
      <c r="C49" s="3132">
        <f ca="1">ROUND(F43*F48,4)</f>
        <v>0.004</v>
      </c>
      <c r="D49" s="2776" t="s">
        <v>1402</v>
      </c>
      <c r="E49" s="1301"/>
      <c r="F49" s="3054"/>
      <c r="G49" s="883"/>
      <c r="H49" s="713"/>
      <c r="I49" s="713"/>
      <c r="J49" s="713"/>
      <c r="K49" s="1337"/>
      <c r="L49" s="713"/>
      <c r="M49" s="713"/>
    </row>
    <row r="50" s="408" customFormat="1" ht="18" customHeight="1" spans="1:37">
      <c r="A50" s="2910" t="s">
        <v>1403</v>
      </c>
      <c r="B50" s="3081" t="s">
        <v>1404</v>
      </c>
      <c r="C50" s="3022">
        <f>ROUND(F50/(1+'数据-取费表'!C43),4)</f>
        <v>0</v>
      </c>
      <c r="D50" s="3135" t="s">
        <v>1405</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910" t="s">
        <v>1406</v>
      </c>
      <c r="B51" s="3081" t="s">
        <v>1407</v>
      </c>
      <c r="C51" s="3022">
        <f ca="1">ROUND((C35+C42+C45+C48)/(1-F43-C46-C49-C50),0)</f>
        <v>732362</v>
      </c>
      <c r="D51" s="3138" t="s">
        <v>1370</v>
      </c>
      <c r="E51" s="3081"/>
      <c r="F51" s="3030"/>
      <c r="K51" s="3005"/>
      <c r="Q51" s="3014"/>
    </row>
    <row r="52" s="2995" customFormat="1" ht="18" customHeight="1" spans="1:37">
      <c r="A52" s="3139" t="s">
        <v>1205</v>
      </c>
      <c r="B52" s="3130" t="s">
        <v>1179</v>
      </c>
      <c r="C52" s="3022">
        <f ca="1">ROUND(C51*(1-F52),0)</f>
        <v>91545</v>
      </c>
      <c r="D52" s="3081" t="s">
        <v>1408</v>
      </c>
      <c r="E52" s="3081" t="s">
        <v>1409</v>
      </c>
      <c r="F52" s="3030">
        <f ca="1">INDIRECT("'数据-取费表'!y"&amp;$G$1)</f>
        <v>0.875</v>
      </c>
      <c r="K52" s="3005"/>
      <c r="Q52" s="3014"/>
    </row>
    <row r="53" s="2995" customFormat="1" ht="18" customHeight="1" spans="1:37">
      <c r="A53" s="3140" t="s">
        <v>1627</v>
      </c>
      <c r="B53" s="3141" t="s">
        <v>1411</v>
      </c>
      <c r="C53" s="3125">
        <f ca="1">C51-C52</f>
        <v>640817</v>
      </c>
      <c r="D53" s="3126" t="s">
        <v>1378</v>
      </c>
      <c r="E53" s="2798"/>
      <c r="F53" s="3142"/>
      <c r="K53" s="3005"/>
      <c r="Q53" s="3014"/>
    </row>
    <row r="54" s="883" customFormat="1" ht="18" customHeight="1" spans="1:37">
      <c r="A54" s="2819"/>
      <c r="B54" s="2819"/>
      <c r="C54" s="2820"/>
      <c r="D54" s="2819"/>
      <c r="E54" s="2819"/>
      <c r="F54" s="2819"/>
      <c r="I54" s="3143" t="s">
        <v>1412</v>
      </c>
      <c r="J54" s="2276"/>
      <c r="O54" s="3144" t="s">
        <v>1413</v>
      </c>
      <c r="P54" s="2818"/>
      <c r="Q54" s="3145"/>
      <c r="R54" s="2818"/>
    </row>
    <row r="55" s="883" customFormat="1" ht="13.5" spans="1:37">
      <c r="A55" s="2822" t="s">
        <v>1628</v>
      </c>
      <c r="C55" s="3146">
        <f ca="1">ROUND(IF(D2="含税",C83-C31,C80-C28)/10000,4)</f>
        <v>-469.7459</v>
      </c>
      <c r="D55" s="2828" t="str">
        <f>C2</f>
        <v>万元</v>
      </c>
      <c r="E55" s="2819"/>
      <c r="F55" s="2819"/>
      <c r="I55" s="2829" t="s">
        <v>1415</v>
      </c>
      <c r="J55" s="2830"/>
      <c r="K55" s="2831"/>
      <c r="L55" s="3147">
        <f ca="1">IF(M56="住宅",0,IF(L57&gt;J60,L69,J69))</f>
        <v>41568</v>
      </c>
      <c r="O55" s="3148" t="s">
        <v>952</v>
      </c>
      <c r="P55" s="3149" t="s">
        <v>1416</v>
      </c>
      <c r="Q55" s="3150" t="s">
        <v>1417</v>
      </c>
      <c r="R55" s="3151" t="s">
        <v>1418</v>
      </c>
    </row>
    <row r="56" s="883" customFormat="1" ht="13.5" spans="1:37">
      <c r="A56" s="3152" t="s">
        <v>1293</v>
      </c>
      <c r="B56" s="3153" t="s">
        <v>1294</v>
      </c>
      <c r="C56" s="3108" t="s">
        <v>1615</v>
      </c>
      <c r="D56" s="3153" t="s">
        <v>1296</v>
      </c>
      <c r="E56" s="3154" t="s">
        <v>1297</v>
      </c>
      <c r="F56" s="3155"/>
      <c r="G56" s="2839"/>
      <c r="I56" s="2840" t="s">
        <v>1419</v>
      </c>
      <c r="J56" s="2841" t="s">
        <v>1565</v>
      </c>
      <c r="K56" s="2842" t="s">
        <v>1420</v>
      </c>
      <c r="L56" s="3156">
        <f ca="1">INDIRECT("'数据-取费表'!d"&amp;$G$1)</f>
        <v>40</v>
      </c>
      <c r="M56" s="2844" t="str">
        <f>IF(ISNUMBER(FIND("住宅",C1)),"住宅","非住宅")</f>
        <v>非住宅</v>
      </c>
      <c r="O56" s="3157" t="s">
        <v>1143</v>
      </c>
      <c r="P56" s="3158" t="s">
        <v>1629</v>
      </c>
      <c r="Q56" s="3159">
        <f ca="1">C28+J31</f>
        <v>4280605</v>
      </c>
      <c r="R56" s="3160" t="s">
        <v>1422</v>
      </c>
    </row>
    <row r="57" s="883" customFormat="1" ht="39" spans="1:37">
      <c r="A57" s="2867" t="s">
        <v>1121</v>
      </c>
      <c r="B57" s="2707" t="s">
        <v>1423</v>
      </c>
      <c r="C57" s="3161">
        <f ca="1">C58+C62+C64</f>
        <v>0</v>
      </c>
      <c r="D57" s="3010" t="s">
        <v>1299</v>
      </c>
      <c r="E57" s="3162"/>
      <c r="F57" s="3163"/>
      <c r="G57" s="2839"/>
      <c r="H57" s="2852"/>
      <c r="I57" s="2853" t="s">
        <v>1424</v>
      </c>
      <c r="J57" s="2854" t="s">
        <v>1630</v>
      </c>
      <c r="K57" s="2855" t="s">
        <v>1425</v>
      </c>
      <c r="L57" s="3164">
        <f ca="1">INDIRECT("'数据-取费表'!f"&amp;$G$1)</f>
        <v>27</v>
      </c>
      <c r="O57" s="3157" t="s">
        <v>1146</v>
      </c>
      <c r="P57" s="3165" t="s">
        <v>1426</v>
      </c>
      <c r="Q57" s="3159">
        <f ca="1">J69</f>
        <v>41568</v>
      </c>
      <c r="R57" s="3160" t="s">
        <v>1427</v>
      </c>
    </row>
    <row r="58" s="883" customFormat="1" ht="15" customHeight="1" spans="1:37">
      <c r="A58" s="3166" t="s">
        <v>1009</v>
      </c>
      <c r="B58" s="3015" t="s">
        <v>1300</v>
      </c>
      <c r="C58" s="3167">
        <f ca="1">C59-C61</f>
        <v>0</v>
      </c>
      <c r="D58" s="1279" t="s">
        <v>1301</v>
      </c>
      <c r="E58" s="3168" t="s">
        <v>1428</v>
      </c>
      <c r="F58" s="3169"/>
      <c r="G58" s="2863"/>
      <c r="H58" s="2852"/>
      <c r="I58" s="2853" t="s">
        <v>1429</v>
      </c>
      <c r="J58" s="3170">
        <v>2014</v>
      </c>
      <c r="K58" s="2855" t="s">
        <v>1430</v>
      </c>
      <c r="L58" s="3171"/>
      <c r="O58" s="2866" t="s">
        <v>1431</v>
      </c>
      <c r="P58" s="3172" t="s">
        <v>1631</v>
      </c>
      <c r="Q58" s="3173">
        <f ca="1">C51</f>
        <v>732362</v>
      </c>
      <c r="R58" s="2847" t="s">
        <v>1433</v>
      </c>
    </row>
    <row r="59" s="883" customFormat="1" ht="15" customHeight="1" spans="1:37">
      <c r="A59" s="3174" t="s">
        <v>1038</v>
      </c>
      <c r="B59" s="3021" t="s">
        <v>1303</v>
      </c>
      <c r="C59" s="3032">
        <f ca="1">ROUND(F58*F60*F59,0)</f>
        <v>0</v>
      </c>
      <c r="D59" s="3023" t="s">
        <v>1304</v>
      </c>
      <c r="E59" s="2870" t="s">
        <v>1305</v>
      </c>
      <c r="F59" s="3175">
        <f ca="1">F7</f>
        <v>138.87</v>
      </c>
      <c r="H59" s="2852"/>
      <c r="I59" s="2853" t="s">
        <v>1434</v>
      </c>
      <c r="J59" s="3176">
        <f>SUMPRODUCT((I72:I74=J56)*(J71:L71=J57)*(J72:L74))</f>
        <v>60</v>
      </c>
      <c r="K59" s="2855" t="s">
        <v>1435</v>
      </c>
      <c r="L59" s="3171"/>
      <c r="M59" s="2873"/>
      <c r="O59" s="2866" t="s">
        <v>1436</v>
      </c>
      <c r="P59" s="2846" t="s">
        <v>1437</v>
      </c>
      <c r="Q59" s="3177">
        <f ca="1">J67</f>
        <v>0.4</v>
      </c>
      <c r="R59" s="2847"/>
    </row>
    <row r="60" s="883" customFormat="1" ht="15" customHeight="1" spans="1:37">
      <c r="A60" s="3178"/>
      <c r="B60" s="3027"/>
      <c r="C60" s="3179"/>
      <c r="D60" s="3023"/>
      <c r="E60" s="2876" t="str">
        <f ca="1">IF(F60=1,"年",IF(F60=12,"月","天"))</f>
        <v>天</v>
      </c>
      <c r="F60" s="3024">
        <f ca="1">F8</f>
        <v>365</v>
      </c>
      <c r="I60" s="2877" t="s">
        <v>1438</v>
      </c>
      <c r="J60" s="3164">
        <f>IF(J58="",J59,J58+J59-YEAR('数据-取费表'!B2))</f>
        <v>48</v>
      </c>
      <c r="K60" s="2878" t="s">
        <v>1439</v>
      </c>
      <c r="L60" s="3180">
        <f ca="1">ROUND(-PV(INDIRECT("'数据-取费表'!h"&amp;$G$1),J60,(C27-C52*C88),0),0)</f>
        <v>4414295</v>
      </c>
      <c r="M60" s="2880"/>
      <c r="O60" s="2866" t="s">
        <v>1440</v>
      </c>
      <c r="P60" s="2846" t="s">
        <v>1441</v>
      </c>
      <c r="Q60" s="3177">
        <f>J61</f>
        <v>0.075</v>
      </c>
      <c r="R60" s="2847"/>
    </row>
    <row r="61" s="883" customFormat="1" ht="15" customHeight="1" spans="1:37">
      <c r="A61" s="3181" t="s">
        <v>1042</v>
      </c>
      <c r="B61" s="3027" t="s">
        <v>1306</v>
      </c>
      <c r="C61" s="3182">
        <f ca="1">ROUND(C59*F61,0)</f>
        <v>0</v>
      </c>
      <c r="D61" s="1279" t="s">
        <v>1307</v>
      </c>
      <c r="E61" s="2876" t="s">
        <v>1308</v>
      </c>
      <c r="F61" s="3183"/>
      <c r="I61" s="2882" t="s">
        <v>1442</v>
      </c>
      <c r="J61" s="3184">
        <v>0.075</v>
      </c>
      <c r="K61" s="2882" t="s">
        <v>1443</v>
      </c>
      <c r="L61" s="3185"/>
      <c r="O61" s="2866" t="s">
        <v>1444</v>
      </c>
      <c r="P61" s="2846" t="s">
        <v>1445</v>
      </c>
      <c r="Q61" s="3173">
        <f ca="1">J62</f>
        <v>27</v>
      </c>
      <c r="R61" s="2847" t="s">
        <v>1446</v>
      </c>
    </row>
    <row r="62" s="883" customFormat="1" ht="24.75" spans="1:37">
      <c r="A62" s="3186" t="s">
        <v>1014</v>
      </c>
      <c r="B62" s="3187" t="s">
        <v>1309</v>
      </c>
      <c r="C62" s="3022">
        <f ca="1">ROUND(IF(F62="押一",C58/12*F11,IF(F62="押二",C58/12*2*F11,IF(F62="押三",C58/12*3*F11,C63*F11))),0)</f>
        <v>0</v>
      </c>
      <c r="D62" s="2731" t="s">
        <v>1310</v>
      </c>
      <c r="E62" s="2728" t="s">
        <v>1311</v>
      </c>
      <c r="F62" s="3188"/>
      <c r="I62" s="2885" t="s">
        <v>1447</v>
      </c>
      <c r="J62" s="3189">
        <f ca="1">IF(M56="住宅",IF(D1="——",MAX(J60,L57),MAX(J60,L57-'数据-取费表'!B24)),IF(D1="——",MIN(J60,L57),MIN(J60,L57-'数据-取费表'!B24)))</f>
        <v>27</v>
      </c>
      <c r="K62" s="2887" t="s">
        <v>1448</v>
      </c>
      <c r="L62" s="2888"/>
      <c r="O62" s="3157" t="s">
        <v>1449</v>
      </c>
      <c r="P62" s="3158" t="s">
        <v>1632</v>
      </c>
      <c r="Q62" s="3159">
        <f ca="1">ROUND((Q56+Q57)*(1+F31),0)</f>
        <v>4711169</v>
      </c>
      <c r="R62" s="3160" t="s">
        <v>1633</v>
      </c>
    </row>
    <row r="63" s="883" customFormat="1" ht="13.5" spans="1:37">
      <c r="A63" s="3190"/>
      <c r="B63" s="2735" t="str">
        <f>IF(OR(F62="自定义",F62=" "),"（自定义押金）单位：元","")</f>
        <v/>
      </c>
      <c r="C63" s="303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1452</v>
      </c>
      <c r="P63" s="2894"/>
      <c r="Q63" s="3191"/>
      <c r="R63" s="2894"/>
    </row>
    <row r="64" s="883" customFormat="1" ht="13.5" spans="1:37">
      <c r="A64" s="2740" t="s">
        <v>1065</v>
      </c>
      <c r="B64" s="2741" t="s">
        <v>1313</v>
      </c>
      <c r="C64" s="3192"/>
      <c r="D64" s="2731"/>
      <c r="E64" s="2890"/>
      <c r="F64" s="2891"/>
      <c r="I64" s="2895" t="s">
        <v>1453</v>
      </c>
      <c r="J64" s="2896">
        <f ca="1">ROUND(IF(J56="钢混",J66/J59,1-(1-2%)*(J59-J66)/J59),3)</f>
        <v>0.35</v>
      </c>
      <c r="K64" s="2897" t="s">
        <v>1454</v>
      </c>
      <c r="L64" s="2898"/>
      <c r="O64" s="3148" t="s">
        <v>952</v>
      </c>
      <c r="P64" s="3149" t="s">
        <v>1416</v>
      </c>
      <c r="Q64" s="3150" t="s">
        <v>1417</v>
      </c>
      <c r="R64" s="3151" t="s">
        <v>1418</v>
      </c>
    </row>
    <row r="65" s="883" customFormat="1" ht="25.5" spans="1:18">
      <c r="A65" s="2910" t="s">
        <v>1314</v>
      </c>
      <c r="B65" s="2900" t="s">
        <v>1315</v>
      </c>
      <c r="C65" s="3022">
        <f ca="1">ROUND(C66+C74+C76+C78,0)</f>
        <v>2086</v>
      </c>
      <c r="D65" s="2900" t="s">
        <v>1455</v>
      </c>
      <c r="E65" s="3193"/>
      <c r="F65" s="2851"/>
      <c r="I65" s="2902" t="s">
        <v>1456</v>
      </c>
      <c r="J65" s="2903" t="s">
        <v>1634</v>
      </c>
      <c r="K65" s="2853" t="s">
        <v>1457</v>
      </c>
      <c r="L65" s="3164" t="str">
        <f ca="1">IF(L57&lt;J60,"——",L57-J62)</f>
        <v>——</v>
      </c>
      <c r="O65" s="3157" t="s">
        <v>1143</v>
      </c>
      <c r="P65" s="3158" t="s">
        <v>1629</v>
      </c>
      <c r="Q65" s="3159">
        <f ca="1">C28+J31</f>
        <v>4280605</v>
      </c>
      <c r="R65" s="3160" t="s">
        <v>1422</v>
      </c>
    </row>
    <row r="66" s="883" customFormat="1" ht="24.75" spans="1:18">
      <c r="A66" s="1282" t="s">
        <v>1009</v>
      </c>
      <c r="B66" s="1306" t="s">
        <v>1318</v>
      </c>
      <c r="C66" s="1287">
        <f ca="1">ROUND(IF(AND(项目基本情况!B11="自然人",项目基本情况!B10="北京市",M56="住宅"),C58*F66,C67+C71+C72),0)</f>
        <v>-20</v>
      </c>
      <c r="D66" s="2914" t="s">
        <v>1319</v>
      </c>
      <c r="E66" s="2914" t="str">
        <f>E14</f>
        <v/>
      </c>
      <c r="F66" s="3047" t="str">
        <f ca="1">IF(M56="非住宅","",IF(F58*F59*F60/12/(1+'数据-取费表'!F30)&gt;100000,4%,2.5%))</f>
        <v/>
      </c>
      <c r="I66" s="2908" t="s">
        <v>1458</v>
      </c>
      <c r="J66" s="3194">
        <f ca="1">IF(OR(M56="住宅",J60&lt;L57,J65="是"),"——",J60-L57)</f>
        <v>21</v>
      </c>
      <c r="K66" s="2853" t="s">
        <v>1459</v>
      </c>
      <c r="L66" s="3195" t="str">
        <f ca="1">IF(L57&lt;J60,"——",IF(L64="比较法",L58,IF(L64="基准地价",L59,L60)))</f>
        <v>——</v>
      </c>
      <c r="O66" s="3157" t="s">
        <v>1146</v>
      </c>
      <c r="P66" s="3165" t="s">
        <v>1460</v>
      </c>
      <c r="Q66" s="3159">
        <f ca="1">L69</f>
        <v>0</v>
      </c>
      <c r="R66" s="3160" t="s">
        <v>1461</v>
      </c>
    </row>
    <row r="67" s="883" customFormat="1" ht="24.75" spans="1:18">
      <c r="A67" s="1315" t="s">
        <v>1038</v>
      </c>
      <c r="B67" s="3017" t="s">
        <v>1321</v>
      </c>
      <c r="C67" s="1287">
        <f ca="1">C70</f>
        <v>-20</v>
      </c>
      <c r="D67" s="1279" t="s">
        <v>1322</v>
      </c>
      <c r="E67" s="3049"/>
      <c r="F67" s="3050"/>
      <c r="I67" s="2908" t="s">
        <v>1462</v>
      </c>
      <c r="J67" s="3196">
        <f ca="1">IF(J64&lt;0.4,0.4,J64)</f>
        <v>0.4</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1287">
        <f ca="1">ROUND(C58*F68,0)</f>
        <v>0</v>
      </c>
      <c r="D68" s="633" t="s">
        <v>1323</v>
      </c>
      <c r="E68" s="3053" t="s">
        <v>1324</v>
      </c>
      <c r="F68" s="3054">
        <f>F16</f>
        <v>0.09</v>
      </c>
      <c r="I68" s="2908" t="s">
        <v>1465</v>
      </c>
      <c r="J68" s="3197">
        <f ca="1">IF(OR(M56="住宅",J60&lt;L57,J65="是"),"——",ROUND(C51*J67,0))</f>
        <v>292945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1287">
        <f ca="1">ROUND(C74*F68+((C76+C78)*F69),0)</f>
        <v>170</v>
      </c>
      <c r="D69" s="3055" t="s">
        <v>1326</v>
      </c>
      <c r="E69" s="3058"/>
      <c r="F69" s="3054">
        <f>F17</f>
        <v>0.06</v>
      </c>
      <c r="I69" s="2916" t="s">
        <v>1467</v>
      </c>
      <c r="J69" s="3198">
        <f ca="1">IF(OR(M56="住宅",J60&lt;L57,J65="是"),"0",ROUND(J68/(1+J61)^J62,0))</f>
        <v>41568</v>
      </c>
      <c r="K69" s="2918" t="s">
        <v>1468</v>
      </c>
      <c r="L69" s="3198">
        <f ca="1">IF(OR(M56="住宅",L57&lt;J60),0,ROUND(L66*(L67/L68-1),0))</f>
        <v>0</v>
      </c>
      <c r="O69" s="2866" t="s">
        <v>1440</v>
      </c>
      <c r="P69" s="2846" t="s">
        <v>1469</v>
      </c>
      <c r="Q69" s="3199" t="e">
        <f ca="1">L67</f>
        <v>#DIV/0!</v>
      </c>
      <c r="R69" s="2847" t="s">
        <v>1470</v>
      </c>
    </row>
    <row r="70" s="883" customFormat="1" ht="13.5" spans="1:18">
      <c r="A70" s="662" t="s">
        <v>1150</v>
      </c>
      <c r="B70" s="3052" t="s">
        <v>1330</v>
      </c>
      <c r="C70" s="1287">
        <f ca="1">ROUND((C68-C69)*F70,0)</f>
        <v>-20</v>
      </c>
      <c r="D70" s="3048" t="s">
        <v>1328</v>
      </c>
      <c r="E70" s="1301" t="s">
        <v>1329</v>
      </c>
      <c r="F70" s="3054">
        <f>F18</f>
        <v>0.12</v>
      </c>
      <c r="I70" s="2818"/>
      <c r="J70" s="2818"/>
      <c r="K70" s="2818"/>
      <c r="L70" s="2818"/>
      <c r="O70" s="2866" t="s">
        <v>1444</v>
      </c>
      <c r="P70" s="2846" t="str">
        <f>K68</f>
        <v>建筑物剩余耐用年限下的土地年期修正系数Kn</v>
      </c>
      <c r="Q70" s="3199" t="e">
        <f ca="1">L68</f>
        <v>#DIV/0!</v>
      </c>
      <c r="R70" s="2847" t="s">
        <v>1471</v>
      </c>
    </row>
    <row r="71" s="883" customFormat="1" ht="13.5" spans="1:18">
      <c r="A71" s="1315" t="s">
        <v>1042</v>
      </c>
      <c r="B71" s="1306" t="s">
        <v>1331</v>
      </c>
      <c r="C71" s="1287">
        <f ca="1">IF(项目基本情况!B11="自然人","——",IF(D71="按不含税租金收入（有效毛租金收入）计税",ROUND(C58*F71/(1+'数据-取费表'!C43),0),IF(D71="按房产原值计税",ROUND(F74*F71*0.7,0),INDIRECT("'数据-取费表'!Aj"&amp;$G$1))))</f>
        <v>0</v>
      </c>
      <c r="D71" s="2775"/>
      <c r="E71" s="1343" t="s">
        <v>1332</v>
      </c>
      <c r="F71" s="3054">
        <f t="shared" ref="F71:F73" si="0">F19</f>
        <v>0.12</v>
      </c>
      <c r="I71" s="2921" t="s">
        <v>1472</v>
      </c>
      <c r="J71" s="2922" t="s">
        <v>1473</v>
      </c>
      <c r="K71" s="2922" t="s">
        <v>1474</v>
      </c>
      <c r="L71" s="2922" t="s">
        <v>1475</v>
      </c>
      <c r="M71" s="804" t="s">
        <v>1476</v>
      </c>
      <c r="O71" s="3157" t="s">
        <v>1449</v>
      </c>
      <c r="P71" s="3158" t="s">
        <v>1632</v>
      </c>
      <c r="Q71" s="3159">
        <f ca="1">ROUND((Q65+Q66)*(1+F31),0)</f>
        <v>4665859</v>
      </c>
      <c r="R71" s="3160" t="s">
        <v>1633</v>
      </c>
    </row>
    <row r="72" s="883" customFormat="1" ht="13.5" spans="1:18">
      <c r="A72" s="3020" t="s">
        <v>1045</v>
      </c>
      <c r="B72" s="3200" t="s">
        <v>1333</v>
      </c>
      <c r="C72" s="3062">
        <f ca="1">IF(项目基本情况!B11="自然人","——",ROUND(F72*F73,0))</f>
        <v>0</v>
      </c>
      <c r="D72" s="2920" t="s">
        <v>1334</v>
      </c>
      <c r="E72" s="1343" t="s">
        <v>1335</v>
      </c>
      <c r="F72" s="3018">
        <f t="shared" si="0"/>
        <v>0</v>
      </c>
      <c r="I72" s="3201" t="s">
        <v>1477</v>
      </c>
      <c r="J72" s="3202">
        <v>70</v>
      </c>
      <c r="K72" s="3202">
        <v>50</v>
      </c>
      <c r="L72" s="3202">
        <v>80</v>
      </c>
      <c r="M72" s="2925">
        <v>0.02</v>
      </c>
      <c r="O72" s="2825" t="s">
        <v>1478</v>
      </c>
      <c r="P72" s="2894"/>
      <c r="Q72" s="3191"/>
      <c r="R72" s="2894"/>
    </row>
    <row r="73" s="883" customFormat="1" ht="13.5" spans="1:18">
      <c r="A73" s="3026"/>
      <c r="B73" s="2923"/>
      <c r="C73" s="3063"/>
      <c r="D73" s="2924"/>
      <c r="E73" s="1343" t="s">
        <v>1336</v>
      </c>
      <c r="F73" s="3064">
        <f ca="1" t="shared" si="0"/>
        <v>0</v>
      </c>
      <c r="I73" s="3201" t="s">
        <v>1479</v>
      </c>
      <c r="J73" s="3202">
        <v>50</v>
      </c>
      <c r="K73" s="3202">
        <v>35</v>
      </c>
      <c r="L73" s="3202">
        <v>60</v>
      </c>
      <c r="M73" s="804">
        <v>0</v>
      </c>
      <c r="O73" s="3148" t="s">
        <v>952</v>
      </c>
      <c r="P73" s="3149" t="s">
        <v>1416</v>
      </c>
      <c r="Q73" s="3150" t="s">
        <v>1417</v>
      </c>
      <c r="R73" s="3151" t="s">
        <v>1418</v>
      </c>
    </row>
    <row r="74" s="883" customFormat="1" ht="13.5" spans="1:18">
      <c r="A74" s="3203" t="s">
        <v>1014</v>
      </c>
      <c r="B74" s="2919" t="s">
        <v>1337</v>
      </c>
      <c r="C74" s="3067">
        <f ca="1">ROUND(F74*F75,0)</f>
        <v>1465</v>
      </c>
      <c r="D74" s="3204" t="s">
        <v>1338</v>
      </c>
      <c r="E74" s="1306" t="s">
        <v>1484</v>
      </c>
      <c r="F74" s="3180">
        <f ca="1">C51</f>
        <v>732362</v>
      </c>
      <c r="I74" s="3201" t="s">
        <v>1485</v>
      </c>
      <c r="J74" s="3202">
        <v>40</v>
      </c>
      <c r="K74" s="3202">
        <v>30</v>
      </c>
      <c r="L74" s="3202">
        <v>50</v>
      </c>
      <c r="M74" s="2925">
        <v>0.02</v>
      </c>
      <c r="O74" s="3157" t="s">
        <v>1143</v>
      </c>
      <c r="P74" s="3165" t="s">
        <v>1421</v>
      </c>
      <c r="Q74" s="3205">
        <f ca="1">C28+J31</f>
        <v>4280605</v>
      </c>
      <c r="R74" s="3160" t="s">
        <v>1422</v>
      </c>
    </row>
    <row r="75" s="883" customFormat="1" ht="17.25" spans="1:18">
      <c r="A75" s="3206"/>
      <c r="B75" s="2923"/>
      <c r="C75" s="3070"/>
      <c r="D75" s="3207"/>
      <c r="E75" s="1343" t="s">
        <v>1332</v>
      </c>
      <c r="F75" s="3030">
        <f ca="1">F22</f>
        <v>0.002</v>
      </c>
      <c r="O75" s="3157" t="s">
        <v>1146</v>
      </c>
      <c r="P75" s="3165" t="s">
        <v>1460</v>
      </c>
      <c r="Q75" s="3208">
        <f ca="1">L69</f>
        <v>0</v>
      </c>
      <c r="R75" s="3160" t="s">
        <v>1461</v>
      </c>
    </row>
    <row r="76" s="883" customFormat="1" ht="13.5" spans="1:18">
      <c r="A76" s="3203" t="s">
        <v>1065</v>
      </c>
      <c r="B76" s="2919" t="s">
        <v>1340</v>
      </c>
      <c r="C76" s="3067">
        <f ca="1">ROUND(F76*F77,0)</f>
        <v>641</v>
      </c>
      <c r="D76" s="3204" t="s">
        <v>1341</v>
      </c>
      <c r="E76" s="1306" t="s">
        <v>1411</v>
      </c>
      <c r="F76" s="3209">
        <f ca="1">C53</f>
        <v>640817</v>
      </c>
      <c r="O76" s="2845"/>
      <c r="P76" s="2846"/>
      <c r="Q76" s="3199"/>
      <c r="R76" s="2847"/>
    </row>
    <row r="77" s="883" customFormat="1" ht="17.25" spans="1:18">
      <c r="A77" s="3206"/>
      <c r="B77" s="2923"/>
      <c r="C77" s="3070"/>
      <c r="D77" s="3207"/>
      <c r="E77" s="1343" t="s">
        <v>1332</v>
      </c>
      <c r="F77" s="3030">
        <f ca="1">F24</f>
        <v>0.001</v>
      </c>
      <c r="O77" s="2866" t="s">
        <v>1431</v>
      </c>
      <c r="P77" s="2846" t="s">
        <v>1464</v>
      </c>
      <c r="Q77" s="3210">
        <f ca="1">L60</f>
        <v>4414295</v>
      </c>
      <c r="R77" s="2847" t="s">
        <v>1486</v>
      </c>
    </row>
    <row r="78" s="2995" customFormat="1" ht="13.5" spans="1:18">
      <c r="A78" s="1282" t="s">
        <v>1070</v>
      </c>
      <c r="B78" s="1343" t="s">
        <v>1344</v>
      </c>
      <c r="C78" s="1287">
        <f ca="1">ROUND(C57*F78,0)</f>
        <v>0</v>
      </c>
      <c r="D78" s="2915" t="s">
        <v>1345</v>
      </c>
      <c r="E78" s="1343" t="s">
        <v>1332</v>
      </c>
      <c r="F78" s="3030">
        <f ca="1">F26</f>
        <v>0.005</v>
      </c>
      <c r="G78" s="883"/>
      <c r="H78" s="883"/>
      <c r="O78" s="2866"/>
      <c r="P78" s="2846"/>
      <c r="Q78" s="3210"/>
      <c r="R78" s="2847"/>
    </row>
    <row r="79" s="2995" customFormat="1" ht="17.25" spans="1:18">
      <c r="A79" s="2899" t="s">
        <v>1181</v>
      </c>
      <c r="B79" s="2926" t="s">
        <v>1346</v>
      </c>
      <c r="C79" s="3022">
        <f ca="1">C57-C65</f>
        <v>-2086</v>
      </c>
      <c r="D79" s="2926" t="s">
        <v>1347</v>
      </c>
      <c r="E79" s="3211"/>
      <c r="F79" s="3212"/>
      <c r="O79" s="2866" t="s">
        <v>1436</v>
      </c>
      <c r="P79" s="2932" t="s">
        <v>1487</v>
      </c>
      <c r="Q79" s="3210">
        <f ca="1">ROUND(Q80-Q81*Q82,0)</f>
        <v>244192</v>
      </c>
      <c r="R79" s="2847" t="s">
        <v>1488</v>
      </c>
    </row>
    <row r="80" s="2995" customFormat="1" ht="13.5" spans="1:18">
      <c r="A80" s="3213" t="s">
        <v>1348</v>
      </c>
      <c r="B80" s="2931" t="s">
        <v>1349</v>
      </c>
      <c r="C80" s="3032">
        <f ca="1">ROUND(C79*(1-((1+F82)/(1+F80))^F81)/(F80-F82),0)</f>
        <v>-28991</v>
      </c>
      <c r="D80" s="3214" t="s">
        <v>1350</v>
      </c>
      <c r="E80" s="2900" t="s">
        <v>1351</v>
      </c>
      <c r="F80" s="3030">
        <f ca="1">F28</f>
        <v>0.055</v>
      </c>
      <c r="O80" s="2866" t="s">
        <v>1489</v>
      </c>
      <c r="P80" s="2932" t="s">
        <v>1490</v>
      </c>
      <c r="Q80" s="3210">
        <f ca="1">C27</f>
        <v>250600</v>
      </c>
      <c r="R80" s="2847" t="s">
        <v>1433</v>
      </c>
    </row>
    <row r="81" s="2995" customFormat="1" ht="13.5" spans="1:18">
      <c r="A81" s="3215"/>
      <c r="B81" s="2934"/>
      <c r="C81" s="3009"/>
      <c r="D81" s="3216" t="s">
        <v>1353</v>
      </c>
      <c r="E81" s="2900" t="s">
        <v>1354</v>
      </c>
      <c r="F81" s="3086">
        <f ca="1">F29</f>
        <v>27</v>
      </c>
      <c r="O81" s="2866" t="s">
        <v>1491</v>
      </c>
      <c r="P81" s="2932" t="s">
        <v>1492</v>
      </c>
      <c r="Q81" s="3210">
        <f ca="1">C52</f>
        <v>91545</v>
      </c>
      <c r="R81" s="2847" t="s">
        <v>1433</v>
      </c>
    </row>
    <row r="82" s="2995" customFormat="1" ht="13.5" spans="1:18">
      <c r="A82" s="3217"/>
      <c r="B82" s="3218"/>
      <c r="C82" s="3218"/>
      <c r="D82" s="3219"/>
      <c r="E82" s="2900" t="s">
        <v>1355</v>
      </c>
      <c r="F82" s="3183"/>
      <c r="O82" s="2866" t="s">
        <v>1493</v>
      </c>
      <c r="P82" s="2932" t="s">
        <v>1494</v>
      </c>
      <c r="Q82" s="3177">
        <f ca="1">C88</f>
        <v>0.07</v>
      </c>
      <c r="R82" s="2847"/>
    </row>
    <row r="83" s="2995" customFormat="1" ht="13.5" spans="1:18">
      <c r="A83" s="2936"/>
      <c r="B83" s="3220" t="s">
        <v>1495</v>
      </c>
      <c r="C83" s="3041">
        <f ca="1">ROUND(C80*(1+F31),0)</f>
        <v>-31600</v>
      </c>
      <c r="D83" s="3221" t="str">
        <f>D31</f>
        <v>其他类型公式—收益价值×（1+9%）</v>
      </c>
      <c r="E83" s="2691"/>
      <c r="F83" s="3222"/>
      <c r="O83" s="2866" t="s">
        <v>1440</v>
      </c>
      <c r="P83" s="2846" t="s">
        <v>1466</v>
      </c>
      <c r="Q83" s="3177">
        <f>L61</f>
        <v>0</v>
      </c>
      <c r="R83" s="2847"/>
    </row>
    <row r="84" ht="17.25" spans="1:18">
      <c r="A84" s="2938" t="s">
        <v>1356</v>
      </c>
      <c r="B84" s="2939" t="s">
        <v>1362</v>
      </c>
      <c r="C84" s="3125">
        <f ca="1">ROUND(C83/F84,0)</f>
        <v>-228</v>
      </c>
      <c r="D84" s="3223" t="s">
        <v>1363</v>
      </c>
      <c r="E84" s="2939" t="s">
        <v>1364</v>
      </c>
      <c r="F84" s="3099">
        <f ca="1">F32</f>
        <v>138.87</v>
      </c>
      <c r="G84" s="2995"/>
      <c r="H84" s="2995"/>
      <c r="O84" s="2866" t="s">
        <v>1444</v>
      </c>
      <c r="P84" s="2846" t="s">
        <v>1469</v>
      </c>
      <c r="Q84" s="3199" t="e">
        <f ca="1">L67</f>
        <v>#DIV/0!</v>
      </c>
      <c r="R84" s="2847" t="s">
        <v>1470</v>
      </c>
    </row>
    <row r="85" ht="13.5" spans="1:18">
      <c r="A85" s="883"/>
      <c r="B85" s="2276"/>
      <c r="C85" s="2276"/>
      <c r="D85" s="883"/>
      <c r="E85" s="883"/>
      <c r="F85" s="883"/>
      <c r="O85" s="2866" t="s">
        <v>1496</v>
      </c>
      <c r="P85" s="2846" t="str">
        <f>K68</f>
        <v>建筑物剩余耐用年限下的土地年期修正系数Kn</v>
      </c>
      <c r="Q85" s="3199" t="e">
        <f ca="1">L68</f>
        <v>#DIV/0!</v>
      </c>
      <c r="R85" s="2847" t="s">
        <v>1471</v>
      </c>
    </row>
    <row r="86" ht="13.5" spans="1:18">
      <c r="A86" s="883"/>
      <c r="B86" s="495" t="s">
        <v>1497</v>
      </c>
      <c r="C86" s="2942"/>
      <c r="D86" s="883"/>
      <c r="E86" s="883"/>
      <c r="F86" s="883"/>
      <c r="K86" s="2821"/>
      <c r="L86" s="883"/>
      <c r="O86" s="3157" t="s">
        <v>1449</v>
      </c>
      <c r="P86" s="3158" t="s">
        <v>1632</v>
      </c>
      <c r="Q86" s="3205">
        <f ca="1">ROUND((Q74+Q75)*(1+F31),0)</f>
        <v>4665859</v>
      </c>
      <c r="R86" s="3160" t="s">
        <v>1633</v>
      </c>
    </row>
    <row r="87" spans="1:18">
      <c r="A87" s="883"/>
      <c r="B87" s="2943" t="s">
        <v>1498</v>
      </c>
      <c r="C87" s="1807">
        <f ca="1">ROUND(C53*C88,0)</f>
        <v>44857</v>
      </c>
      <c r="D87" s="883"/>
      <c r="E87" s="883"/>
      <c r="F87" s="883"/>
      <c r="I87" s="883"/>
      <c r="J87" s="883"/>
      <c r="K87" s="2821"/>
      <c r="L87" s="883"/>
    </row>
    <row r="88" spans="1:18">
      <c r="B88" s="837" t="s">
        <v>1499</v>
      </c>
      <c r="C88" s="3224">
        <f ca="1">INDIRECT("'数据-取费表'!j"&amp;$G$1)</f>
        <v>0.07</v>
      </c>
      <c r="I88" s="883"/>
      <c r="J88" s="883"/>
      <c r="K88" s="2821"/>
      <c r="L88" s="883"/>
    </row>
    <row r="89" spans="1:18">
      <c r="B89" s="2946" t="s">
        <v>1500</v>
      </c>
      <c r="C89" s="2947"/>
    </row>
    <row r="90" spans="1:18">
      <c r="B90" s="493" t="s">
        <v>1501</v>
      </c>
      <c r="C90" s="2948"/>
    </row>
    <row r="91" spans="1:18">
      <c r="B91" s="2943" t="s">
        <v>1502</v>
      </c>
      <c r="C91" s="3225">
        <f ca="1">1-C92</f>
        <v>0.821</v>
      </c>
    </row>
    <row r="92" spans="1:18">
      <c r="B92" s="2943" t="s">
        <v>1503</v>
      </c>
      <c r="C92" s="3225">
        <f ca="1">ROUND(C87/C27,3)</f>
        <v>0.179</v>
      </c>
    </row>
    <row r="93" spans="1:18">
      <c r="B93" s="493" t="s">
        <v>1504</v>
      </c>
      <c r="C93" s="460"/>
    </row>
    <row r="94" spans="1:18">
      <c r="B94" s="495" t="s">
        <v>1214</v>
      </c>
      <c r="C94" s="3226">
        <f ca="1">1-C95</f>
        <v>0.852</v>
      </c>
    </row>
    <row r="95" spans="1:18">
      <c r="B95" s="495" t="s">
        <v>1215</v>
      </c>
      <c r="C95" s="3225">
        <f ca="1">ROUND(C53/(C28+J31+L55),3)</f>
        <v>0.148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27" sqref="K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837</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0.1042</v>
      </c>
      <c r="C2" s="1859" t="s">
        <v>1511</v>
      </c>
      <c r="D2" s="2954">
        <f ca="1">IF(E1="项目模式",IF(E2="——",ROUND(C49*D3/10000,0),ROUND(C49*D3/10000,0)-F2),IF(E1="单套模式",IF(E2="——",ROUND(C49*D3/10000,4),ROUND(C49*D3/10000,4)-F2)))</f>
        <v>0.1042</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7.5</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1521</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 t="shared" ref="F7:J7" si="0">SUMIF(58:58,YEAR(E7)&amp;"-"&amp;MONTH(E7),59:59)</f>
        <v>100</v>
      </c>
      <c r="G7" s="1429">
        <v>46023</v>
      </c>
      <c r="H7" s="1432">
        <f t="shared" si="0"/>
        <v>100</v>
      </c>
      <c r="I7" s="1429">
        <v>46023</v>
      </c>
      <c r="J7" s="1432">
        <f t="shared" si="0"/>
        <v>100</v>
      </c>
      <c r="K7" s="2960"/>
      <c r="P7" s="1436" t="s">
        <v>1526</v>
      </c>
      <c r="Q7" s="1437"/>
      <c r="R7" s="2115" t="s">
        <v>1527</v>
      </c>
      <c r="S7" s="2116">
        <f t="shared" ref="S7:W7" si="1">F7</f>
        <v>100</v>
      </c>
      <c r="T7" s="2115" t="s">
        <v>1527</v>
      </c>
      <c r="U7" s="2116">
        <f t="shared" si="1"/>
        <v>100</v>
      </c>
      <c r="V7" s="2115" t="s">
        <v>1527</v>
      </c>
      <c r="W7" s="2116">
        <f t="shared" si="1"/>
        <v>100</v>
      </c>
      <c r="X7" s="1440"/>
      <c r="Y7" s="1441" t="s">
        <v>1526</v>
      </c>
      <c r="Z7" s="1442"/>
      <c r="AA7" s="1443">
        <f t="shared" ref="AA7:AA15" si="2">D7/F7</f>
        <v>1</v>
      </c>
      <c r="AB7" s="1443">
        <f t="shared" ref="AB7:AB15" si="3">D7/H7</f>
        <v>1</v>
      </c>
      <c r="AC7" s="1443">
        <f t="shared" ref="AC7:AC15" si="4">D7/J7</f>
        <v>1</v>
      </c>
    </row>
    <row r="8" s="1352" customFormat="1" ht="15.75" spans="1:29">
      <c r="A8" s="1885" t="s">
        <v>1528</v>
      </c>
      <c r="B8" s="1886"/>
      <c r="C8" s="1895" t="s">
        <v>1529</v>
      </c>
      <c r="D8" s="1428">
        <v>100</v>
      </c>
      <c r="E8" s="1895" t="s">
        <v>1529</v>
      </c>
      <c r="F8" s="1430">
        <f>SUMIF(61:61,E8,62:62)-SUMIF(61:61,C8,62:62)+100</f>
        <v>100</v>
      </c>
      <c r="G8" s="1895" t="s">
        <v>1529</v>
      </c>
      <c r="H8" s="1432">
        <f>SUMIF(61:61,G8,62:62)-SUMIF(61:61,C8,62:62)+100</f>
        <v>100</v>
      </c>
      <c r="I8" s="1895" t="s">
        <v>1529</v>
      </c>
      <c r="J8" s="1432">
        <f>SUMIF(61:61,I8,62:62)-SUMIF(61:61,C8,62:62)+100</f>
        <v>100</v>
      </c>
      <c r="K8" s="2960"/>
      <c r="L8" s="1434"/>
      <c r="M8" s="1435"/>
      <c r="N8" s="1435"/>
      <c r="O8" s="1435"/>
      <c r="P8" s="1436" t="s">
        <v>1531</v>
      </c>
      <c r="Q8" s="1445"/>
      <c r="R8" s="2115" t="s">
        <v>1527</v>
      </c>
      <c r="S8" s="2116">
        <f t="shared" ref="S8:W8" si="5">F8</f>
        <v>100</v>
      </c>
      <c r="T8" s="2115" t="s">
        <v>1527</v>
      </c>
      <c r="U8" s="2116">
        <f t="shared" si="5"/>
        <v>100</v>
      </c>
      <c r="V8" s="2115" t="s">
        <v>1527</v>
      </c>
      <c r="W8" s="2116">
        <f t="shared" si="5"/>
        <v>100</v>
      </c>
      <c r="X8" s="1440"/>
      <c r="Y8" s="1441" t="s">
        <v>1531</v>
      </c>
      <c r="Z8" s="1442"/>
      <c r="AA8" s="1443">
        <f t="shared" si="2"/>
        <v>1</v>
      </c>
      <c r="AB8" s="1443">
        <f t="shared" si="3"/>
        <v>1</v>
      </c>
      <c r="AC8" s="1443">
        <f t="shared" si="4"/>
        <v>1</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ref="S9:W9" si="7">F9</f>
        <v>100</v>
      </c>
      <c r="T9" s="2115" t="s">
        <v>1527</v>
      </c>
      <c r="U9" s="2116">
        <f t="shared" si="7"/>
        <v>100</v>
      </c>
      <c r="V9" s="2115" t="s">
        <v>1527</v>
      </c>
      <c r="W9" s="2116">
        <f t="shared" si="7"/>
        <v>100</v>
      </c>
      <c r="X9" s="1440"/>
      <c r="Y9" s="1169" t="s">
        <v>1535</v>
      </c>
      <c r="Z9" s="1443" t="str">
        <f t="shared" ref="Z9:Z15" si="8">Q9</f>
        <v>用途</v>
      </c>
      <c r="AA9" s="1443">
        <f t="shared" si="2"/>
        <v>1</v>
      </c>
      <c r="AB9" s="1443">
        <f t="shared" si="3"/>
        <v>1</v>
      </c>
      <c r="AC9" s="1443">
        <f t="shared" si="4"/>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1527</v>
      </c>
      <c r="S10" s="2116">
        <f t="shared" ref="S10:W10" si="9">F10</f>
        <v>100</v>
      </c>
      <c r="T10" s="2115" t="s">
        <v>1527</v>
      </c>
      <c r="U10" s="2116">
        <f t="shared" si="9"/>
        <v>100</v>
      </c>
      <c r="V10" s="2115" t="s">
        <v>1527</v>
      </c>
      <c r="W10" s="2116">
        <f t="shared" si="9"/>
        <v>100</v>
      </c>
      <c r="X10" s="1440"/>
      <c r="Y10" s="1169"/>
      <c r="Z10" s="1443" t="str">
        <f t="shared" si="8"/>
        <v>土地使用年限（年）</v>
      </c>
      <c r="AA10" s="1443">
        <f t="shared" si="2"/>
        <v>1</v>
      </c>
      <c r="AB10" s="1443">
        <f t="shared" si="3"/>
        <v>1</v>
      </c>
      <c r="AC10" s="1443">
        <f t="shared" si="4"/>
        <v>1</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ref="S11:W11" si="10">F11</f>
        <v>100</v>
      </c>
      <c r="T11" s="2115" t="s">
        <v>1527</v>
      </c>
      <c r="U11" s="2116">
        <f t="shared" si="10"/>
        <v>100</v>
      </c>
      <c r="V11" s="2115" t="s">
        <v>1527</v>
      </c>
      <c r="W11" s="2116">
        <f t="shared" si="10"/>
        <v>100</v>
      </c>
      <c r="X11" s="1440"/>
      <c r="Y11" s="1169"/>
      <c r="Z11" s="1443" t="str">
        <f t="shared" si="8"/>
        <v>容积率</v>
      </c>
      <c r="AA11" s="1443">
        <f t="shared" si="2"/>
        <v>1</v>
      </c>
      <c r="AB11" s="1443">
        <f t="shared" si="3"/>
        <v>1</v>
      </c>
      <c r="AC11" s="1443">
        <f t="shared" si="4"/>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ref="S12:W12" si="11">F12</f>
        <v>100</v>
      </c>
      <c r="T12" s="2115" t="s">
        <v>1527</v>
      </c>
      <c r="U12" s="2116">
        <f t="shared" si="11"/>
        <v>100</v>
      </c>
      <c r="V12" s="2115" t="s">
        <v>1527</v>
      </c>
      <c r="W12" s="2116">
        <f t="shared" si="11"/>
        <v>100</v>
      </c>
      <c r="X12" s="1440"/>
      <c r="Y12" s="1169"/>
      <c r="Z12" s="1443">
        <f t="shared" si="8"/>
        <v>111</v>
      </c>
      <c r="AA12" s="1443">
        <f t="shared" si="2"/>
        <v>1</v>
      </c>
      <c r="AB12" s="1443">
        <f t="shared" si="3"/>
        <v>1</v>
      </c>
      <c r="AC12" s="1443">
        <f t="shared" si="4"/>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ref="S13:W13" si="12">F13</f>
        <v>100</v>
      </c>
      <c r="T13" s="2115" t="s">
        <v>1527</v>
      </c>
      <c r="U13" s="2116">
        <f t="shared" si="12"/>
        <v>100</v>
      </c>
      <c r="V13" s="2115" t="s">
        <v>1527</v>
      </c>
      <c r="W13" s="2116">
        <f t="shared" si="12"/>
        <v>100</v>
      </c>
      <c r="X13" s="1440"/>
      <c r="Y13" s="1169"/>
      <c r="Z13" s="1443">
        <f t="shared" si="8"/>
        <v>111</v>
      </c>
      <c r="AA13" s="1443">
        <f t="shared" si="2"/>
        <v>1</v>
      </c>
      <c r="AB13" s="1443">
        <f t="shared" si="3"/>
        <v>1</v>
      </c>
      <c r="AC13" s="1443">
        <f t="shared" si="4"/>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ref="S14:W14" si="13">F14</f>
        <v>100</v>
      </c>
      <c r="T14" s="2115" t="s">
        <v>1527</v>
      </c>
      <c r="U14" s="2116">
        <f t="shared" si="13"/>
        <v>100</v>
      </c>
      <c r="V14" s="2115" t="s">
        <v>1527</v>
      </c>
      <c r="W14" s="2116">
        <f t="shared" si="13"/>
        <v>100</v>
      </c>
      <c r="X14" s="1440"/>
      <c r="Y14" s="1169"/>
      <c r="Z14" s="1443">
        <f t="shared" si="8"/>
        <v>111</v>
      </c>
      <c r="AA14" s="1443">
        <f t="shared" si="2"/>
        <v>1</v>
      </c>
      <c r="AB14" s="1443">
        <f t="shared" si="3"/>
        <v>1</v>
      </c>
      <c r="AC14" s="1443">
        <f t="shared" si="4"/>
        <v>1</v>
      </c>
    </row>
    <row r="15" ht="68.25" spans="1:29">
      <c r="A15" s="1669" t="s">
        <v>1540</v>
      </c>
      <c r="B15" s="1779" t="s">
        <v>1541</v>
      </c>
      <c r="C15" s="1780" t="str">
        <f>估价对象房地状况!C4</f>
        <v>估价对象位于XX商圈，周边商业氛围成熟，人流量大，商业繁华度好</v>
      </c>
      <c r="D15" s="1484">
        <v>100</v>
      </c>
      <c r="E15" s="1485"/>
      <c r="F15" s="2962">
        <f t="shared" ref="F15:F19" si="14">SUMIF(76:76,E16,77:77)-SUMIF(76:76,C16,77:77)+100</f>
        <v>100</v>
      </c>
      <c r="G15" s="1487"/>
      <c r="H15" s="1486">
        <f t="shared" ref="H15:H19" si="15">SUMIF(76:76,G16,77:77)-SUMIF(76:76,C16,77:77)+100</f>
        <v>100</v>
      </c>
      <c r="I15" s="1485"/>
      <c r="J15" s="1486">
        <f t="shared" ref="J15:J19" si="16">SUMIF(76:76,I16,77:77)-SUMIF(76:76,C16,77:77)+100</f>
        <v>100</v>
      </c>
      <c r="K15" s="2963">
        <v>3</v>
      </c>
      <c r="L15" s="1475"/>
      <c r="M15" s="1391"/>
      <c r="N15" s="1391"/>
      <c r="O15" s="1391"/>
      <c r="P15" s="1501" t="s">
        <v>1542</v>
      </c>
      <c r="Q15" s="1051" t="str">
        <f t="shared" si="6"/>
        <v>商业繁华度</v>
      </c>
      <c r="R15" s="2121" t="s">
        <v>1527</v>
      </c>
      <c r="S15" s="2122">
        <f t="shared" ref="S15:W15" si="17">F15</f>
        <v>100</v>
      </c>
      <c r="T15" s="2121" t="s">
        <v>1527</v>
      </c>
      <c r="U15" s="2122">
        <f t="shared" si="17"/>
        <v>100</v>
      </c>
      <c r="V15" s="2121" t="s">
        <v>1527</v>
      </c>
      <c r="W15" s="2122">
        <f t="shared" si="17"/>
        <v>100</v>
      </c>
      <c r="X15" s="1396"/>
      <c r="Y15" s="1490" t="s">
        <v>1542</v>
      </c>
      <c r="Z15" s="1491" t="str">
        <f t="shared" si="8"/>
        <v>商业繁华度</v>
      </c>
      <c r="AA15" s="1491">
        <f t="shared" si="2"/>
        <v>1</v>
      </c>
      <c r="AB15" s="1491">
        <f t="shared" si="3"/>
        <v>1</v>
      </c>
      <c r="AC15" s="1491">
        <f t="shared" si="4"/>
        <v>1</v>
      </c>
    </row>
    <row r="16" ht="15" spans="1:29">
      <c r="A16" s="1676"/>
      <c r="B16" s="1781"/>
      <c r="C16" s="1493" t="s">
        <v>1543</v>
      </c>
      <c r="D16" s="1494"/>
      <c r="E16" s="1493" t="s">
        <v>1543</v>
      </c>
      <c r="F16" s="2964"/>
      <c r="G16" s="1493" t="s">
        <v>1543</v>
      </c>
      <c r="H16" s="1497"/>
      <c r="I16" s="1493" t="s">
        <v>1543</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1544</v>
      </c>
      <c r="C17" s="1501" t="str">
        <f>估价对象房地状况!C6</f>
        <v>估价对象周边道路状况、公共交通通达情况、停车便捷程度，综合评价交通便捷度较好</v>
      </c>
      <c r="D17" s="1502">
        <v>100</v>
      </c>
      <c r="E17" s="1503"/>
      <c r="F17" s="2966">
        <f t="shared" si="14"/>
        <v>100</v>
      </c>
      <c r="G17" s="1505"/>
      <c r="H17" s="1504">
        <f t="shared" si="15"/>
        <v>100</v>
      </c>
      <c r="I17" s="1503"/>
      <c r="J17" s="1504">
        <f t="shared" si="16"/>
        <v>100</v>
      </c>
      <c r="K17" s="2963">
        <v>2</v>
      </c>
      <c r="L17" s="1475"/>
      <c r="M17" s="1391"/>
      <c r="N17" s="1391"/>
      <c r="O17" s="1391"/>
      <c r="P17" s="1516"/>
      <c r="Q17" s="1051" t="str">
        <f t="shared" ref="Q17:Q21" si="18">B17</f>
        <v>交通便捷度</v>
      </c>
      <c r="R17" s="2121" t="s">
        <v>1527</v>
      </c>
      <c r="S17" s="2122">
        <f t="shared" ref="S17:W17" si="19">F17</f>
        <v>100</v>
      </c>
      <c r="T17" s="2121" t="s">
        <v>1527</v>
      </c>
      <c r="U17" s="2122">
        <f t="shared" si="19"/>
        <v>100</v>
      </c>
      <c r="V17" s="2121" t="s">
        <v>1527</v>
      </c>
      <c r="W17" s="2122">
        <f t="shared" si="19"/>
        <v>100</v>
      </c>
      <c r="X17" s="1396"/>
      <c r="Y17" s="1499"/>
      <c r="Z17" s="1491" t="str">
        <f t="shared" ref="Z17:Z21" si="20">Q17</f>
        <v>交通便捷度</v>
      </c>
      <c r="AA17" s="1491">
        <f t="shared" ref="AA17:AA21" si="21">D17/F17</f>
        <v>1</v>
      </c>
      <c r="AB17" s="1491">
        <f t="shared" ref="AB17:AB21" si="22">D17/H17</f>
        <v>1</v>
      </c>
      <c r="AC17" s="1491">
        <f t="shared" ref="AC17:AC21" si="23">D17/J17</f>
        <v>1</v>
      </c>
    </row>
    <row r="18" ht="15" spans="1:29">
      <c r="A18" s="1676"/>
      <c r="B18" s="1539"/>
      <c r="C18" s="1784" t="s">
        <v>1545</v>
      </c>
      <c r="D18" s="1502"/>
      <c r="E18" s="1784" t="s">
        <v>1545</v>
      </c>
      <c r="F18" s="2966"/>
      <c r="G18" s="1784" t="s">
        <v>1545</v>
      </c>
      <c r="H18" s="1496"/>
      <c r="I18" s="1784" t="s">
        <v>1545</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8"/>
      <c r="F19" s="2967">
        <f t="shared" si="14"/>
        <v>100</v>
      </c>
      <c r="G19" s="1789"/>
      <c r="H19" s="1497">
        <f t="shared" si="15"/>
        <v>100</v>
      </c>
      <c r="I19" s="1788"/>
      <c r="J19" s="1497">
        <f t="shared" si="16"/>
        <v>100</v>
      </c>
      <c r="K19" s="2963">
        <v>2</v>
      </c>
      <c r="L19" s="1475"/>
      <c r="M19" s="1391"/>
      <c r="N19" s="1391"/>
      <c r="O19" s="1391"/>
      <c r="P19" s="1516"/>
      <c r="Q19" s="1051" t="str">
        <f t="shared" si="18"/>
        <v>公共配套设施</v>
      </c>
      <c r="R19" s="2121" t="s">
        <v>1527</v>
      </c>
      <c r="S19" s="2122">
        <f t="shared" ref="S19:W19" si="24">F19</f>
        <v>100</v>
      </c>
      <c r="T19" s="2121" t="s">
        <v>1527</v>
      </c>
      <c r="U19" s="2122">
        <f t="shared" si="24"/>
        <v>100</v>
      </c>
      <c r="V19" s="2121" t="s">
        <v>1527</v>
      </c>
      <c r="W19" s="2122">
        <f t="shared" si="24"/>
        <v>100</v>
      </c>
      <c r="X19" s="1396"/>
      <c r="Y19" s="1499"/>
      <c r="Z19" s="1491" t="str">
        <f t="shared" si="20"/>
        <v>公共配套设施</v>
      </c>
      <c r="AA19" s="1491">
        <f t="shared" si="21"/>
        <v>1</v>
      </c>
      <c r="AB19" s="1491">
        <f t="shared" si="22"/>
        <v>1</v>
      </c>
      <c r="AC19" s="1491">
        <f t="shared" si="23"/>
        <v>1</v>
      </c>
    </row>
    <row r="20" ht="15" spans="1:29">
      <c r="A20" s="1676"/>
      <c r="B20" s="1539"/>
      <c r="C20" s="1493" t="s">
        <v>1543</v>
      </c>
      <c r="D20" s="1494"/>
      <c r="E20" s="1493" t="s">
        <v>1543</v>
      </c>
      <c r="F20" s="2964"/>
      <c r="G20" s="1493" t="s">
        <v>1543</v>
      </c>
      <c r="H20" s="1496"/>
      <c r="I20" s="1493" t="s">
        <v>1543</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 t="shared" si="18"/>
        <v>基础设施水平</v>
      </c>
      <c r="R21" s="2121" t="s">
        <v>1527</v>
      </c>
      <c r="S21" s="2122">
        <f t="shared" ref="S21:W21" si="25">F21</f>
        <v>100</v>
      </c>
      <c r="T21" s="2121" t="s">
        <v>1527</v>
      </c>
      <c r="U21" s="2122">
        <f t="shared" si="25"/>
        <v>100</v>
      </c>
      <c r="V21" s="2121" t="s">
        <v>1527</v>
      </c>
      <c r="W21" s="2122">
        <f t="shared" si="25"/>
        <v>100</v>
      </c>
      <c r="X21" s="1396"/>
      <c r="Y21" s="1499"/>
      <c r="Z21" s="1491" t="str">
        <f t="shared" si="20"/>
        <v>基础设施水平</v>
      </c>
      <c r="AA21" s="1491">
        <f t="shared" si="21"/>
        <v>1</v>
      </c>
      <c r="AB21" s="1491">
        <f t="shared" si="22"/>
        <v>1</v>
      </c>
      <c r="AC21" s="1491">
        <f t="shared" si="23"/>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1548</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 t="shared" ref="Q23:Q46" si="26">B23</f>
        <v>自然及人文环境</v>
      </c>
      <c r="R23" s="2121" t="s">
        <v>1527</v>
      </c>
      <c r="S23" s="2122">
        <f t="shared" ref="S23:W23" si="27">F23</f>
        <v>100</v>
      </c>
      <c r="T23" s="2121" t="s">
        <v>1527</v>
      </c>
      <c r="U23" s="2122">
        <f t="shared" si="27"/>
        <v>100</v>
      </c>
      <c r="V23" s="2121" t="s">
        <v>1527</v>
      </c>
      <c r="W23" s="2122">
        <f t="shared" si="27"/>
        <v>100</v>
      </c>
      <c r="X23" s="1396"/>
      <c r="Y23" s="1499"/>
      <c r="Z23" s="1491" t="str">
        <f t="shared" ref="Z23:Z46" si="28">Q23</f>
        <v>自然及人文环境</v>
      </c>
      <c r="AA23" s="1491">
        <f t="shared" ref="AA23:AA46" si="29">D23/F23</f>
        <v>1</v>
      </c>
      <c r="AB23" s="1491">
        <f t="shared" ref="AB23:AB46" si="30">D23/H23</f>
        <v>1</v>
      </c>
      <c r="AC23" s="1491">
        <f t="shared" ref="AC23:AC46" si="31">D23/J23</f>
        <v>1</v>
      </c>
    </row>
    <row r="24" ht="15" spans="1:29">
      <c r="A24" s="1676"/>
      <c r="B24" s="1539"/>
      <c r="C24" s="1493" t="s">
        <v>1543</v>
      </c>
      <c r="D24" s="1494"/>
      <c r="E24" s="1493" t="s">
        <v>1543</v>
      </c>
      <c r="F24" s="2964"/>
      <c r="G24" s="1493" t="s">
        <v>1543</v>
      </c>
      <c r="H24" s="1496"/>
      <c r="I24" s="1493" t="s">
        <v>1543</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1549</v>
      </c>
      <c r="C25" s="1514" t="s">
        <v>1550</v>
      </c>
      <c r="D25" s="1473">
        <v>100</v>
      </c>
      <c r="E25" s="1514" t="s">
        <v>1550</v>
      </c>
      <c r="F25" s="2190">
        <f>SUMIF(86:86,E25,87:87)-SUMIF(86:86,C25,87:87)+100</f>
        <v>100</v>
      </c>
      <c r="G25" s="1514" t="s">
        <v>1550</v>
      </c>
      <c r="H25" s="1474">
        <f>SUMIF(86:86,G25,87:87)-SUMIF(86:86,C25,87:87)+100</f>
        <v>100</v>
      </c>
      <c r="I25" s="1514" t="s">
        <v>1550</v>
      </c>
      <c r="J25" s="1474">
        <f>SUMIF(86:86,I25,87:87)-SUMIF(86:86,C25,87:87)+100</f>
        <v>100</v>
      </c>
      <c r="K25" s="1793">
        <v>10</v>
      </c>
      <c r="L25" s="1475"/>
      <c r="M25" s="1391"/>
      <c r="N25" s="1391"/>
      <c r="O25" s="1391"/>
      <c r="P25" s="1516"/>
      <c r="Q25" s="1051" t="str">
        <f t="shared" si="26"/>
        <v>临街状况</v>
      </c>
      <c r="R25" s="2121" t="s">
        <v>1527</v>
      </c>
      <c r="S25" s="2122">
        <f t="shared" ref="S25:W25" si="32">F25</f>
        <v>100</v>
      </c>
      <c r="T25" s="2121" t="s">
        <v>1527</v>
      </c>
      <c r="U25" s="2122">
        <f t="shared" si="32"/>
        <v>100</v>
      </c>
      <c r="V25" s="2121" t="s">
        <v>1527</v>
      </c>
      <c r="W25" s="2122">
        <f t="shared" si="32"/>
        <v>100</v>
      </c>
      <c r="X25" s="1396"/>
      <c r="Y25" s="1499"/>
      <c r="Z25" s="1491" t="str">
        <f t="shared" si="28"/>
        <v>临街状况</v>
      </c>
      <c r="AA25" s="1491">
        <f t="shared" si="29"/>
        <v>1</v>
      </c>
      <c r="AB25" s="1491">
        <f t="shared" si="30"/>
        <v>1</v>
      </c>
      <c r="AC25" s="1491">
        <f t="shared" si="31"/>
        <v>1</v>
      </c>
    </row>
    <row r="26" ht="15" spans="1:29">
      <c r="A26" s="1676"/>
      <c r="B26" s="1794" t="s">
        <v>1552</v>
      </c>
      <c r="C26" s="2969" t="s">
        <v>1543</v>
      </c>
      <c r="D26" s="1473">
        <v>100</v>
      </c>
      <c r="E26" s="2969" t="s">
        <v>1543</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26"/>
        <v>平面位置/可视性</v>
      </c>
      <c r="R26" s="2121" t="s">
        <v>1527</v>
      </c>
      <c r="S26" s="2122">
        <f t="shared" ref="S26:W26" si="33">F26</f>
        <v>100</v>
      </c>
      <c r="T26" s="2121" t="s">
        <v>1527</v>
      </c>
      <c r="U26" s="2122">
        <f t="shared" si="33"/>
        <v>100</v>
      </c>
      <c r="V26" s="2121" t="s">
        <v>1527</v>
      </c>
      <c r="W26" s="2122">
        <f t="shared" si="33"/>
        <v>100</v>
      </c>
      <c r="X26" s="1396"/>
      <c r="Y26" s="1499"/>
      <c r="Z26" s="1491" t="str">
        <f t="shared" si="28"/>
        <v>平面位置/可视性</v>
      </c>
      <c r="AA26" s="1491">
        <f t="shared" si="29"/>
        <v>1</v>
      </c>
      <c r="AB26" s="1491">
        <f t="shared" si="30"/>
        <v>1</v>
      </c>
      <c r="AC26" s="1491">
        <f t="shared" si="31"/>
        <v>1</v>
      </c>
    </row>
    <row r="27" s="1352" customFormat="1" ht="15" spans="1:29">
      <c r="A27" s="1724"/>
      <c r="B27" s="1782" t="s">
        <v>1553</v>
      </c>
      <c r="C27" s="2970" t="s">
        <v>1545</v>
      </c>
      <c r="D27" s="2184">
        <v>100</v>
      </c>
      <c r="E27" s="2970" t="s">
        <v>1554</v>
      </c>
      <c r="F27" s="2971">
        <f>SUMIF(90:90,E27,91:91)-SUMIF(90:90,C27,91:91)+100</f>
        <v>110</v>
      </c>
      <c r="G27" s="2970" t="s">
        <v>1554</v>
      </c>
      <c r="H27" s="2185">
        <f>SUMIF(90:90,G27,91:91)-SUMIF(90:90,C27,91:91)+100</f>
        <v>110</v>
      </c>
      <c r="I27" s="2970" t="s">
        <v>1545</v>
      </c>
      <c r="J27" s="2185">
        <f>SUMIF(90:90,I27,91:91)-SUMIF(90:90,C27,91:91)+100</f>
        <v>100</v>
      </c>
      <c r="K27" s="1793">
        <v>10</v>
      </c>
      <c r="L27" s="1434"/>
      <c r="M27" s="1435"/>
      <c r="N27" s="1435"/>
      <c r="O27" s="1435"/>
      <c r="P27" s="1516"/>
      <c r="Q27" s="1205" t="str">
        <f t="shared" si="26"/>
        <v>人流量</v>
      </c>
      <c r="R27" s="2115" t="s">
        <v>1527</v>
      </c>
      <c r="S27" s="2116">
        <f t="shared" ref="S27:W27" si="34">F27</f>
        <v>110</v>
      </c>
      <c r="T27" s="2115" t="s">
        <v>1527</v>
      </c>
      <c r="U27" s="2116">
        <f t="shared" si="34"/>
        <v>110</v>
      </c>
      <c r="V27" s="2115" t="s">
        <v>1527</v>
      </c>
      <c r="W27" s="2116">
        <f t="shared" si="34"/>
        <v>100</v>
      </c>
      <c r="X27" s="1440"/>
      <c r="Y27" s="1499"/>
      <c r="Z27" s="1443" t="str">
        <f t="shared" si="28"/>
        <v>人流量</v>
      </c>
      <c r="AA27" s="1491">
        <f t="shared" si="29"/>
        <v>0.909090909090909</v>
      </c>
      <c r="AB27" s="1491">
        <f t="shared" si="30"/>
        <v>0.909090909090909</v>
      </c>
      <c r="AC27" s="1491">
        <f t="shared" si="31"/>
        <v>1</v>
      </c>
    </row>
    <row r="28" ht="15" spans="1:29">
      <c r="A28" s="1676"/>
      <c r="B28" s="1453" t="s">
        <v>1555</v>
      </c>
      <c r="C28" s="1514" t="s">
        <v>1556</v>
      </c>
      <c r="D28" s="1473">
        <v>100</v>
      </c>
      <c r="E28" s="1514" t="s">
        <v>1635</v>
      </c>
      <c r="F28" s="2190">
        <f>SUMIF(92:92,E28,93:93)-SUMIF(92:92,C28,93:93)+100</f>
        <v>108</v>
      </c>
      <c r="G28" s="1514" t="s">
        <v>1635</v>
      </c>
      <c r="H28" s="1474">
        <f>SUMIF(92:92,G28,93:93)-SUMIF(92:92,C28,93:93)+100</f>
        <v>108</v>
      </c>
      <c r="I28" s="1514" t="s">
        <v>1556</v>
      </c>
      <c r="J28" s="1474">
        <f>SUMIF(92:92,I28,93:93)-SUMIF(92:92,C28,93:93)+100</f>
        <v>100</v>
      </c>
      <c r="K28" s="1792"/>
      <c r="L28" s="1475"/>
      <c r="M28" s="1391"/>
      <c r="N28" s="1391"/>
      <c r="O28" s="1391"/>
      <c r="P28" s="1516"/>
      <c r="Q28" s="1051" t="str">
        <f t="shared" si="26"/>
        <v>楼层</v>
      </c>
      <c r="R28" s="2121" t="s">
        <v>1527</v>
      </c>
      <c r="S28" s="2122">
        <f t="shared" ref="S28:W28" si="35">F28</f>
        <v>108</v>
      </c>
      <c r="T28" s="2121" t="s">
        <v>1527</v>
      </c>
      <c r="U28" s="2122">
        <f t="shared" si="35"/>
        <v>108</v>
      </c>
      <c r="V28" s="2121" t="s">
        <v>1527</v>
      </c>
      <c r="W28" s="2122">
        <f t="shared" si="35"/>
        <v>100</v>
      </c>
      <c r="X28" s="1396"/>
      <c r="Y28" s="1499"/>
      <c r="Z28" s="1491" t="str">
        <f t="shared" si="28"/>
        <v>楼层</v>
      </c>
      <c r="AA28" s="1491">
        <f t="shared" si="29"/>
        <v>0.925925925925926</v>
      </c>
      <c r="AB28" s="1491">
        <f t="shared" si="30"/>
        <v>0.925925925925926</v>
      </c>
      <c r="AC28" s="1491">
        <f t="shared" si="31"/>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6"/>
        <v>111</v>
      </c>
      <c r="R29" s="2121" t="s">
        <v>1527</v>
      </c>
      <c r="S29" s="2122">
        <f t="shared" ref="S29:W29" si="36">F29</f>
        <v>100</v>
      </c>
      <c r="T29" s="2121" t="s">
        <v>1527</v>
      </c>
      <c r="U29" s="2122">
        <f t="shared" si="36"/>
        <v>100</v>
      </c>
      <c r="V29" s="2121" t="s">
        <v>1527</v>
      </c>
      <c r="W29" s="2122">
        <f t="shared" si="36"/>
        <v>100</v>
      </c>
      <c r="X29" s="1396"/>
      <c r="Y29" s="1499"/>
      <c r="Z29" s="1491">
        <f t="shared" si="28"/>
        <v>111</v>
      </c>
      <c r="AA29" s="1491">
        <f t="shared" si="29"/>
        <v>1</v>
      </c>
      <c r="AB29" s="1491">
        <f t="shared" si="30"/>
        <v>1</v>
      </c>
      <c r="AC29" s="1491">
        <f t="shared" si="31"/>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6"/>
        <v>111</v>
      </c>
      <c r="R30" s="2121" t="s">
        <v>1527</v>
      </c>
      <c r="S30" s="2122">
        <f t="shared" ref="S30:W30" si="37">F30</f>
        <v>100</v>
      </c>
      <c r="T30" s="2121" t="s">
        <v>1527</v>
      </c>
      <c r="U30" s="2122">
        <f t="shared" si="37"/>
        <v>100</v>
      </c>
      <c r="V30" s="2121" t="s">
        <v>1527</v>
      </c>
      <c r="W30" s="2122">
        <f t="shared" si="37"/>
        <v>100</v>
      </c>
      <c r="X30" s="1396"/>
      <c r="Y30" s="1499"/>
      <c r="Z30" s="1491">
        <f t="shared" si="28"/>
        <v>111</v>
      </c>
      <c r="AA30" s="1491">
        <f t="shared" si="29"/>
        <v>1</v>
      </c>
      <c r="AB30" s="1491">
        <f t="shared" si="30"/>
        <v>1</v>
      </c>
      <c r="AC30" s="1491">
        <f t="shared" si="31"/>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6"/>
        <v>111</v>
      </c>
      <c r="R31" s="2121" t="s">
        <v>1527</v>
      </c>
      <c r="S31" s="2122">
        <f t="shared" ref="S31:W31" si="38">F31</f>
        <v>100</v>
      </c>
      <c r="T31" s="2121" t="s">
        <v>1527</v>
      </c>
      <c r="U31" s="2122">
        <f t="shared" si="38"/>
        <v>100</v>
      </c>
      <c r="V31" s="2121" t="s">
        <v>1527</v>
      </c>
      <c r="W31" s="2122">
        <f t="shared" si="38"/>
        <v>100</v>
      </c>
      <c r="X31" s="1396"/>
      <c r="Y31" s="1499"/>
      <c r="Z31" s="1491">
        <f t="shared" si="28"/>
        <v>111</v>
      </c>
      <c r="AA31" s="1491">
        <f t="shared" si="29"/>
        <v>1</v>
      </c>
      <c r="AB31" s="1491">
        <f t="shared" si="30"/>
        <v>1</v>
      </c>
      <c r="AC31" s="1491">
        <f t="shared" si="31"/>
        <v>1</v>
      </c>
    </row>
    <row r="32" ht="15" spans="1:29">
      <c r="A32" s="1669" t="s">
        <v>1558</v>
      </c>
      <c r="B32" s="1447" t="s">
        <v>1559</v>
      </c>
      <c r="C32" s="2188" t="s">
        <v>1560</v>
      </c>
      <c r="D32" s="1541">
        <v>100</v>
      </c>
      <c r="E32" s="2188" t="s">
        <v>1560</v>
      </c>
      <c r="F32" s="2190">
        <f>SUMIF(100:100,E32,101:101)-SUMIF(100:100,C32,101:101)+100</f>
        <v>100</v>
      </c>
      <c r="G32" s="2188" t="s">
        <v>1560</v>
      </c>
      <c r="H32" s="1474">
        <f>SUMIF(100:100,G32,101:101)-SUMIF(100:100,C32,101:101)+100</f>
        <v>100</v>
      </c>
      <c r="I32" s="2188" t="s">
        <v>1560</v>
      </c>
      <c r="J32" s="1542">
        <f>SUMIF(100:100,I32,101:101)-SUMIF(100:100,C32,101:101)+100</f>
        <v>100</v>
      </c>
      <c r="K32" s="1793">
        <v>3</v>
      </c>
      <c r="L32" s="1475"/>
      <c r="M32" s="1391"/>
      <c r="N32" s="1391"/>
      <c r="O32" s="1391"/>
      <c r="P32" s="2132" t="s">
        <v>1562</v>
      </c>
      <c r="Q32" s="1051" t="str">
        <f t="shared" si="26"/>
        <v>商业类型</v>
      </c>
      <c r="R32" s="2121" t="s">
        <v>1527</v>
      </c>
      <c r="S32" s="2122">
        <f t="shared" ref="S32:W32" si="39">F32</f>
        <v>100</v>
      </c>
      <c r="T32" s="2121" t="s">
        <v>1527</v>
      </c>
      <c r="U32" s="2122">
        <f t="shared" si="39"/>
        <v>100</v>
      </c>
      <c r="V32" s="2121" t="s">
        <v>1527</v>
      </c>
      <c r="W32" s="2122">
        <f t="shared" si="39"/>
        <v>100</v>
      </c>
      <c r="X32" s="1396"/>
      <c r="Y32" s="1526" t="s">
        <v>1562</v>
      </c>
      <c r="Z32" s="1491" t="str">
        <f t="shared" si="28"/>
        <v>商业类型</v>
      </c>
      <c r="AA32" s="1491">
        <f t="shared" si="29"/>
        <v>1</v>
      </c>
      <c r="AB32" s="1491">
        <f t="shared" si="30"/>
        <v>1</v>
      </c>
      <c r="AC32" s="1491">
        <f t="shared" si="31"/>
        <v>1</v>
      </c>
    </row>
    <row r="33" s="1354" customFormat="1" ht="15" spans="1:29">
      <c r="A33" s="1745"/>
      <c r="B33" s="1453" t="s">
        <v>1563</v>
      </c>
      <c r="C33" s="2197">
        <v>138.87</v>
      </c>
      <c r="D33" s="1455">
        <v>100</v>
      </c>
      <c r="E33" s="1463">
        <v>131</v>
      </c>
      <c r="F33" s="2175">
        <f>LOOKUP(E33,103:103,104:104)-LOOKUP(C33,103:103,104:104)+100</f>
        <v>100</v>
      </c>
      <c r="G33" s="1462">
        <v>131</v>
      </c>
      <c r="H33" s="1456">
        <f>LOOKUP(G33,103:103,104:104)-LOOKUP(C33,103:103,104:104)+100</f>
        <v>100</v>
      </c>
      <c r="I33" s="1462">
        <v>32</v>
      </c>
      <c r="J33" s="1456">
        <f>LOOKUP(I33,103:103,104:104)-LOOKUP(C33,103:103,104:104)+100</f>
        <v>101</v>
      </c>
      <c r="K33" s="1792"/>
      <c r="L33" s="1465"/>
      <c r="M33" s="1532"/>
      <c r="N33" s="1532"/>
      <c r="O33" s="1532"/>
      <c r="P33" s="2133"/>
      <c r="Q33" s="2072" t="str">
        <f t="shared" si="26"/>
        <v>项目建筑规模</v>
      </c>
      <c r="R33" s="2134" t="s">
        <v>1527</v>
      </c>
      <c r="S33" s="2135">
        <f t="shared" ref="S33:W33" si="40">F33</f>
        <v>100</v>
      </c>
      <c r="T33" s="2134" t="s">
        <v>1527</v>
      </c>
      <c r="U33" s="2135">
        <f t="shared" si="40"/>
        <v>100</v>
      </c>
      <c r="V33" s="2134" t="s">
        <v>1527</v>
      </c>
      <c r="W33" s="2135">
        <f t="shared" si="40"/>
        <v>101</v>
      </c>
      <c r="X33" s="1537"/>
      <c r="Y33" s="1526"/>
      <c r="Z33" s="1538" t="str">
        <f t="shared" si="28"/>
        <v>项目建筑规模</v>
      </c>
      <c r="AA33" s="1491">
        <f t="shared" si="29"/>
        <v>1</v>
      </c>
      <c r="AB33" s="1491">
        <f t="shared" si="30"/>
        <v>1</v>
      </c>
      <c r="AC33" s="1491">
        <f t="shared" si="31"/>
        <v>0.99009900990099</v>
      </c>
    </row>
    <row r="34" ht="15" spans="1:29">
      <c r="A34" s="1754"/>
      <c r="B34" s="1453" t="s">
        <v>1564</v>
      </c>
      <c r="C34" s="2182" t="s">
        <v>1565</v>
      </c>
      <c r="D34" s="1473">
        <v>100</v>
      </c>
      <c r="E34" s="2182" t="s">
        <v>1565</v>
      </c>
      <c r="F34" s="2190">
        <f>SUMIF(105:105,E34,106:106)-SUMIF(105:105,C34,106:106)+100</f>
        <v>100</v>
      </c>
      <c r="G34" s="2182" t="s">
        <v>1565</v>
      </c>
      <c r="H34" s="1474">
        <f>SUMIF(105:105,G34,106:106)-SUMIF(105:105,C34,106:106)+100</f>
        <v>100</v>
      </c>
      <c r="I34" s="2182" t="s">
        <v>1565</v>
      </c>
      <c r="J34" s="1474">
        <f>SUMIF(105:105,I34,106:106)-SUMIF(105:105,C34,106:106)+100</f>
        <v>100</v>
      </c>
      <c r="K34" s="1793">
        <v>1</v>
      </c>
      <c r="L34" s="1475"/>
      <c r="M34" s="1391"/>
      <c r="N34" s="1391"/>
      <c r="O34" s="1391"/>
      <c r="P34" s="2133"/>
      <c r="Q34" s="1051" t="str">
        <f t="shared" si="26"/>
        <v>建筑结构</v>
      </c>
      <c r="R34" s="2121" t="s">
        <v>1527</v>
      </c>
      <c r="S34" s="2122">
        <f t="shared" ref="S34:W34" si="41">F34</f>
        <v>100</v>
      </c>
      <c r="T34" s="2121" t="s">
        <v>1527</v>
      </c>
      <c r="U34" s="2122">
        <f t="shared" si="41"/>
        <v>100</v>
      </c>
      <c r="V34" s="2121" t="s">
        <v>1527</v>
      </c>
      <c r="W34" s="2122">
        <f t="shared" si="41"/>
        <v>100</v>
      </c>
      <c r="X34" s="1396"/>
      <c r="Y34" s="1526"/>
      <c r="Z34" s="1491" t="str">
        <f t="shared" si="28"/>
        <v>建筑结构</v>
      </c>
      <c r="AA34" s="1491">
        <f t="shared" si="29"/>
        <v>1</v>
      </c>
      <c r="AB34" s="1491">
        <f t="shared" si="30"/>
        <v>1</v>
      </c>
      <c r="AC34" s="1491">
        <f t="shared" si="31"/>
        <v>1</v>
      </c>
    </row>
    <row r="35" ht="15" spans="1:29">
      <c r="A35" s="1754"/>
      <c r="B35" s="1453" t="s">
        <v>1566</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6"/>
        <v>公共部分装修</v>
      </c>
      <c r="R35" s="2121" t="s">
        <v>1527</v>
      </c>
      <c r="S35" s="2122">
        <f t="shared" ref="S35:W35" si="42">F35</f>
        <v>100</v>
      </c>
      <c r="T35" s="2121" t="s">
        <v>1527</v>
      </c>
      <c r="U35" s="2122">
        <f t="shared" si="42"/>
        <v>100</v>
      </c>
      <c r="V35" s="2121" t="s">
        <v>1527</v>
      </c>
      <c r="W35" s="2122">
        <f t="shared" si="42"/>
        <v>100</v>
      </c>
      <c r="X35" s="1396"/>
      <c r="Y35" s="1526"/>
      <c r="Z35" s="1491" t="str">
        <f t="shared" si="28"/>
        <v>公共部分装修</v>
      </c>
      <c r="AA35" s="1491">
        <f t="shared" si="29"/>
        <v>1</v>
      </c>
      <c r="AB35" s="1491">
        <f t="shared" si="30"/>
        <v>1</v>
      </c>
      <c r="AC35" s="1491">
        <f t="shared" si="31"/>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26"/>
        <v>成新度</v>
      </c>
      <c r="R36" s="2121" t="s">
        <v>1527</v>
      </c>
      <c r="S36" s="2122">
        <f t="shared" ref="S36:W36" si="43">F36</f>
        <v>100</v>
      </c>
      <c r="T36" s="2121" t="s">
        <v>1527</v>
      </c>
      <c r="U36" s="2122">
        <f t="shared" si="43"/>
        <v>100</v>
      </c>
      <c r="V36" s="2121" t="s">
        <v>1527</v>
      </c>
      <c r="W36" s="2122">
        <f t="shared" si="43"/>
        <v>100</v>
      </c>
      <c r="X36" s="1396"/>
      <c r="Y36" s="1526"/>
      <c r="Z36" s="1491" t="str">
        <f t="shared" si="28"/>
        <v>成新度</v>
      </c>
      <c r="AA36" s="1491">
        <f t="shared" si="29"/>
        <v>1</v>
      </c>
      <c r="AB36" s="1491">
        <f t="shared" si="30"/>
        <v>1</v>
      </c>
      <c r="AC36" s="1491">
        <f t="shared" si="31"/>
        <v>1</v>
      </c>
    </row>
    <row r="37" s="1352" customFormat="1" ht="15" spans="1:29">
      <c r="A37" s="1961"/>
      <c r="B37" s="1453" t="s">
        <v>1567</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26"/>
        <v>市政基础设施</v>
      </c>
      <c r="R37" s="2115" t="s">
        <v>1527</v>
      </c>
      <c r="S37" s="2116">
        <f t="shared" ref="S37:W37" si="44">F37</f>
        <v>100</v>
      </c>
      <c r="T37" s="2115" t="s">
        <v>1527</v>
      </c>
      <c r="U37" s="2116">
        <f t="shared" si="44"/>
        <v>100</v>
      </c>
      <c r="V37" s="2115" t="s">
        <v>1527</v>
      </c>
      <c r="W37" s="2116">
        <f t="shared" si="44"/>
        <v>100</v>
      </c>
      <c r="X37" s="1440"/>
      <c r="Y37" s="1526"/>
      <c r="Z37" s="1443" t="str">
        <f t="shared" si="28"/>
        <v>市政基础设施</v>
      </c>
      <c r="AA37" s="1443">
        <f t="shared" si="29"/>
        <v>1</v>
      </c>
      <c r="AB37" s="1443">
        <f t="shared" si="30"/>
        <v>1</v>
      </c>
      <c r="AC37" s="1443">
        <f t="shared" si="31"/>
        <v>1</v>
      </c>
    </row>
    <row r="38" ht="15" spans="1:29">
      <c r="A38" s="1754"/>
      <c r="B38" s="1453" t="s">
        <v>1568</v>
      </c>
      <c r="C38" s="1545" t="s">
        <v>1569</v>
      </c>
      <c r="D38" s="1473">
        <v>100</v>
      </c>
      <c r="E38" s="1545" t="s">
        <v>1569</v>
      </c>
      <c r="F38" s="2190">
        <f>SUMIF(114:114,E38,115:115)-SUMIF(114:114,C38,115:115)+100</f>
        <v>100</v>
      </c>
      <c r="G38" s="1545" t="s">
        <v>1569</v>
      </c>
      <c r="H38" s="1474">
        <f>SUMIF(114:114,G38,115:115)-SUMIF(114:114,C38,115:115)+100</f>
        <v>100</v>
      </c>
      <c r="I38" s="1545" t="s">
        <v>1569</v>
      </c>
      <c r="J38" s="1474">
        <f>SUMIF(114:114,I38,115:115)-SUMIF(114:114,C38,115:115)+100</f>
        <v>100</v>
      </c>
      <c r="K38" s="1793">
        <v>5</v>
      </c>
      <c r="L38" s="1475"/>
      <c r="M38" s="1391"/>
      <c r="N38" s="1391"/>
      <c r="O38" s="1391"/>
      <c r="P38" s="2133" t="s">
        <v>1562</v>
      </c>
      <c r="Q38" s="1051" t="str">
        <f t="shared" si="26"/>
        <v>业态</v>
      </c>
      <c r="R38" s="2121" t="s">
        <v>1527</v>
      </c>
      <c r="S38" s="2122">
        <f t="shared" ref="S38:W38" si="45">F38</f>
        <v>100</v>
      </c>
      <c r="T38" s="2121" t="s">
        <v>1527</v>
      </c>
      <c r="U38" s="2122">
        <f t="shared" si="45"/>
        <v>100</v>
      </c>
      <c r="V38" s="2121" t="s">
        <v>1527</v>
      </c>
      <c r="W38" s="2122">
        <f t="shared" si="45"/>
        <v>100</v>
      </c>
      <c r="X38" s="1396"/>
      <c r="Y38" s="1526" t="s">
        <v>1562</v>
      </c>
      <c r="Z38" s="1491" t="str">
        <f t="shared" si="28"/>
        <v>业态</v>
      </c>
      <c r="AA38" s="1491">
        <f t="shared" si="29"/>
        <v>1</v>
      </c>
      <c r="AB38" s="1491">
        <f t="shared" si="30"/>
        <v>1</v>
      </c>
      <c r="AC38" s="1491">
        <f t="shared" si="31"/>
        <v>1</v>
      </c>
    </row>
    <row r="39" ht="15" spans="1:29">
      <c r="A39" s="1754"/>
      <c r="B39" s="1453" t="s">
        <v>1570</v>
      </c>
      <c r="C39" s="1545" t="s">
        <v>1571</v>
      </c>
      <c r="D39" s="1473">
        <v>100</v>
      </c>
      <c r="E39" s="1545" t="s">
        <v>1571</v>
      </c>
      <c r="F39" s="2190">
        <f>SUMIF(116:116,E39,117:117)-SUMIF(116:116,C39,117:117)+100</f>
        <v>100</v>
      </c>
      <c r="G39" s="1545" t="s">
        <v>1571</v>
      </c>
      <c r="H39" s="1474">
        <f>SUMIF(116:116,G39,117:117)-SUMIF(116:116,C39,117:117)+100</f>
        <v>100</v>
      </c>
      <c r="I39" s="1545" t="s">
        <v>1572</v>
      </c>
      <c r="J39" s="1474">
        <f>SUMIF(116:116,I39,117:117)-SUMIF(116:116,C39,117:117)+100</f>
        <v>90</v>
      </c>
      <c r="K39" s="1793">
        <v>10</v>
      </c>
      <c r="L39" s="1475"/>
      <c r="M39" s="1391"/>
      <c r="N39" s="1391"/>
      <c r="O39" s="1391"/>
      <c r="P39" s="2133"/>
      <c r="Q39" s="1051" t="str">
        <f t="shared" si="26"/>
        <v>层高</v>
      </c>
      <c r="R39" s="2121" t="s">
        <v>1527</v>
      </c>
      <c r="S39" s="2122">
        <f t="shared" ref="S39:W39" si="46">F39</f>
        <v>100</v>
      </c>
      <c r="T39" s="2121" t="s">
        <v>1527</v>
      </c>
      <c r="U39" s="2122">
        <f t="shared" si="46"/>
        <v>100</v>
      </c>
      <c r="V39" s="2121" t="s">
        <v>1527</v>
      </c>
      <c r="W39" s="2122">
        <f t="shared" si="46"/>
        <v>90</v>
      </c>
      <c r="X39" s="1396"/>
      <c r="Y39" s="1526"/>
      <c r="Z39" s="1491" t="str">
        <f t="shared" si="28"/>
        <v>层高</v>
      </c>
      <c r="AA39" s="1491">
        <f t="shared" si="29"/>
        <v>1</v>
      </c>
      <c r="AB39" s="1491">
        <f t="shared" si="30"/>
        <v>1</v>
      </c>
      <c r="AC39" s="1491">
        <f t="shared" si="31"/>
        <v>1.11111111111111</v>
      </c>
    </row>
    <row r="40" ht="15" spans="1:29">
      <c r="A40" s="1754"/>
      <c r="B40" s="1453" t="s">
        <v>1573</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O43*N40/N43</f>
        <v>126.582278481013</v>
      </c>
      <c r="P40" s="2133"/>
      <c r="Q40" s="1051" t="str">
        <f t="shared" si="26"/>
        <v>单套建筑面积</v>
      </c>
      <c r="R40" s="2121" t="s">
        <v>1527</v>
      </c>
      <c r="S40" s="2122">
        <f t="shared" ref="S40:W40" si="47">F40</f>
        <v>100</v>
      </c>
      <c r="T40" s="2121" t="s">
        <v>1527</v>
      </c>
      <c r="U40" s="2122">
        <f t="shared" si="47"/>
        <v>100</v>
      </c>
      <c r="V40" s="2121" t="s">
        <v>1527</v>
      </c>
      <c r="W40" s="2122">
        <f t="shared" si="47"/>
        <v>100</v>
      </c>
      <c r="X40" s="1396"/>
      <c r="Y40" s="1526"/>
      <c r="Z40" s="1491" t="str">
        <f t="shared" si="28"/>
        <v>单套建筑面积</v>
      </c>
      <c r="AA40" s="1491">
        <f t="shared" si="29"/>
        <v>1</v>
      </c>
      <c r="AB40" s="1491">
        <f t="shared" si="30"/>
        <v>1</v>
      </c>
      <c r="AC40" s="1491">
        <f t="shared" si="31"/>
        <v>1</v>
      </c>
    </row>
    <row r="41" s="1354" customFormat="1" ht="15" spans="1:29">
      <c r="A41" s="1745"/>
      <c r="B41" s="1578" t="s">
        <v>1574</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26"/>
        <v>进深比</v>
      </c>
      <c r="R41" s="2134" t="s">
        <v>1527</v>
      </c>
      <c r="S41" s="2135">
        <f t="shared" ref="S41:W41" si="48">F41</f>
        <v>100</v>
      </c>
      <c r="T41" s="2134" t="s">
        <v>1527</v>
      </c>
      <c r="U41" s="2135">
        <f t="shared" si="48"/>
        <v>100</v>
      </c>
      <c r="V41" s="2134" t="s">
        <v>1527</v>
      </c>
      <c r="W41" s="2135">
        <f t="shared" si="48"/>
        <v>100</v>
      </c>
      <c r="X41" s="1537"/>
      <c r="Y41" s="1526"/>
      <c r="Z41" s="1538" t="str">
        <f t="shared" si="28"/>
        <v>进深比</v>
      </c>
      <c r="AA41" s="1491">
        <f t="shared" si="29"/>
        <v>1</v>
      </c>
      <c r="AB41" s="1491">
        <f t="shared" si="30"/>
        <v>1</v>
      </c>
      <c r="AC41" s="1491">
        <f t="shared" si="31"/>
        <v>1</v>
      </c>
    </row>
    <row r="42" ht="15" spans="1:29">
      <c r="A42" s="1754"/>
      <c r="B42" s="1453" t="s">
        <v>1575</v>
      </c>
      <c r="C42" s="1545" t="s">
        <v>1576</v>
      </c>
      <c r="D42" s="1473">
        <v>100</v>
      </c>
      <c r="E42" s="1545" t="s">
        <v>1576</v>
      </c>
      <c r="F42" s="2190">
        <f>SUMIF(122:122,E42,123:123)-SUMIF(122:122,C42,123:123)+100</f>
        <v>100</v>
      </c>
      <c r="G42" s="1545" t="s">
        <v>1576</v>
      </c>
      <c r="H42" s="1474">
        <f>SUMIF(122:122,G42,123:123)-SUMIF(122:122,C42,123:123)+100</f>
        <v>100</v>
      </c>
      <c r="I42" s="1545" t="s">
        <v>1576</v>
      </c>
      <c r="J42" s="1474">
        <f>SUMIF(122:122,I42,123:123)-SUMIF(122:122,C42,123:123)+100</f>
        <v>100</v>
      </c>
      <c r="K42" s="1793">
        <v>2</v>
      </c>
      <c r="L42" s="1475"/>
      <c r="M42" s="1391" t="s">
        <v>1580</v>
      </c>
      <c r="N42" s="1391">
        <f>(N40+N41)/2</f>
        <v>0.85</v>
      </c>
      <c r="O42" s="1391">
        <f>O43*N42/N43</f>
        <v>107.594936708861</v>
      </c>
      <c r="P42" s="2133"/>
      <c r="Q42" s="1051" t="str">
        <f t="shared" si="26"/>
        <v>内部装修</v>
      </c>
      <c r="R42" s="2121" t="s">
        <v>1527</v>
      </c>
      <c r="S42" s="2122">
        <f t="shared" ref="S42:W42" si="49">F42</f>
        <v>100</v>
      </c>
      <c r="T42" s="2121" t="s">
        <v>1527</v>
      </c>
      <c r="U42" s="2122">
        <f t="shared" si="49"/>
        <v>100</v>
      </c>
      <c r="V42" s="2121" t="s">
        <v>1527</v>
      </c>
      <c r="W42" s="2122">
        <f t="shared" si="49"/>
        <v>100</v>
      </c>
      <c r="X42" s="1396"/>
      <c r="Y42" s="1526"/>
      <c r="Z42" s="1491" t="str">
        <f t="shared" si="28"/>
        <v>内部装修</v>
      </c>
      <c r="AA42" s="1491">
        <f t="shared" si="29"/>
        <v>1</v>
      </c>
      <c r="AB42" s="1491">
        <f t="shared" si="30"/>
        <v>1</v>
      </c>
      <c r="AC42" s="1491">
        <f t="shared" si="31"/>
        <v>1</v>
      </c>
    </row>
    <row r="43" ht="15" spans="1:29">
      <c r="A43" s="1754"/>
      <c r="B43" s="1453" t="s">
        <v>1581</v>
      </c>
      <c r="C43" s="1545" t="s">
        <v>1543</v>
      </c>
      <c r="D43" s="1473">
        <v>100</v>
      </c>
      <c r="E43" s="1545" t="s">
        <v>1543</v>
      </c>
      <c r="F43" s="2190">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t="s">
        <v>1582</v>
      </c>
      <c r="N43" s="1391">
        <v>0.79</v>
      </c>
      <c r="O43" s="1391">
        <v>100</v>
      </c>
      <c r="P43" s="2133"/>
      <c r="Q43" s="1051" t="str">
        <f t="shared" si="26"/>
        <v>内部装修维护情况</v>
      </c>
      <c r="R43" s="2121" t="s">
        <v>1527</v>
      </c>
      <c r="S43" s="2122">
        <f t="shared" ref="S43:W43" si="50">F43</f>
        <v>100</v>
      </c>
      <c r="T43" s="2121" t="s">
        <v>1527</v>
      </c>
      <c r="U43" s="2122">
        <f t="shared" si="50"/>
        <v>100</v>
      </c>
      <c r="V43" s="2121" t="s">
        <v>1527</v>
      </c>
      <c r="W43" s="2122">
        <f t="shared" si="50"/>
        <v>100</v>
      </c>
      <c r="X43" s="1396"/>
      <c r="Y43" s="1526"/>
      <c r="Z43" s="1491" t="str">
        <f t="shared" si="28"/>
        <v>内部装修维护情况</v>
      </c>
      <c r="AA43" s="1491">
        <f t="shared" si="29"/>
        <v>1</v>
      </c>
      <c r="AB43" s="1491">
        <f t="shared" si="30"/>
        <v>1</v>
      </c>
      <c r="AC43" s="1491">
        <f t="shared" si="31"/>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6"/>
        <v>111</v>
      </c>
      <c r="R44" s="2115" t="s">
        <v>1527</v>
      </c>
      <c r="S44" s="2116">
        <f t="shared" ref="S44:W44" si="51">F44</f>
        <v>100</v>
      </c>
      <c r="T44" s="2115" t="s">
        <v>1527</v>
      </c>
      <c r="U44" s="2116">
        <f t="shared" si="51"/>
        <v>100</v>
      </c>
      <c r="V44" s="2115" t="s">
        <v>1527</v>
      </c>
      <c r="W44" s="2116">
        <f t="shared" si="51"/>
        <v>100</v>
      </c>
      <c r="X44" s="1440"/>
      <c r="Y44" s="1526"/>
      <c r="Z44" s="1443">
        <f t="shared" si="28"/>
        <v>111</v>
      </c>
      <c r="AA44" s="1443">
        <f t="shared" si="29"/>
        <v>1</v>
      </c>
      <c r="AB44" s="1443">
        <f t="shared" si="30"/>
        <v>1</v>
      </c>
      <c r="AC44" s="1443">
        <f t="shared" si="31"/>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6"/>
        <v>111</v>
      </c>
      <c r="R45" s="2121" t="s">
        <v>1527</v>
      </c>
      <c r="S45" s="2122">
        <f t="shared" ref="S45:W45" si="52">F45</f>
        <v>100</v>
      </c>
      <c r="T45" s="2121" t="s">
        <v>1527</v>
      </c>
      <c r="U45" s="2122">
        <f t="shared" si="52"/>
        <v>100</v>
      </c>
      <c r="V45" s="2121" t="s">
        <v>1527</v>
      </c>
      <c r="W45" s="2122">
        <f t="shared" si="52"/>
        <v>100</v>
      </c>
      <c r="X45" s="1396"/>
      <c r="Y45" s="1526"/>
      <c r="Z45" s="1491">
        <f t="shared" si="28"/>
        <v>111</v>
      </c>
      <c r="AA45" s="1491">
        <f t="shared" si="29"/>
        <v>1</v>
      </c>
      <c r="AB45" s="1491">
        <f t="shared" si="30"/>
        <v>1</v>
      </c>
      <c r="AC45" s="1491">
        <f t="shared" si="31"/>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26"/>
        <v>111</v>
      </c>
      <c r="R46" s="2121" t="s">
        <v>1527</v>
      </c>
      <c r="S46" s="2122">
        <f t="shared" ref="S46:W46" si="53">F46</f>
        <v>100</v>
      </c>
      <c r="T46" s="2121" t="s">
        <v>1527</v>
      </c>
      <c r="U46" s="2122">
        <f t="shared" si="53"/>
        <v>100</v>
      </c>
      <c r="V46" s="2121" t="s">
        <v>1527</v>
      </c>
      <c r="W46" s="2122">
        <f t="shared" si="53"/>
        <v>100</v>
      </c>
      <c r="X46" s="1396"/>
      <c r="Y46" s="2074"/>
      <c r="Z46" s="1491">
        <f t="shared" si="28"/>
        <v>111</v>
      </c>
      <c r="AA46" s="1491">
        <f t="shared" si="29"/>
        <v>1</v>
      </c>
      <c r="AB46" s="1491">
        <f t="shared" si="30"/>
        <v>1</v>
      </c>
      <c r="AC46" s="1491">
        <f t="shared" si="31"/>
        <v>1</v>
      </c>
    </row>
    <row r="47" ht="15" spans="1:29">
      <c r="A47" s="1552" t="s">
        <v>1583</v>
      </c>
      <c r="B47" s="1967"/>
      <c r="C47" s="1968" t="s">
        <v>124</v>
      </c>
      <c r="D47" s="1798"/>
      <c r="E47" s="1556">
        <f>ROUND(35000/E33/30,1)</f>
        <v>8.9</v>
      </c>
      <c r="F47" s="1557"/>
      <c r="G47" s="1558">
        <f>ROUND(32000/E33/30,1)</f>
        <v>8.1</v>
      </c>
      <c r="H47" s="1559"/>
      <c r="I47" s="1556">
        <f>ROUND(I50/(O40/O43),0)</f>
        <v>8</v>
      </c>
      <c r="J47" s="1559"/>
      <c r="K47" s="1560"/>
      <c r="L47" s="1561"/>
      <c r="M47" s="1562"/>
      <c r="N47" s="1391"/>
      <c r="O47" s="1562"/>
      <c r="P47" s="1051" t="str">
        <f t="shared" ref="P47:P49" si="54">A47</f>
        <v>成交单价（元/平方米）</v>
      </c>
      <c r="Q47" s="1051"/>
      <c r="R47" s="1563">
        <f t="shared" ref="R47:V47" si="55">E47</f>
        <v>8.9</v>
      </c>
      <c r="S47" s="1563"/>
      <c r="T47" s="1563">
        <f t="shared" si="55"/>
        <v>8.1</v>
      </c>
      <c r="U47" s="1563"/>
      <c r="V47" s="1563">
        <f t="shared" si="55"/>
        <v>8</v>
      </c>
      <c r="W47" s="1563"/>
      <c r="X47" s="1564"/>
      <c r="Y47" s="1565"/>
      <c r="Z47" s="1564"/>
      <c r="AA47" s="1564"/>
      <c r="AB47" s="1564"/>
      <c r="AC47" s="1564"/>
    </row>
    <row r="48" ht="15.75" spans="1:29">
      <c r="A48" s="1566" t="s">
        <v>1584</v>
      </c>
      <c r="B48" s="1969"/>
      <c r="C48" s="1571">
        <f>R49</f>
        <v>7.5</v>
      </c>
      <c r="D48" s="1799" t="s">
        <v>1636</v>
      </c>
      <c r="E48" s="1568">
        <f t="shared" ref="E48:I48" si="56">R48</f>
        <v>7.5</v>
      </c>
      <c r="F48" s="1570">
        <v>0.4</v>
      </c>
      <c r="G48" s="1571">
        <f t="shared" si="56"/>
        <v>6.8</v>
      </c>
      <c r="H48" s="1570">
        <v>0.4</v>
      </c>
      <c r="I48" s="1568">
        <f t="shared" si="56"/>
        <v>8.8</v>
      </c>
      <c r="J48" s="1570">
        <v>0.2</v>
      </c>
      <c r="K48" s="1572">
        <f>F48+H48+J48</f>
        <v>1</v>
      </c>
      <c r="L48" s="1561"/>
      <c r="M48" s="1562"/>
      <c r="N48" s="1391"/>
      <c r="O48" s="1562"/>
      <c r="P48" s="1051" t="str">
        <f t="shared" si="54"/>
        <v>比较价值（元/平方米）</v>
      </c>
      <c r="Q48" s="1051"/>
      <c r="R48" s="1563">
        <f>IF(F1="售价",ROUND(PRODUCT(R47,AA7:AA46),0),ROUND(PRODUCT(R47,AA7:AA46),1))</f>
        <v>7.5</v>
      </c>
      <c r="S48" s="1563"/>
      <c r="T48" s="1563">
        <f>IF(F1="售价",ROUND(PRODUCT(T47,AB7:AB46),0),ROUND(PRODUCT(T47,AB7:AB46),1))</f>
        <v>6.8</v>
      </c>
      <c r="U48" s="1563"/>
      <c r="V48" s="1563">
        <f>IF(F1="售价",ROUND(PRODUCT(V47,AC7:AC46),0),ROUND(PRODUCT(V47,AC7:AC46),1))</f>
        <v>8.8</v>
      </c>
      <c r="W48" s="1563"/>
      <c r="X48" s="1564"/>
      <c r="Y48" s="1564"/>
      <c r="Z48" s="1564"/>
      <c r="AA48" s="1564"/>
      <c r="AB48" s="1564"/>
      <c r="AC48" s="1564"/>
    </row>
    <row r="49" ht="15.75" spans="1:29">
      <c r="A49" s="1573" t="s">
        <v>1586</v>
      </c>
      <c r="B49" s="1574"/>
      <c r="C49" s="1575">
        <f>R49</f>
        <v>7.5</v>
      </c>
      <c r="D49" s="1768"/>
      <c r="E49" s="1768"/>
      <c r="F49" s="1768"/>
      <c r="G49" s="1768"/>
      <c r="H49" s="1768"/>
      <c r="I49" s="1768"/>
      <c r="J49" s="1768"/>
      <c r="K49" s="1970"/>
      <c r="L49" s="1561"/>
      <c r="M49" s="1562"/>
      <c r="N49" s="1391"/>
      <c r="O49" s="1562"/>
      <c r="P49" s="1578" t="str">
        <f t="shared" si="54"/>
        <v>估价对象XX用房的比较价值（楼面单价，元/平方米）</v>
      </c>
      <c r="Q49" s="1579"/>
      <c r="R49" s="1580">
        <f>IF(F1="售价",ROUND(IF(D48="简单平均",AVERAGE(R48:V48),R48*F48+T48*H48+V48*J48),0),ROUND(IF(D48="简单平均",AVERAGE(R48:V48),R48*F48+T48*H48+V48*J48),1))</f>
        <v>7.5</v>
      </c>
      <c r="S49" s="1580"/>
      <c r="T49" s="1580"/>
      <c r="U49" s="1580"/>
      <c r="V49" s="1580"/>
      <c r="W49" s="1580"/>
      <c r="X49" s="1564"/>
      <c r="Y49" s="1564"/>
      <c r="Z49" s="1564"/>
      <c r="AA49" s="1564"/>
      <c r="AB49" s="1564"/>
      <c r="AC49" s="1564"/>
    </row>
    <row r="50" spans="1:29">
      <c r="A50" s="1562"/>
      <c r="B50" s="1562"/>
      <c r="C50" s="1562"/>
      <c r="D50" s="1562"/>
      <c r="E50" s="2974" t="s">
        <v>1637</v>
      </c>
      <c r="F50" s="1562"/>
      <c r="G50" s="2974" t="s">
        <v>1638</v>
      </c>
      <c r="H50" s="1562"/>
      <c r="I50" s="1562">
        <f>ROUND(10000/32/30,1)</f>
        <v>10.4</v>
      </c>
      <c r="J50" s="2975" t="s">
        <v>1639</v>
      </c>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1587</v>
      </c>
      <c r="D52" s="1123"/>
      <c r="E52" s="1584">
        <f t="shared" ref="E52:I52" si="57">IF(E47&lt;E48,E48/E47-1,E47/E48-1)</f>
        <v>0.186666666666667</v>
      </c>
      <c r="F52" s="1585" t="str">
        <f t="shared" ref="F52:J52" si="58">IF(OR(E52&gt;=0.3,E52&lt;=-0.3),"超过30%","")</f>
        <v/>
      </c>
      <c r="G52" s="1584">
        <f t="shared" si="57"/>
        <v>0.191176470588235</v>
      </c>
      <c r="H52" s="1585" t="str">
        <f t="shared" si="58"/>
        <v/>
      </c>
      <c r="I52" s="1584">
        <f t="shared" si="57"/>
        <v>0.1</v>
      </c>
      <c r="J52" s="1585" t="str">
        <f t="shared" si="58"/>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1588</v>
      </c>
      <c r="D53" s="1122"/>
      <c r="E53" s="1584">
        <f>IF(E48&lt;G48,G48/E48-1,E48/G48-1)</f>
        <v>0.102941176470588</v>
      </c>
      <c r="F53" s="1585" t="str">
        <f t="shared" ref="F53:J53" si="59">IF(OR(E53&gt;=0.2,E53&lt;=-0.2),"超过20%","")</f>
        <v/>
      </c>
      <c r="G53" s="1584">
        <f>IF(G48&lt;I48,I48/G48-1,G48/I48-1)</f>
        <v>0.294117647058824</v>
      </c>
      <c r="H53" s="1585" t="str">
        <f t="shared" si="59"/>
        <v>超过20%</v>
      </c>
      <c r="I53" s="1584">
        <f>IF(I48&lt;E48,E48/I48-1,I48/E48-1)</f>
        <v>0.173333333333333</v>
      </c>
      <c r="J53" s="1585" t="str">
        <f t="shared" si="59"/>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1589</v>
      </c>
      <c r="D54" s="1122"/>
      <c r="E54" s="1584">
        <f>IF(E47&lt;G47,G47/E47-1,E47/G47-1)</f>
        <v>0.0987654320987654</v>
      </c>
      <c r="F54" s="1585" t="str">
        <f t="shared" ref="F54:J54" si="60">IF(OR(E54&gt;=0.3,E54&lt;=-0.3),"超过30%","")</f>
        <v/>
      </c>
      <c r="G54" s="1584">
        <f>IF(G47&lt;I47,I47/G47-1,G47/I47-1)</f>
        <v>0.0125</v>
      </c>
      <c r="H54" s="1585" t="str">
        <f t="shared" si="60"/>
        <v/>
      </c>
      <c r="I54" s="1584">
        <f>IF(I47&lt;E47,E47/I47-1,I47/E47-1)</f>
        <v>0.1125</v>
      </c>
      <c r="J54" s="1585" t="str">
        <f t="shared" si="60"/>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1590</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 t="shared" ref="D58:O58" si="61">EDATE(C58,-1)</f>
        <v>45992</v>
      </c>
      <c r="E58" s="1977">
        <f t="shared" si="61"/>
        <v>45962</v>
      </c>
      <c r="F58" s="1977">
        <f t="shared" si="61"/>
        <v>45931</v>
      </c>
      <c r="G58" s="1977">
        <f t="shared" si="61"/>
        <v>45901</v>
      </c>
      <c r="H58" s="1977">
        <f t="shared" si="61"/>
        <v>45870</v>
      </c>
      <c r="I58" s="1977">
        <f t="shared" si="61"/>
        <v>45839</v>
      </c>
      <c r="J58" s="1977">
        <f t="shared" si="61"/>
        <v>45809</v>
      </c>
      <c r="K58" s="1977">
        <f t="shared" si="61"/>
        <v>45778</v>
      </c>
      <c r="L58" s="1977">
        <f t="shared" si="61"/>
        <v>45748</v>
      </c>
      <c r="M58" s="1977">
        <f t="shared" si="61"/>
        <v>45717</v>
      </c>
      <c r="N58" s="1977">
        <f t="shared" si="61"/>
        <v>45689</v>
      </c>
      <c r="O58" s="1977">
        <f t="shared" si="61"/>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1591</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1592</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1593</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1596</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1539</v>
      </c>
      <c r="C67" s="1690" t="str">
        <f t="shared" ref="C67:L67" si="62">C68&amp;"（含）"&amp;"-"&amp;D68</f>
        <v>0（含）-0.5</v>
      </c>
      <c r="D67" s="1690" t="str">
        <f t="shared" si="62"/>
        <v>0.5（含）-1</v>
      </c>
      <c r="E67" s="1690" t="str">
        <f t="shared" si="62"/>
        <v>1（含）-1.5</v>
      </c>
      <c r="F67" s="1690" t="str">
        <f t="shared" si="62"/>
        <v>1.5（含）-2</v>
      </c>
      <c r="G67" s="1690" t="str">
        <f t="shared" si="62"/>
        <v>2（含）-</v>
      </c>
      <c r="H67" s="1690" t="str">
        <f t="shared" si="62"/>
        <v>（含）-</v>
      </c>
      <c r="I67" s="1690" t="str">
        <f t="shared" si="62"/>
        <v>（含）-</v>
      </c>
      <c r="J67" s="1690" t="str">
        <f t="shared" si="62"/>
        <v>（含）-</v>
      </c>
      <c r="K67" s="1690" t="str">
        <f t="shared" si="62"/>
        <v>（含）-</v>
      </c>
      <c r="L67" s="1690" t="str">
        <f t="shared" si="62"/>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3">C69-$K11</f>
        <v>100</v>
      </c>
      <c r="E69" s="1687">
        <f t="shared" si="63"/>
        <v>100</v>
      </c>
      <c r="F69" s="1687">
        <f t="shared" si="63"/>
        <v>100</v>
      </c>
      <c r="G69" s="1687">
        <f t="shared" si="63"/>
        <v>100</v>
      </c>
      <c r="H69" s="1687">
        <f t="shared" si="63"/>
        <v>100</v>
      </c>
      <c r="I69" s="1687">
        <f t="shared" si="63"/>
        <v>100</v>
      </c>
      <c r="J69" s="1687">
        <f t="shared" si="63"/>
        <v>100</v>
      </c>
      <c r="K69" s="1687">
        <f t="shared" si="63"/>
        <v>100</v>
      </c>
      <c r="L69" s="1687">
        <f t="shared" si="63"/>
        <v>100</v>
      </c>
      <c r="M69" s="1688">
        <f t="shared" si="63"/>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1540</v>
      </c>
      <c r="B76" s="1670" t="s">
        <v>1597</v>
      </c>
      <c r="C76" s="1718" t="s">
        <v>1598</v>
      </c>
      <c r="D76" s="1718" t="s">
        <v>1599</v>
      </c>
      <c r="E76" s="1718" t="s">
        <v>1600</v>
      </c>
      <c r="F76" s="1718" t="s">
        <v>1601</v>
      </c>
      <c r="G76" s="1718" t="s">
        <v>1602</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4">C77-$K15</f>
        <v>97</v>
      </c>
      <c r="E77" s="1687">
        <f t="shared" si="64"/>
        <v>94</v>
      </c>
      <c r="F77" s="1687">
        <f t="shared" si="64"/>
        <v>91</v>
      </c>
      <c r="G77" s="1687">
        <f t="shared" si="64"/>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1544</v>
      </c>
      <c r="C78" s="1723" t="s">
        <v>1598</v>
      </c>
      <c r="D78" s="1723" t="s">
        <v>1599</v>
      </c>
      <c r="E78" s="1723" t="s">
        <v>1600</v>
      </c>
      <c r="F78" s="1723" t="s">
        <v>1601</v>
      </c>
      <c r="G78" s="1723" t="s">
        <v>1602</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5">C79-$K17</f>
        <v>98</v>
      </c>
      <c r="E79" s="1687">
        <f t="shared" si="65"/>
        <v>96</v>
      </c>
      <c r="F79" s="1687">
        <f t="shared" si="65"/>
        <v>94</v>
      </c>
      <c r="G79" s="1687">
        <f t="shared" si="65"/>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1546</v>
      </c>
      <c r="C80" s="1723" t="s">
        <v>1598</v>
      </c>
      <c r="D80" s="1723" t="s">
        <v>1599</v>
      </c>
      <c r="E80" s="1723" t="s">
        <v>1600</v>
      </c>
      <c r="F80" s="1723" t="s">
        <v>1601</v>
      </c>
      <c r="G80" s="1723" t="s">
        <v>1602</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6">C81-$K19</f>
        <v>98</v>
      </c>
      <c r="E81" s="1687">
        <f t="shared" si="66"/>
        <v>96</v>
      </c>
      <c r="F81" s="1687">
        <f t="shared" si="66"/>
        <v>94</v>
      </c>
      <c r="G81" s="1687">
        <f t="shared" si="66"/>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1547</v>
      </c>
      <c r="C82" s="1499" t="s">
        <v>1603</v>
      </c>
      <c r="D82" s="1499" t="s">
        <v>1604</v>
      </c>
      <c r="E82" s="1499" t="s">
        <v>1605</v>
      </c>
      <c r="F82" s="1499" t="s">
        <v>1606</v>
      </c>
      <c r="G82" s="1499" t="s">
        <v>1607</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7">C83-$K21</f>
        <v>99</v>
      </c>
      <c r="E83" s="1687">
        <f t="shared" si="67"/>
        <v>98</v>
      </c>
      <c r="F83" s="1687">
        <f t="shared" si="67"/>
        <v>97</v>
      </c>
      <c r="G83" s="1687">
        <f t="shared" si="67"/>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1548</v>
      </c>
      <c r="C84" s="1723" t="s">
        <v>1598</v>
      </c>
      <c r="D84" s="1723" t="s">
        <v>1599</v>
      </c>
      <c r="E84" s="1723" t="s">
        <v>1600</v>
      </c>
      <c r="F84" s="1723" t="s">
        <v>1601</v>
      </c>
      <c r="G84" s="1723" t="s">
        <v>1602</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8">C85-$K23</f>
        <v>98</v>
      </c>
      <c r="E85" s="1687">
        <f t="shared" si="68"/>
        <v>96</v>
      </c>
      <c r="F85" s="1687">
        <f t="shared" si="68"/>
        <v>94</v>
      </c>
      <c r="G85" s="1687">
        <f t="shared" si="68"/>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1549</v>
      </c>
      <c r="C86" s="2988" t="s">
        <v>1608</v>
      </c>
      <c r="D86" s="2988" t="s">
        <v>1550</v>
      </c>
      <c r="E86" s="2988" t="s">
        <v>1551</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69">C87-$K25</f>
        <v>90</v>
      </c>
      <c r="E87" s="1687">
        <f t="shared" si="69"/>
        <v>80</v>
      </c>
      <c r="F87" s="1687">
        <f t="shared" si="69"/>
        <v>70</v>
      </c>
      <c r="G87" s="1687">
        <f t="shared" si="69"/>
        <v>60</v>
      </c>
      <c r="H87" s="1687">
        <f t="shared" si="69"/>
        <v>50</v>
      </c>
      <c r="I87" s="1687">
        <f t="shared" si="69"/>
        <v>40</v>
      </c>
      <c r="J87" s="1687">
        <f t="shared" si="69"/>
        <v>30</v>
      </c>
      <c r="K87" s="1687">
        <f t="shared" si="69"/>
        <v>20</v>
      </c>
      <c r="L87" s="1687">
        <f t="shared" si="69"/>
        <v>10</v>
      </c>
      <c r="M87" s="1687">
        <f t="shared" si="69"/>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1554</v>
      </c>
      <c r="D90" s="2988" t="s">
        <v>1545</v>
      </c>
      <c r="E90" s="2988" t="s">
        <v>1609</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0">C91-$K27</f>
        <v>90</v>
      </c>
      <c r="E91" s="1687">
        <f t="shared" si="70"/>
        <v>80</v>
      </c>
      <c r="F91" s="1687">
        <f t="shared" si="70"/>
        <v>70</v>
      </c>
      <c r="G91" s="1687">
        <f t="shared" si="70"/>
        <v>60</v>
      </c>
      <c r="H91" s="1687">
        <f t="shared" si="70"/>
        <v>50</v>
      </c>
      <c r="I91" s="1687">
        <f t="shared" si="70"/>
        <v>40</v>
      </c>
      <c r="J91" s="1687">
        <f t="shared" si="70"/>
        <v>30</v>
      </c>
      <c r="K91" s="1687">
        <f t="shared" si="70"/>
        <v>20</v>
      </c>
      <c r="L91" s="1687">
        <f t="shared" si="70"/>
        <v>10</v>
      </c>
      <c r="M91" s="1687">
        <f t="shared" si="70"/>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1610</v>
      </c>
      <c r="D92" s="2989" t="s">
        <v>1611</v>
      </c>
      <c r="E92" s="2989" t="s">
        <v>1612</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1558</v>
      </c>
      <c r="B100" s="1670" t="s">
        <v>1559</v>
      </c>
      <c r="C100" s="2990" t="s">
        <v>1561</v>
      </c>
      <c r="D100" s="2990" t="s">
        <v>1560</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1">C101-$K32</f>
        <v>97</v>
      </c>
      <c r="E101" s="1687">
        <f t="shared" si="71"/>
        <v>94</v>
      </c>
      <c r="F101" s="1687">
        <f t="shared" si="71"/>
        <v>91</v>
      </c>
      <c r="G101" s="1687">
        <f t="shared" si="71"/>
        <v>88</v>
      </c>
      <c r="H101" s="1687">
        <f t="shared" si="71"/>
        <v>85</v>
      </c>
      <c r="I101" s="1687">
        <f t="shared" si="71"/>
        <v>82</v>
      </c>
      <c r="J101" s="1687">
        <f t="shared" si="71"/>
        <v>79</v>
      </c>
      <c r="K101" s="1687">
        <f t="shared" si="71"/>
        <v>76</v>
      </c>
      <c r="L101" s="1687">
        <f t="shared" si="71"/>
        <v>73</v>
      </c>
      <c r="M101" s="1688">
        <f t="shared" si="71"/>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1563</v>
      </c>
      <c r="C102" s="1723" t="str">
        <f t="shared" ref="C102:L102" si="72">C103&amp;"(含)"&amp;"-"&amp;D103</f>
        <v>0(含)-100</v>
      </c>
      <c r="D102" s="1723" t="str">
        <f t="shared" si="72"/>
        <v>100(含)-300</v>
      </c>
      <c r="E102" s="1723" t="str">
        <f t="shared" si="72"/>
        <v>300(含)-500</v>
      </c>
      <c r="F102" s="1723" t="str">
        <f t="shared" si="72"/>
        <v>500(含)-</v>
      </c>
      <c r="G102" s="1723" t="str">
        <f t="shared" si="72"/>
        <v>(含)-</v>
      </c>
      <c r="H102" s="1723" t="str">
        <f t="shared" si="72"/>
        <v>(含)-</v>
      </c>
      <c r="I102" s="1723" t="str">
        <f t="shared" si="72"/>
        <v>(含)-</v>
      </c>
      <c r="J102" s="1723" t="str">
        <f t="shared" si="72"/>
        <v>(含)-</v>
      </c>
      <c r="K102" s="1723" t="str">
        <f t="shared" si="72"/>
        <v>(含)-</v>
      </c>
      <c r="L102" s="1723" t="str">
        <f t="shared" si="72"/>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1564</v>
      </c>
      <c r="C105" s="2988" t="s">
        <v>1565</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3">C106-$K34</f>
        <v>99</v>
      </c>
      <c r="E106" s="1687">
        <f t="shared" si="73"/>
        <v>98</v>
      </c>
      <c r="F106" s="1687">
        <f t="shared" si="73"/>
        <v>97</v>
      </c>
      <c r="G106" s="1687">
        <f t="shared" si="73"/>
        <v>96</v>
      </c>
      <c r="H106" s="1687">
        <f t="shared" si="73"/>
        <v>95</v>
      </c>
      <c r="I106" s="1687">
        <f t="shared" si="73"/>
        <v>94</v>
      </c>
      <c r="J106" s="1687">
        <f t="shared" si="73"/>
        <v>93</v>
      </c>
      <c r="K106" s="1687">
        <f t="shared" si="73"/>
        <v>92</v>
      </c>
      <c r="L106" s="1687">
        <f t="shared" si="73"/>
        <v>91</v>
      </c>
      <c r="M106" s="1688">
        <f t="shared" si="73"/>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1566</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4">C108-$K35</f>
        <v>100</v>
      </c>
      <c r="E108" s="1687">
        <f t="shared" si="74"/>
        <v>100</v>
      </c>
      <c r="F108" s="1687">
        <f t="shared" si="74"/>
        <v>100</v>
      </c>
      <c r="G108" s="1687">
        <f t="shared" si="74"/>
        <v>100</v>
      </c>
      <c r="H108" s="1687">
        <f t="shared" si="74"/>
        <v>100</v>
      </c>
      <c r="I108" s="1687">
        <f t="shared" si="74"/>
        <v>100</v>
      </c>
      <c r="J108" s="1687">
        <f t="shared" si="74"/>
        <v>100</v>
      </c>
      <c r="K108" s="1687">
        <f t="shared" si="74"/>
        <v>100</v>
      </c>
      <c r="L108" s="1687">
        <f t="shared" si="74"/>
        <v>100</v>
      </c>
      <c r="M108" s="1688">
        <f t="shared" si="74"/>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 t="shared" ref="C109:K109" si="75">C110&amp;"(含)"&amp;"-"&amp;D110</f>
        <v>0.5(含)-0.55</v>
      </c>
      <c r="D109" s="1723" t="str">
        <f t="shared" si="75"/>
        <v>0.55(含)-0.6</v>
      </c>
      <c r="E109" s="1723" t="str">
        <f t="shared" si="75"/>
        <v>0.6(含)-0.65</v>
      </c>
      <c r="F109" s="1723" t="str">
        <f t="shared" si="75"/>
        <v>0.65(含)-0.7</v>
      </c>
      <c r="G109" s="1723" t="str">
        <f t="shared" si="75"/>
        <v>0.7(含)-0.75</v>
      </c>
      <c r="H109" s="1723" t="str">
        <f t="shared" si="75"/>
        <v>0.75(含)-0.8</v>
      </c>
      <c r="I109" s="1723" t="str">
        <f t="shared" si="75"/>
        <v>0.8(含)-0.85</v>
      </c>
      <c r="J109" s="1723" t="str">
        <f t="shared" si="75"/>
        <v>0.85(含)-0.9</v>
      </c>
      <c r="K109" s="1723" t="str">
        <f t="shared" si="75"/>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6">C111+$K36</f>
        <v>101</v>
      </c>
      <c r="E111" s="1687">
        <f t="shared" si="76"/>
        <v>102</v>
      </c>
      <c r="F111" s="1687">
        <f t="shared" si="76"/>
        <v>103</v>
      </c>
      <c r="G111" s="1687">
        <f t="shared" si="76"/>
        <v>104</v>
      </c>
      <c r="H111" s="1687">
        <f t="shared" si="76"/>
        <v>105</v>
      </c>
      <c r="I111" s="1687">
        <f t="shared" si="76"/>
        <v>106</v>
      </c>
      <c r="J111" s="1687">
        <f t="shared" si="76"/>
        <v>107</v>
      </c>
      <c r="K111" s="1687">
        <f t="shared" si="76"/>
        <v>108</v>
      </c>
      <c r="L111" s="1687">
        <f t="shared" si="76"/>
        <v>109</v>
      </c>
      <c r="M111" s="1687">
        <f t="shared" si="76"/>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1567</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7">C113-$K37</f>
        <v>99</v>
      </c>
      <c r="E113" s="1687">
        <f t="shared" si="77"/>
        <v>98</v>
      </c>
      <c r="F113" s="1687">
        <f t="shared" si="77"/>
        <v>97</v>
      </c>
      <c r="G113" s="1687">
        <f t="shared" si="77"/>
        <v>96</v>
      </c>
      <c r="H113" s="1687">
        <f t="shared" si="77"/>
        <v>95</v>
      </c>
      <c r="I113" s="1687">
        <f t="shared" si="77"/>
        <v>94</v>
      </c>
      <c r="J113" s="1687">
        <f t="shared" si="77"/>
        <v>93</v>
      </c>
      <c r="K113" s="1687">
        <f t="shared" si="77"/>
        <v>92</v>
      </c>
      <c r="L113" s="1687">
        <f t="shared" si="77"/>
        <v>91</v>
      </c>
      <c r="M113" s="1687">
        <f t="shared" si="77"/>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1568</v>
      </c>
      <c r="C114" s="2988" t="s">
        <v>1569</v>
      </c>
      <c r="D114" s="2988" t="s">
        <v>1613</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8">C115-$K38</f>
        <v>95</v>
      </c>
      <c r="E115" s="1687">
        <f t="shared" si="78"/>
        <v>90</v>
      </c>
      <c r="F115" s="1687">
        <f t="shared" si="78"/>
        <v>85</v>
      </c>
      <c r="G115" s="1687">
        <f t="shared" si="78"/>
        <v>80</v>
      </c>
      <c r="H115" s="1687">
        <f t="shared" si="78"/>
        <v>75</v>
      </c>
      <c r="I115" s="1687">
        <f t="shared" si="78"/>
        <v>70</v>
      </c>
      <c r="J115" s="1687">
        <f t="shared" si="78"/>
        <v>65</v>
      </c>
      <c r="K115" s="1687">
        <f t="shared" si="78"/>
        <v>60</v>
      </c>
      <c r="L115" s="1687">
        <f t="shared" si="78"/>
        <v>55</v>
      </c>
      <c r="M115" s="1688">
        <f t="shared" si="78"/>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1570</v>
      </c>
      <c r="C116" s="2988" t="s">
        <v>1571</v>
      </c>
      <c r="D116" s="2988" t="s">
        <v>1572</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79">C117-$K39</f>
        <v>90</v>
      </c>
      <c r="E117" s="1687">
        <f t="shared" si="79"/>
        <v>80</v>
      </c>
      <c r="F117" s="1687">
        <f t="shared" si="79"/>
        <v>70</v>
      </c>
      <c r="G117" s="1687">
        <f t="shared" si="79"/>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1573</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1614</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0">C121-$K41</f>
        <v>100</v>
      </c>
      <c r="E121" s="1687">
        <f t="shared" si="80"/>
        <v>100</v>
      </c>
      <c r="F121" s="1687">
        <f t="shared" si="80"/>
        <v>100</v>
      </c>
      <c r="G121" s="1687">
        <f t="shared" si="80"/>
        <v>100</v>
      </c>
      <c r="H121" s="1687">
        <f t="shared" si="80"/>
        <v>100</v>
      </c>
      <c r="I121" s="1687">
        <f t="shared" si="80"/>
        <v>100</v>
      </c>
      <c r="J121" s="1687">
        <f t="shared" si="80"/>
        <v>100</v>
      </c>
      <c r="K121" s="1687">
        <f t="shared" si="80"/>
        <v>100</v>
      </c>
      <c r="L121" s="1687">
        <f t="shared" si="80"/>
        <v>100</v>
      </c>
      <c r="M121" s="1688">
        <f t="shared" si="8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1575</v>
      </c>
      <c r="C122" s="2988" t="s">
        <v>1579</v>
      </c>
      <c r="D122" s="2988" t="s">
        <v>1576</v>
      </c>
      <c r="E122" s="2988" t="s">
        <v>1578</v>
      </c>
      <c r="F122" s="2992" t="s">
        <v>1577</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1">C123-$K42</f>
        <v>98</v>
      </c>
      <c r="E123" s="1687">
        <f t="shared" si="81"/>
        <v>96</v>
      </c>
      <c r="F123" s="1687">
        <f t="shared" si="81"/>
        <v>94</v>
      </c>
      <c r="G123" s="1687">
        <f t="shared" si="81"/>
        <v>92</v>
      </c>
      <c r="H123" s="1687">
        <f t="shared" si="81"/>
        <v>90</v>
      </c>
      <c r="I123" s="1687">
        <f t="shared" si="81"/>
        <v>88</v>
      </c>
      <c r="J123" s="1687">
        <f t="shared" si="81"/>
        <v>86</v>
      </c>
      <c r="K123" s="1687">
        <f t="shared" si="81"/>
        <v>84</v>
      </c>
      <c r="L123" s="1687">
        <f t="shared" si="81"/>
        <v>82</v>
      </c>
      <c r="M123" s="1688">
        <f t="shared" si="8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1581</v>
      </c>
      <c r="C124" s="1723" t="s">
        <v>1598</v>
      </c>
      <c r="D124" s="1723" t="s">
        <v>1599</v>
      </c>
      <c r="E124" s="1723" t="s">
        <v>1600</v>
      </c>
      <c r="F124" s="1723" t="s">
        <v>1601</v>
      </c>
      <c r="G124" s="1723" t="s">
        <v>1602</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2">C125-$K43</f>
        <v>98</v>
      </c>
      <c r="E125" s="1687">
        <f t="shared" si="82"/>
        <v>96</v>
      </c>
      <c r="F125" s="1687">
        <f t="shared" si="82"/>
        <v>94</v>
      </c>
      <c r="G125" s="1687">
        <f t="shared" si="82"/>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P41"/>
  <sheetViews>
    <sheetView topLeftCell="A16" workbookViewId="0">
      <selection activeCell="I44" sqref="I44"/>
    </sheetView>
  </sheetViews>
  <sheetFormatPr defaultColWidth="9" defaultRowHeight="13.5"/>
  <cols>
    <col min="2" max="3" width="12.625"/>
    <col min="18" max="18" width="12.625"/>
  </cols>
  <sheetData>
    <row r="7" spans="13:16">
      <c r="M7" s="342" t="s">
        <v>425</v>
      </c>
    </row>
    <row r="10" spans="13:16">
      <c r="M10" s="342" t="s">
        <v>1640</v>
      </c>
      <c r="N10">
        <f>5.63*7.38</f>
        <v>41.5494</v>
      </c>
      <c r="O10" s="2949">
        <v>0.3</v>
      </c>
      <c r="P10">
        <v>100</v>
      </c>
    </row>
    <row r="11" spans="13:16">
      <c r="M11" s="342" t="s">
        <v>1641</v>
      </c>
      <c r="N11">
        <f>7.32*8.3+5.96*5.03/2</f>
        <v>75.7454</v>
      </c>
      <c r="O11" s="2949">
        <v>0.7</v>
      </c>
      <c r="P11">
        <v>70</v>
      </c>
    </row>
    <row r="13" spans="13:16">
      <c r="N13">
        <f>N10+N11</f>
        <v>117.2948</v>
      </c>
      <c r="P13">
        <f>O10*P10+O11*P11</f>
        <v>79</v>
      </c>
    </row>
    <row r="29" spans="1:3">
      <c r="A29" t="s">
        <v>1642</v>
      </c>
    </row>
    <row r="30" spans="1:3">
      <c r="A30" t="s">
        <v>1643</v>
      </c>
      <c r="B30">
        <v>18612119076</v>
      </c>
    </row>
    <row r="31" spans="1:3">
      <c r="B31" t="s">
        <v>1644</v>
      </c>
    </row>
    <row r="32" spans="1:3">
      <c r="B32" t="s">
        <v>1645</v>
      </c>
      <c r="C32" t="s">
        <v>1646</v>
      </c>
    </row>
    <row r="34" spans="1:5">
      <c r="A34" t="s">
        <v>1647</v>
      </c>
      <c r="B34">
        <v>15321314939</v>
      </c>
    </row>
    <row r="35" spans="1:5">
      <c r="B35" t="s">
        <v>1648</v>
      </c>
    </row>
    <row r="36" spans="1:5">
      <c r="B36" t="s">
        <v>1637</v>
      </c>
      <c r="C36">
        <f>35000/131/30</f>
        <v>8.9058524173028</v>
      </c>
      <c r="E36" t="s">
        <v>1649</v>
      </c>
    </row>
    <row r="37" spans="1:5">
      <c r="B37" t="s">
        <v>1638</v>
      </c>
      <c r="C37">
        <f>32000/131/30</f>
        <v>8.14249363867684</v>
      </c>
      <c r="E37" t="s">
        <v>1650</v>
      </c>
    </row>
    <row r="39" spans="1:5">
      <c r="A39" t="s">
        <v>1651</v>
      </c>
    </row>
    <row r="40" spans="1:5">
      <c r="B40" t="s">
        <v>1652</v>
      </c>
    </row>
    <row r="41" spans="1:5">
      <c r="B41" t="s">
        <v>483</v>
      </c>
      <c r="C41">
        <f>10000/32/30</f>
        <v>10.4166666666667</v>
      </c>
      <c r="E41" t="s">
        <v>1649</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680"/>
      <c r="D1" s="2681" t="s">
        <v>124</v>
      </c>
      <c r="E1" s="2682" t="s">
        <v>1287</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689" t="e">
        <f ca="1">ROUND(D2/10000,4)</f>
        <v>#DIV/0!</v>
      </c>
      <c r="C2" s="2690" t="s">
        <v>1289</v>
      </c>
      <c r="D2" s="2691" t="e">
        <f ca="1">C40+J29+L46</f>
        <v>#DIV/0!</v>
      </c>
      <c r="E2" s="2692" t="s">
        <v>1653</v>
      </c>
      <c r="F2" s="2693"/>
      <c r="G2" s="2694"/>
      <c r="H2" s="2695"/>
      <c r="I2" s="2695"/>
      <c r="J2" s="2695"/>
      <c r="K2" s="2696"/>
      <c r="L2" s="2695"/>
      <c r="M2" s="2695"/>
    </row>
    <row r="3" ht="18" customHeight="1" spans="1:37">
      <c r="A3" s="2697" t="s">
        <v>1290</v>
      </c>
      <c r="B3" s="2698">
        <f ca="1">IF(ISERROR(D2/F43),0,ROUND(D2/F43,0))</f>
        <v>0</v>
      </c>
      <c r="C3" s="2690" t="s">
        <v>1291</v>
      </c>
      <c r="D3" s="2690"/>
      <c r="E3" s="2692"/>
      <c r="F3" s="2693"/>
      <c r="G3" s="2694"/>
      <c r="H3" s="2699" t="s">
        <v>1292</v>
      </c>
      <c r="I3" s="2700"/>
      <c r="J3" s="2700"/>
      <c r="K3" s="2701"/>
      <c r="L3" s="2700"/>
      <c r="M3" s="2700"/>
    </row>
    <row r="4" ht="18" customHeight="1" spans="1:37">
      <c r="A4" s="2702" t="s">
        <v>1654</v>
      </c>
      <c r="B4" s="2703" t="s">
        <v>1655</v>
      </c>
      <c r="C4" s="2703" t="s">
        <v>1656</v>
      </c>
      <c r="D4" s="2703" t="s">
        <v>1657</v>
      </c>
      <c r="E4" s="2704" t="s">
        <v>1658</v>
      </c>
      <c r="F4" s="2705"/>
      <c r="G4" s="883"/>
      <c r="H4" s="2702" t="s">
        <v>1654</v>
      </c>
      <c r="I4" s="2703" t="s">
        <v>1655</v>
      </c>
      <c r="J4" s="2703" t="s">
        <v>1656</v>
      </c>
      <c r="K4" s="2703" t="s">
        <v>1657</v>
      </c>
      <c r="L4" s="2704" t="s">
        <v>1658</v>
      </c>
      <c r="M4" s="2705"/>
    </row>
    <row r="5" ht="18" customHeight="1" spans="1:37">
      <c r="A5" s="2706">
        <v>1</v>
      </c>
      <c r="B5" s="2707" t="s">
        <v>1423</v>
      </c>
      <c r="C5" s="2708">
        <f ca="1">C6+C10+C12</f>
        <v>0</v>
      </c>
      <c r="D5" s="2709" t="s">
        <v>1659</v>
      </c>
      <c r="E5" s="2710"/>
      <c r="F5" s="2711"/>
      <c r="G5" s="883"/>
      <c r="H5" s="2706">
        <v>1</v>
      </c>
      <c r="I5" s="2707" t="s">
        <v>1423</v>
      </c>
      <c r="J5" s="2708">
        <f ca="1">J6+J10+J12</f>
        <v>0</v>
      </c>
      <c r="K5" s="2709" t="s">
        <v>1659</v>
      </c>
      <c r="L5" s="2710"/>
      <c r="M5" s="2711"/>
    </row>
    <row r="6" ht="18" customHeight="1" spans="1:37">
      <c r="A6" s="2712" t="s">
        <v>1009</v>
      </c>
      <c r="B6" s="2713" t="s">
        <v>1660</v>
      </c>
      <c r="C6" s="2714">
        <f ca="1">ROUND(F6*F8*F7*(1-F9),0)</f>
        <v>0</v>
      </c>
      <c r="D6" s="2715" t="s">
        <v>1661</v>
      </c>
      <c r="E6" s="1301" t="s">
        <v>1662</v>
      </c>
      <c r="F6" s="2716">
        <f ca="1">INDIRECT("'数据-取费表'!u"&amp;$G$1)</f>
        <v>0</v>
      </c>
      <c r="G6" s="883"/>
      <c r="H6" s="2712" t="s">
        <v>1009</v>
      </c>
      <c r="I6" s="2713" t="s">
        <v>1660</v>
      </c>
      <c r="J6" s="2717">
        <f ca="1">ROUND(M6*M8*M7*(1-M9),0)</f>
        <v>0</v>
      </c>
      <c r="K6" s="2718" t="s">
        <v>1663</v>
      </c>
      <c r="L6" s="1301" t="s">
        <v>1662</v>
      </c>
      <c r="M6" s="2716">
        <f ca="1">INDIRECT("'数据-取费表'!z"&amp;$G$1)</f>
        <v>0</v>
      </c>
    </row>
    <row r="7" ht="18" customHeight="1" spans="1:37">
      <c r="A7" s="2719"/>
      <c r="B7" s="2720"/>
      <c r="C7" s="2721"/>
      <c r="D7" s="2722"/>
      <c r="E7" s="2723" t="s">
        <v>1305</v>
      </c>
      <c r="F7" s="2716">
        <f ca="1">IF(INDIRECT("'数据-取费表'!ah"&amp;$G$1)="",INDIRECT("'数据-取费表'!k"&amp;$G$1),INDIRECT("'数据-取费表'!ah"&amp;$G$1))</f>
        <v>0</v>
      </c>
      <c r="G7" s="883"/>
      <c r="H7" s="2724"/>
      <c r="I7" s="2720"/>
      <c r="J7" s="2725"/>
      <c r="K7" s="2722"/>
      <c r="L7" s="1301" t="s">
        <v>1305</v>
      </c>
      <c r="M7" s="2716">
        <f ca="1">F7</f>
        <v>0</v>
      </c>
    </row>
    <row r="8" ht="18" customHeight="1" spans="1:37">
      <c r="A8" s="2724"/>
      <c r="B8" s="2720"/>
      <c r="C8" s="2725"/>
      <c r="D8" s="2722"/>
      <c r="E8" s="1301" t="s">
        <v>1664</v>
      </c>
      <c r="F8" s="2716">
        <f ca="1">INDIRECT("'数据-取费表'!ai"&amp;$G$1)</f>
        <v>0</v>
      </c>
      <c r="G8" s="883"/>
      <c r="H8" s="2724"/>
      <c r="I8" s="2720"/>
      <c r="J8" s="2725"/>
      <c r="K8" s="2722"/>
      <c r="L8" s="1301" t="s">
        <v>1664</v>
      </c>
      <c r="M8" s="2716">
        <f ca="1">INDIRECT("'数据-取费表'!ai"&amp;$G$1)</f>
        <v>0</v>
      </c>
    </row>
    <row r="9" ht="18" customHeight="1" spans="1:37">
      <c r="A9" s="2724"/>
      <c r="B9" s="2726"/>
      <c r="C9" s="2725"/>
      <c r="D9" s="2722"/>
      <c r="E9" s="1301" t="s">
        <v>1308</v>
      </c>
      <c r="F9" s="2727">
        <f ca="1">INDIRECT("'数据-取费表'!w"&amp;$G$1)</f>
        <v>0</v>
      </c>
      <c r="G9" s="883"/>
      <c r="H9" s="2724"/>
      <c r="I9" s="2726"/>
      <c r="J9" s="2725"/>
      <c r="K9" s="2722"/>
      <c r="L9" s="2728" t="s">
        <v>1308</v>
      </c>
      <c r="M9" s="2729">
        <f ca="1">INDIRECT("'数据-取费表'!ab"&amp;$G$1)</f>
        <v>0</v>
      </c>
    </row>
    <row r="10" ht="18" customHeight="1" spans="1:37">
      <c r="A10" s="2712" t="s">
        <v>1014</v>
      </c>
      <c r="B10" s="2730" t="s">
        <v>1309</v>
      </c>
      <c r="C10" s="2361">
        <f ca="1">ROUND(IF(F10="押一",C6/12*F11,IF(F10="押二",C6/12*2*F11,IF(F10="押三",C6/12*3*F11,C11*F11))),0)</f>
        <v>0</v>
      </c>
      <c r="D10" s="2731" t="s">
        <v>1310</v>
      </c>
      <c r="E10" s="2728" t="s">
        <v>1311</v>
      </c>
      <c r="F10" s="2732"/>
      <c r="G10" s="883"/>
      <c r="H10" s="2712" t="s">
        <v>1014</v>
      </c>
      <c r="I10" s="2730" t="s">
        <v>1309</v>
      </c>
      <c r="J10" s="2717">
        <f ca="1">ROUND(IF(M10="押一",J6/12*M11,IF(M10="押二",J6/12*2*M11,IF(M10="押三",J6/12*3*M11,J11*M11))),0)</f>
        <v>0</v>
      </c>
      <c r="K10" s="2733" t="s">
        <v>1665</v>
      </c>
      <c r="L10" s="2728" t="s">
        <v>1311</v>
      </c>
      <c r="M10" s="2732"/>
    </row>
    <row r="11" ht="18" customHeight="1" spans="1:37">
      <c r="A11" s="2734"/>
      <c r="B11" s="2735" t="s">
        <v>1666</v>
      </c>
      <c r="C11" s="2736"/>
      <c r="D11" s="2722"/>
      <c r="E11" s="2728" t="s">
        <v>1312</v>
      </c>
      <c r="F11" s="2729">
        <f ca="1">'数据-取费表'!B40</f>
        <v>0.015</v>
      </c>
      <c r="G11" s="883"/>
      <c r="H11" s="2737"/>
      <c r="I11" s="2735" t="s">
        <v>1667</v>
      </c>
      <c r="J11" s="2736"/>
      <c r="K11" s="2738"/>
      <c r="L11" s="2728" t="s">
        <v>1312</v>
      </c>
      <c r="M11" s="2739">
        <f ca="1">'数据-取费表'!B40</f>
        <v>0.015</v>
      </c>
    </row>
    <row r="12" ht="18" customHeight="1" spans="1:37">
      <c r="A12" s="2740" t="s">
        <v>1065</v>
      </c>
      <c r="B12" s="2741" t="s">
        <v>1313</v>
      </c>
      <c r="C12" s="2742"/>
      <c r="D12" s="2743"/>
      <c r="E12" s="2744"/>
      <c r="F12" s="2745"/>
      <c r="G12" s="883"/>
      <c r="H12" s="2740" t="s">
        <v>1065</v>
      </c>
      <c r="I12" s="2741" t="s">
        <v>1313</v>
      </c>
      <c r="J12" s="2742"/>
      <c r="K12" s="2746"/>
      <c r="L12" s="2744"/>
      <c r="M12" s="2747"/>
    </row>
    <row r="13" ht="18" customHeight="1" spans="1:37">
      <c r="A13" s="2748">
        <v>2</v>
      </c>
      <c r="B13" s="2749" t="s">
        <v>1625</v>
      </c>
      <c r="C13" s="2750">
        <f ca="1">ROUND(C29*F13,0)</f>
        <v>0</v>
      </c>
      <c r="D13" s="2751" t="s">
        <v>1668</v>
      </c>
      <c r="E13" s="2751" t="s">
        <v>1669</v>
      </c>
      <c r="F13" s="2752">
        <f ca="1">INDIRECT("'数据-取费表'!y"&amp;$G$1)</f>
        <v>0</v>
      </c>
      <c r="G13" s="883"/>
      <c r="H13" s="2748">
        <v>2</v>
      </c>
      <c r="I13" s="2749" t="s">
        <v>1625</v>
      </c>
      <c r="J13" s="2753">
        <f ca="1">ROUND(J14*J15,0)</f>
        <v>0</v>
      </c>
      <c r="K13" s="2754" t="s">
        <v>1668</v>
      </c>
      <c r="L13" s="2755"/>
      <c r="M13" s="2756"/>
    </row>
    <row r="14" ht="18" customHeight="1" spans="1:37">
      <c r="A14" s="731" t="s">
        <v>1038</v>
      </c>
      <c r="B14" s="1301" t="s">
        <v>1371</v>
      </c>
      <c r="C14" s="2757">
        <f ca="1">ROUND(INDIRECT("'数据-取费表'!l"&amp;$G$1)*F43+'数据-取费表'!L14*INDIRECT("'数据-取费表'!S"&amp;$G$1),0)</f>
        <v>0</v>
      </c>
      <c r="D14" s="2758" t="s">
        <v>1372</v>
      </c>
      <c r="E14" s="2759"/>
      <c r="F14" s="2760"/>
      <c r="G14" s="883"/>
      <c r="H14" s="731" t="s">
        <v>1009</v>
      </c>
      <c r="I14" s="1301" t="s">
        <v>1670</v>
      </c>
      <c r="J14" s="1291">
        <f ca="1">C29</f>
        <v>0</v>
      </c>
      <c r="K14" s="2761"/>
      <c r="L14" s="767"/>
      <c r="M14" s="768"/>
    </row>
    <row r="15" s="2677" customFormat="1" ht="18" customHeight="1" spans="1:37">
      <c r="A15" s="731" t="s">
        <v>1042</v>
      </c>
      <c r="B15" s="1301" t="s">
        <v>1624</v>
      </c>
      <c r="C15" s="1291">
        <f ca="1">ROUND(C14*F15,0)</f>
        <v>0</v>
      </c>
      <c r="D15" s="2762" t="s">
        <v>1375</v>
      </c>
      <c r="E15" s="2762" t="s">
        <v>1332</v>
      </c>
      <c r="F15" s="2763">
        <f>'数据-取费表'!B33</f>
        <v>0.06</v>
      </c>
      <c r="G15" s="2764"/>
      <c r="H15" s="2765" t="s">
        <v>1014</v>
      </c>
      <c r="I15" s="2744" t="s">
        <v>1669</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1379</v>
      </c>
      <c r="C16" s="1291">
        <f ca="1">ROUND(INDIRECT("'数据-取费表'!l"&amp;$G$1)*F43*F16,0)</f>
        <v>0</v>
      </c>
      <c r="D16" s="1301" t="s">
        <v>1375</v>
      </c>
      <c r="E16" s="1301" t="s">
        <v>1332</v>
      </c>
      <c r="F16" s="2769">
        <f ca="1">IF(INDIRECT("'数据-取费表'!c"&amp;$G$1)="住宅",'数据-取费表'!B34,0)</f>
        <v>0</v>
      </c>
      <c r="G16" s="883"/>
      <c r="H16" s="2748" t="s">
        <v>1181</v>
      </c>
      <c r="I16" s="2749" t="s">
        <v>1315</v>
      </c>
      <c r="J16" s="2750">
        <f ca="1">ROUND(J17+J22+J23+J24,0)</f>
        <v>0</v>
      </c>
      <c r="K16" s="2754" t="s">
        <v>1671</v>
      </c>
      <c r="L16" s="2770"/>
      <c r="M16" s="2711"/>
    </row>
    <row r="17" s="2677" customFormat="1" ht="18" customHeight="1" spans="1:37">
      <c r="A17" s="731" t="s">
        <v>1380</v>
      </c>
      <c r="B17" s="1301" t="s">
        <v>1381</v>
      </c>
      <c r="C17" s="1291">
        <f ca="1">ROUND(F17*(F43+INDIRECT("'数据-取费表'!S"&amp;$G$1)),0)</f>
        <v>0</v>
      </c>
      <c r="D17" s="1301" t="s">
        <v>1382</v>
      </c>
      <c r="E17" s="1301" t="s">
        <v>1672</v>
      </c>
      <c r="F17" s="2771">
        <f>'数据-取费表'!B35</f>
        <v>300</v>
      </c>
      <c r="G17" s="2764"/>
      <c r="H17" s="731" t="s">
        <v>1009</v>
      </c>
      <c r="I17" s="1301" t="s">
        <v>1673</v>
      </c>
      <c r="J17" s="2772">
        <f ca="1">ROUND(IF(AND(项目基本情况!B11="自然人",项目基本情况!B10="北京市"),J6*M17/(1+'数据-取费表'!C43),J18+J19+J20),0)</f>
        <v>0</v>
      </c>
      <c r="K17" s="2758" t="s">
        <v>1674</v>
      </c>
      <c r="L17" s="2368" t="s">
        <v>1675</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1384</v>
      </c>
      <c r="B18" s="1301" t="s">
        <v>1676</v>
      </c>
      <c r="C18" s="1291">
        <f ca="1">ROUND(C14*F18,0)</f>
        <v>0</v>
      </c>
      <c r="D18" s="1301" t="s">
        <v>1375</v>
      </c>
      <c r="E18" s="1301" t="s">
        <v>1332</v>
      </c>
      <c r="F18" s="2769">
        <f>'数据-取费表'!B36</f>
        <v>0.01</v>
      </c>
      <c r="G18" s="2764"/>
      <c r="H18" s="731" t="s">
        <v>1038</v>
      </c>
      <c r="I18" s="1301" t="s">
        <v>1677</v>
      </c>
      <c r="J18" s="1291">
        <f ca="1">ROUND(J6*M18/(1+'数据-取费表'!C43),0)</f>
        <v>0</v>
      </c>
      <c r="K18" s="2368" t="s">
        <v>1678</v>
      </c>
      <c r="L18" s="1301" t="s">
        <v>1332</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1679</v>
      </c>
      <c r="C19" s="1291">
        <f ca="1">SUM(C14:C18)</f>
        <v>0</v>
      </c>
      <c r="D19" s="2774" t="s">
        <v>1680</v>
      </c>
      <c r="E19" s="2363"/>
      <c r="F19" s="2771"/>
      <c r="G19" s="883"/>
      <c r="H19" s="731" t="s">
        <v>1042</v>
      </c>
      <c r="I19" s="1301" t="s">
        <v>1681</v>
      </c>
      <c r="J19" s="1291">
        <f ca="1">IF(K19="按租金收入计税",ROUND(J6*M19/(1+'数据-取费表'!C43),0),ROUND(C29*M19*0.7,0))</f>
        <v>0</v>
      </c>
      <c r="K19" s="2775" t="s">
        <v>1682</v>
      </c>
      <c r="L19" s="1301" t="s">
        <v>1332</v>
      </c>
      <c r="M19" s="2769">
        <f>IF(K19="按租金收入计税",'数据-取费表'!B52,'数据-取费表'!B51)</f>
        <v>0.12</v>
      </c>
    </row>
    <row r="20" s="2677" customFormat="1" ht="18" customHeight="1" spans="1:37">
      <c r="A20" s="731" t="s">
        <v>1014</v>
      </c>
      <c r="B20" s="1301" t="s">
        <v>1344</v>
      </c>
      <c r="C20" s="1291">
        <f ca="1">ROUND(C19*F20,0)</f>
        <v>0</v>
      </c>
      <c r="D20" s="2776" t="s">
        <v>1683</v>
      </c>
      <c r="E20" s="1301" t="s">
        <v>1332</v>
      </c>
      <c r="F20" s="2769">
        <f>'数据-取费表'!B38</f>
        <v>0.02</v>
      </c>
      <c r="G20" s="2764"/>
      <c r="H20" s="731" t="s">
        <v>1045</v>
      </c>
      <c r="I20" s="2715" t="s">
        <v>1684</v>
      </c>
      <c r="J20" s="2777">
        <f ca="1">ROUND(M20*M21,0)</f>
        <v>0</v>
      </c>
      <c r="K20" s="2778" t="s">
        <v>1334</v>
      </c>
      <c r="L20" s="1301" t="s">
        <v>1335</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1685</v>
      </c>
      <c r="C21" s="1291" t="s">
        <v>124</v>
      </c>
      <c r="D21" s="2776" t="s">
        <v>1686</v>
      </c>
      <c r="E21" s="1301" t="s">
        <v>1687</v>
      </c>
      <c r="F21" s="2769">
        <f>'数据-取费表'!B39</f>
        <v>0.02</v>
      </c>
      <c r="G21" s="2764"/>
      <c r="H21" s="2780"/>
      <c r="I21" s="2781"/>
      <c r="J21" s="2782"/>
      <c r="K21" s="2783"/>
      <c r="L21" s="1301" t="s">
        <v>1336</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1688</v>
      </c>
      <c r="C22" s="1291"/>
      <c r="D22" s="2774" t="str">
        <f>IF(F23&lt;=1,"单利计息。","复利计息。")&amp;"建造成本、管理费用、销售费用产生的利息。"</f>
        <v>单利计息。建造成本、管理费用、销售费用产生的利息。</v>
      </c>
      <c r="E22" s="2363"/>
      <c r="F22" s="2771"/>
      <c r="G22" s="883"/>
      <c r="H22" s="731" t="s">
        <v>1014</v>
      </c>
      <c r="I22" s="1301" t="s">
        <v>1337</v>
      </c>
      <c r="J22" s="1291">
        <f ca="1">ROUND(J14*M22,0)</f>
        <v>0</v>
      </c>
      <c r="K22" s="2368" t="s">
        <v>1338</v>
      </c>
      <c r="L22" s="1301" t="s">
        <v>1332</v>
      </c>
      <c r="M22" s="2784">
        <f ca="1">INDIRECT("'数据-取费表'!Ak"&amp;$G$1)</f>
        <v>0</v>
      </c>
    </row>
    <row r="23" s="2677" customFormat="1" ht="18" customHeight="1" spans="1:37">
      <c r="A23" s="731" t="s">
        <v>1038</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(建造成本+管理费用)×利率×(建设周期÷2)</v>
      </c>
      <c r="E23" s="1301" t="s">
        <v>1393</v>
      </c>
      <c r="F23" s="2779">
        <f>'数据-取费表'!B20</f>
        <v>1</v>
      </c>
      <c r="G23" s="2764"/>
      <c r="H23" s="731" t="s">
        <v>1065</v>
      </c>
      <c r="I23" s="1301" t="s">
        <v>1340</v>
      </c>
      <c r="J23" s="1291">
        <f ca="1">ROUND(J13*M23,0)</f>
        <v>0</v>
      </c>
      <c r="K23" s="2368" t="s">
        <v>1620</v>
      </c>
      <c r="L23" s="1301" t="s">
        <v>1332</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1394</v>
      </c>
      <c r="C24" s="1291">
        <f ca="1">ROUND(IF('数据-取费表'!B22&lt;=1,F21*F24*F23/2,F21*(POWER((1+F24),F23/2)-1)),4)</f>
        <v>0.0003</v>
      </c>
      <c r="D24" s="1280" t="str">
        <f>IF(F23&lt;=1,"销售费用×利率×(建设周期÷2)","销售费用×((1+利率)^(建设周期÷2)-1)")</f>
        <v>销售费用×利率×(建设周期÷2)</v>
      </c>
      <c r="E24" s="1301" t="s">
        <v>1395</v>
      </c>
      <c r="F24" s="2786">
        <f ca="1">'数据-取费表'!B41</f>
        <v>0.03</v>
      </c>
      <c r="G24" s="2764"/>
      <c r="H24" s="2765" t="s">
        <v>1070</v>
      </c>
      <c r="I24" s="2744" t="s">
        <v>1344</v>
      </c>
      <c r="J24" s="2787">
        <f ca="1">ROUND(J5*M24,0)</f>
        <v>0</v>
      </c>
      <c r="K24" s="2788" t="s">
        <v>1689</v>
      </c>
      <c r="L24" s="2744" t="s">
        <v>1332</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1690</v>
      </c>
      <c r="C25" s="1291"/>
      <c r="D25" s="2774" t="s">
        <v>1691</v>
      </c>
      <c r="E25" s="2363"/>
      <c r="F25" s="2771"/>
      <c r="G25" s="883"/>
      <c r="H25" s="2748" t="s">
        <v>1348</v>
      </c>
      <c r="I25" s="2789" t="s">
        <v>1346</v>
      </c>
      <c r="J25" s="2750">
        <f ca="1">J5-J16</f>
        <v>0</v>
      </c>
      <c r="K25" s="2790" t="s">
        <v>1692</v>
      </c>
      <c r="L25" s="2791"/>
      <c r="M25" s="2792"/>
    </row>
    <row r="26" ht="18" customHeight="1" spans="1:37">
      <c r="A26" s="731" t="s">
        <v>1038</v>
      </c>
      <c r="B26" s="1301" t="s">
        <v>1398</v>
      </c>
      <c r="C26" s="1291">
        <f ca="1">ROUND((C19+C20)*F26,0)</f>
        <v>0</v>
      </c>
      <c r="D26" s="2776" t="s">
        <v>1399</v>
      </c>
      <c r="E26" s="2728" t="s">
        <v>1400</v>
      </c>
      <c r="F26" s="2727">
        <f ca="1">INDIRECT("'数据-取费表'!q"&amp;$G$1)</f>
        <v>0</v>
      </c>
      <c r="G26" s="883"/>
      <c r="H26" s="2706" t="s">
        <v>1356</v>
      </c>
      <c r="I26" s="2707" t="s">
        <v>1352</v>
      </c>
      <c r="J26" s="2717">
        <f ca="1">IF(J5&lt;&gt;0,ROUND(J25*(1-((1+M28)/(1+M26))^M27)/(M26-M28),0),0)</f>
        <v>0</v>
      </c>
      <c r="K26" s="2778" t="s">
        <v>1693</v>
      </c>
      <c r="L26" s="1301" t="s">
        <v>1694</v>
      </c>
      <c r="M26" s="2727">
        <f ca="1">INDIRECT("'数据-取费表'!I"&amp;$G$1)</f>
        <v>0</v>
      </c>
    </row>
    <row r="27" ht="18" customHeight="1" spans="1:37">
      <c r="A27" s="731" t="s">
        <v>1042</v>
      </c>
      <c r="B27" s="1301" t="s">
        <v>1401</v>
      </c>
      <c r="C27" s="1291">
        <f ca="1">ROUND(F21*F26,4)</f>
        <v>0</v>
      </c>
      <c r="D27" s="2776" t="s">
        <v>1402</v>
      </c>
      <c r="E27" s="2762"/>
      <c r="F27" s="2763"/>
      <c r="G27" s="883"/>
      <c r="H27" s="2724"/>
      <c r="I27" s="2793"/>
      <c r="J27" s="2725"/>
      <c r="K27" s="2794" t="s">
        <v>1695</v>
      </c>
      <c r="L27" s="1301" t="s">
        <v>1696</v>
      </c>
      <c r="M27" s="2795">
        <f ca="1">INDIRECT("'数据-取费表'!ag"&amp;$G$1)</f>
        <v>0</v>
      </c>
    </row>
    <row r="28" s="2677" customFormat="1" ht="18" customHeight="1" spans="1:37">
      <c r="A28" s="731" t="s">
        <v>1076</v>
      </c>
      <c r="B28" s="1301" t="s">
        <v>1697</v>
      </c>
      <c r="C28" s="1291">
        <f>ROUND(F28/(1+'数据-取费表'!C43),4)</f>
        <v>0</v>
      </c>
      <c r="D28" s="2776" t="s">
        <v>1698</v>
      </c>
      <c r="E28" s="1301" t="s">
        <v>1332</v>
      </c>
      <c r="F28" s="2769">
        <f>'数据-取费表'!B42</f>
        <v>0</v>
      </c>
      <c r="G28" s="2764"/>
      <c r="H28" s="2734"/>
      <c r="I28" s="2796"/>
      <c r="J28" s="2750"/>
      <c r="K28" s="2783"/>
      <c r="L28" s="1301" t="s">
        <v>1699</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1700</v>
      </c>
      <c r="B29" s="2744" t="s">
        <v>1701</v>
      </c>
      <c r="C29" s="2787">
        <f ca="1">ROUND((C19+C20+C23+C26)/(1-F21-C24-C27-C28),0)</f>
        <v>0</v>
      </c>
      <c r="D29" s="2788"/>
      <c r="E29" s="2744"/>
      <c r="F29" s="2797"/>
      <c r="G29" s="2764"/>
      <c r="H29" s="738" t="s">
        <v>1361</v>
      </c>
      <c r="I29" s="2798" t="s">
        <v>1359</v>
      </c>
      <c r="J29" s="2799">
        <f ca="1">ROUND(J26/(1+F40)^F41,0)</f>
        <v>0</v>
      </c>
      <c r="K29" s="2800" t="s">
        <v>1702</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1315</v>
      </c>
      <c r="C30" s="2750">
        <f ca="1">ROUND(C31+C36+C37+C38,0)</f>
        <v>0</v>
      </c>
      <c r="D30" s="2754" t="s">
        <v>1671</v>
      </c>
      <c r="E30" s="2770"/>
      <c r="F30" s="2711"/>
      <c r="G30" s="883"/>
      <c r="H30" s="2803"/>
      <c r="I30" s="2804"/>
      <c r="J30" s="2805"/>
      <c r="K30" s="2806"/>
      <c r="L30" s="2807"/>
      <c r="M30" s="2808"/>
    </row>
    <row r="31" ht="18" customHeight="1" spans="1:37">
      <c r="A31" s="731" t="s">
        <v>1009</v>
      </c>
      <c r="B31" s="1301" t="s">
        <v>1673</v>
      </c>
      <c r="C31" s="2772">
        <f ca="1">ROUND(IF(AND(项目基本情况!B11="自然人",项目基本情况!B10="北京市"),C6*F31/(1+'数据-取费表'!C43),C32+C33+C34),0)</f>
        <v>0</v>
      </c>
      <c r="D31" s="2758" t="s">
        <v>1674</v>
      </c>
      <c r="E31" s="2368" t="s">
        <v>1675</v>
      </c>
      <c r="F31" s="2773" t="str">
        <f ca="1">IF(项目基本情况!B11="企业","——",IF(M47="住宅",IF(F6*F7*F8/12/(1+'数据-取费表'!F30)&gt;100000,4%,2.5%),IF(F6*F7*F8/12/(1+'数据-取费表'!F30)&gt;100000,12%,7%)))</f>
        <v>——</v>
      </c>
      <c r="G31" s="883"/>
      <c r="H31" s="2809" t="s">
        <v>1703</v>
      </c>
      <c r="I31" s="2804"/>
      <c r="J31" s="2805"/>
      <c r="K31" s="2806"/>
      <c r="L31" s="2807"/>
      <c r="M31" s="2808"/>
    </row>
    <row r="32" ht="18" customHeight="1" spans="1:37">
      <c r="A32" s="731" t="s">
        <v>1038</v>
      </c>
      <c r="B32" s="1301" t="s">
        <v>1677</v>
      </c>
      <c r="C32" s="1291">
        <f ca="1">IF(项目基本情况!B11="自然人","——",ROUND(C6*F32/(1+'数据-取费表'!C43),0))</f>
        <v>0</v>
      </c>
      <c r="D32" s="2368" t="s">
        <v>1678</v>
      </c>
      <c r="E32" s="1301" t="s">
        <v>1332</v>
      </c>
      <c r="F32" s="2786">
        <f>'数据-取费表'!B42</f>
        <v>0</v>
      </c>
      <c r="G32" s="883"/>
      <c r="H32" s="2803"/>
      <c r="I32" s="2804"/>
      <c r="J32" s="2805"/>
      <c r="K32" s="2806"/>
      <c r="L32" s="2807"/>
      <c r="M32" s="2808"/>
    </row>
    <row r="33" ht="18" customHeight="1" spans="1:18">
      <c r="A33" s="731" t="s">
        <v>1042</v>
      </c>
      <c r="B33" s="1301" t="s">
        <v>1681</v>
      </c>
      <c r="C33" s="1291">
        <f ca="1">IF(项目基本情况!B11="自然人","——",IF(D33="按租金收入计税",ROUND(C6*F33/(1+'数据-取费表'!C43),0),IF(D33="按房产原值计税",ROUND(C29*F33*0.7,0),INDIRECT("'数据-取费表'!Aj"&amp;$G$1))))</f>
        <v>0</v>
      </c>
      <c r="D33" s="2775" t="s">
        <v>1682</v>
      </c>
      <c r="E33" s="1301" t="s">
        <v>1332</v>
      </c>
      <c r="F33" s="2769">
        <f>IF(D33="按票据","——",IF(D33="按租金收入计税",'数据-取费表'!B52,'数据-取费表'!B51))</f>
        <v>0.12</v>
      </c>
      <c r="G33" s="883"/>
      <c r="H33" s="2810"/>
      <c r="I33" s="2804"/>
      <c r="J33" s="2805"/>
      <c r="K33" s="2811"/>
      <c r="L33" s="2810"/>
      <c r="M33" s="2810"/>
    </row>
    <row r="34" ht="18" customHeight="1" spans="1:18">
      <c r="A34" s="2712" t="s">
        <v>1045</v>
      </c>
      <c r="B34" s="2715" t="s">
        <v>1684</v>
      </c>
      <c r="C34" s="2777">
        <f ca="1">IF(项目基本情况!B11="自然人","——",ROUND(F34*F35,0))</f>
        <v>0</v>
      </c>
      <c r="D34" s="2778" t="s">
        <v>1334</v>
      </c>
      <c r="E34" s="1301" t="s">
        <v>1335</v>
      </c>
      <c r="F34" s="2779">
        <f>'数据-取费表'!B53</f>
        <v>0</v>
      </c>
      <c r="G34" s="883"/>
      <c r="H34" s="2803"/>
      <c r="I34" s="2804"/>
      <c r="J34" s="2805"/>
      <c r="K34" s="2812"/>
      <c r="L34" s="2813"/>
      <c r="M34" s="2813"/>
    </row>
    <row r="35" ht="18" customHeight="1" spans="1:18">
      <c r="A35" s="2814"/>
      <c r="B35" s="2815"/>
      <c r="C35" s="2782"/>
      <c r="D35" s="2783"/>
      <c r="E35" s="1301" t="s">
        <v>1336</v>
      </c>
      <c r="F35" s="2716">
        <f ca="1">INDIRECT("'数据-取费表'!r"&amp;$G$1)</f>
        <v>0</v>
      </c>
      <c r="G35" s="883"/>
      <c r="H35" s="2803"/>
      <c r="I35" s="2804"/>
      <c r="J35" s="2805"/>
      <c r="K35" s="2811"/>
      <c r="L35" s="2810"/>
      <c r="M35" s="2810"/>
    </row>
    <row r="36" ht="18" customHeight="1" spans="1:18">
      <c r="A36" s="2816" t="s">
        <v>1014</v>
      </c>
      <c r="B36" s="1301" t="s">
        <v>1337</v>
      </c>
      <c r="C36" s="1291">
        <f ca="1">ROUND(C29*F36,0)</f>
        <v>0</v>
      </c>
      <c r="D36" s="2368" t="s">
        <v>1704</v>
      </c>
      <c r="E36" s="1301" t="s">
        <v>1332</v>
      </c>
      <c r="F36" s="2784">
        <f ca="1">INDIRECT("'数据-取费表'!Ak"&amp;$G$1)</f>
        <v>0</v>
      </c>
      <c r="G36" s="883"/>
      <c r="H36" s="2810"/>
      <c r="I36" s="2804"/>
      <c r="J36" s="2805"/>
      <c r="K36" s="1337"/>
      <c r="L36" s="2810"/>
      <c r="M36" s="2810"/>
    </row>
    <row r="37" ht="18" customHeight="1" spans="1:18">
      <c r="A37" s="731" t="s">
        <v>1065</v>
      </c>
      <c r="B37" s="1301" t="s">
        <v>1340</v>
      </c>
      <c r="C37" s="1291">
        <f ca="1">ROUND(C13*F37,0)</f>
        <v>0</v>
      </c>
      <c r="D37" s="2368" t="s">
        <v>1620</v>
      </c>
      <c r="E37" s="1301" t="s">
        <v>1332</v>
      </c>
      <c r="F37" s="2785">
        <f ca="1">INDIRECT("'数据-取费表'!Al"&amp;$G$1)</f>
        <v>0</v>
      </c>
      <c r="G37" s="883"/>
      <c r="H37" s="2810"/>
      <c r="I37" s="2804"/>
      <c r="J37" s="2805"/>
      <c r="K37" s="1337"/>
      <c r="L37" s="2810"/>
      <c r="M37" s="2810"/>
    </row>
    <row r="38" ht="18" customHeight="1" spans="1:18">
      <c r="A38" s="2765" t="s">
        <v>1070</v>
      </c>
      <c r="B38" s="2744" t="s">
        <v>1344</v>
      </c>
      <c r="C38" s="2787">
        <f ca="1">ROUND(C5*F38,0)</f>
        <v>0</v>
      </c>
      <c r="D38" s="2788" t="s">
        <v>1689</v>
      </c>
      <c r="E38" s="2744" t="s">
        <v>1332</v>
      </c>
      <c r="F38" s="2745">
        <f ca="1">INDIRECT("'数据-取费表'!Am"&amp;$G$1)</f>
        <v>0</v>
      </c>
      <c r="G38" s="883"/>
      <c r="H38" s="2810"/>
      <c r="I38" s="2804"/>
      <c r="J38" s="2805"/>
      <c r="K38" s="2817"/>
      <c r="L38" s="2810"/>
      <c r="M38" s="2810"/>
    </row>
    <row r="39" ht="24.6" customHeight="1" spans="1:18">
      <c r="A39" s="2748" t="s">
        <v>1348</v>
      </c>
      <c r="B39" s="2789" t="s">
        <v>1346</v>
      </c>
      <c r="C39" s="2750">
        <f ca="1">C5-C30</f>
        <v>0</v>
      </c>
      <c r="D39" s="2790" t="s">
        <v>1692</v>
      </c>
      <c r="E39" s="2791"/>
      <c r="F39" s="2792"/>
      <c r="G39" s="883"/>
      <c r="H39" s="2810"/>
      <c r="I39" s="2804"/>
      <c r="J39" s="2805"/>
      <c r="K39" s="2817"/>
      <c r="L39" s="2810"/>
      <c r="M39" s="2810"/>
    </row>
    <row r="40" ht="18" customHeight="1" spans="1:18">
      <c r="A40" s="2706" t="s">
        <v>1356</v>
      </c>
      <c r="B40" s="2707" t="s">
        <v>1349</v>
      </c>
      <c r="C40" s="2717" t="e">
        <f ca="1">ROUND(C39*(1-((1+F42)/(1+F40))^F41)/(F40-F42),0)</f>
        <v>#DIV/0!</v>
      </c>
      <c r="D40" s="2778" t="s">
        <v>1693</v>
      </c>
      <c r="E40" s="1301" t="s">
        <v>1694</v>
      </c>
      <c r="F40" s="2727">
        <f ca="1">INDIRECT("'数据-取费表'!I"&amp;$G$1)</f>
        <v>0</v>
      </c>
      <c r="G40" s="883"/>
      <c r="H40" s="2818"/>
      <c r="I40" s="2804"/>
      <c r="J40" s="2805"/>
      <c r="K40" s="2817"/>
      <c r="L40" s="2818"/>
      <c r="M40" s="2818"/>
    </row>
    <row r="41" ht="18" customHeight="1" spans="1:18">
      <c r="A41" s="2724"/>
      <c r="B41" s="2793"/>
      <c r="C41" s="2725"/>
      <c r="D41" s="2794" t="s">
        <v>1695</v>
      </c>
      <c r="E41" s="1301" t="s">
        <v>1696</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1699</v>
      </c>
      <c r="F42" s="2727">
        <f ca="1">INDIRECT("'数据-取费表'!v"&amp;$G$1)</f>
        <v>0</v>
      </c>
      <c r="G42" s="883"/>
      <c r="H42" s="713"/>
      <c r="I42" s="2804"/>
      <c r="J42" s="2805"/>
      <c r="K42" s="1337"/>
      <c r="L42" s="713"/>
      <c r="M42" s="713"/>
    </row>
    <row r="43" ht="18" customHeight="1" spans="1:18">
      <c r="A43" s="738" t="s">
        <v>1361</v>
      </c>
      <c r="B43" s="2798" t="s">
        <v>1362</v>
      </c>
      <c r="C43" s="2799" t="e">
        <f ca="1">ROUND(C40/F43,0)</f>
        <v>#DIV/0!</v>
      </c>
      <c r="D43" s="2800" t="s">
        <v>1705</v>
      </c>
      <c r="E43" s="2801" t="s">
        <v>1706</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1628</v>
      </c>
      <c r="B45" s="2819"/>
      <c r="C45" s="2823" t="e">
        <f ca="1">ROUND((C68-C40)/10000,4)</f>
        <v>#DIV/0!</v>
      </c>
      <c r="D45" s="2824" t="s">
        <v>1707</v>
      </c>
      <c r="E45" s="2819"/>
      <c r="F45" s="2819"/>
      <c r="O45" s="2825" t="s">
        <v>1413</v>
      </c>
      <c r="P45" s="2818"/>
      <c r="Q45" s="2818"/>
      <c r="R45" s="2818"/>
    </row>
    <row r="46" s="883" customFormat="1" ht="13.5" spans="1:18">
      <c r="A46" s="2826" t="s">
        <v>1414</v>
      </c>
      <c r="C46" s="2827" t="e">
        <f ca="1">ROUND(C45,0)</f>
        <v>#DIV/0!</v>
      </c>
      <c r="D46" s="2828" t="str">
        <f>C2</f>
        <v>万元</v>
      </c>
      <c r="I46" s="2829" t="s">
        <v>1415</v>
      </c>
      <c r="J46" s="2830"/>
      <c r="K46" s="2831"/>
      <c r="L46" s="2832" t="e">
        <f ca="1">IF(M47="住宅",0,IF(L48&gt;J51,L60,J60))</f>
        <v>#DIV/0!</v>
      </c>
      <c r="O46" s="2833" t="s">
        <v>1480</v>
      </c>
      <c r="P46" s="2834" t="s">
        <v>1481</v>
      </c>
      <c r="Q46" s="2835" t="s">
        <v>1482</v>
      </c>
      <c r="R46" s="2835" t="s">
        <v>1483</v>
      </c>
    </row>
    <row r="47" s="883" customFormat="1" ht="13.5" spans="1:18">
      <c r="A47" s="2836" t="s">
        <v>1654</v>
      </c>
      <c r="B47" s="2837" t="s">
        <v>1655</v>
      </c>
      <c r="C47" s="2837" t="s">
        <v>1656</v>
      </c>
      <c r="D47" s="2837" t="s">
        <v>1657</v>
      </c>
      <c r="E47" s="2838" t="s">
        <v>1658</v>
      </c>
      <c r="F47" s="2354"/>
      <c r="G47" s="2839"/>
      <c r="I47" s="2840" t="s">
        <v>1419</v>
      </c>
      <c r="J47" s="2841"/>
      <c r="K47" s="2842" t="s">
        <v>1420</v>
      </c>
      <c r="L47" s="2843">
        <f ca="1">INDIRECT("'数据-取费表'!d"&amp;$G$1)</f>
        <v>0</v>
      </c>
      <c r="M47" s="2844" t="str">
        <f>IF(ISNUMBER(FIND("住宅",C1)),"住宅","非住宅")</f>
        <v>非住宅</v>
      </c>
      <c r="O47" s="2845" t="s">
        <v>1143</v>
      </c>
      <c r="P47" s="2846" t="s">
        <v>1708</v>
      </c>
      <c r="Q47" s="2847" t="e">
        <f ca="1">C40+J29</f>
        <v>#DIV/0!</v>
      </c>
      <c r="R47" s="2847" t="s">
        <v>1433</v>
      </c>
    </row>
    <row r="48" s="883" customFormat="1" ht="26.25" spans="1:18">
      <c r="A48" s="2848" t="s">
        <v>1121</v>
      </c>
      <c r="B48" s="2707" t="s">
        <v>1423</v>
      </c>
      <c r="C48" s="2362">
        <f ca="1">C49+C53+C55</f>
        <v>0</v>
      </c>
      <c r="D48" s="2849"/>
      <c r="E48" s="2850"/>
      <c r="F48" s="2851"/>
      <c r="G48" s="2839"/>
      <c r="H48" s="2852"/>
      <c r="I48" s="2853" t="s">
        <v>1424</v>
      </c>
      <c r="J48" s="2854"/>
      <c r="K48" s="2855" t="s">
        <v>1425</v>
      </c>
      <c r="L48" s="2856">
        <f ca="1">INDIRECT("'数据-取费表'!f"&amp;$G$1)</f>
        <v>0</v>
      </c>
      <c r="O48" s="2845" t="s">
        <v>1146</v>
      </c>
      <c r="P48" s="2846" t="s">
        <v>1709</v>
      </c>
      <c r="Q48" s="2847" t="e">
        <f ca="1">J60</f>
        <v>#DIV/0!</v>
      </c>
      <c r="R48" s="2847" t="s">
        <v>1710</v>
      </c>
    </row>
    <row r="49" s="883" customFormat="1" ht="13.5" spans="1:18">
      <c r="A49" s="2857" t="s">
        <v>1366</v>
      </c>
      <c r="B49" s="2858" t="s">
        <v>1711</v>
      </c>
      <c r="C49" s="2859">
        <f ca="1">ROUND(F49*F51*F50*(1-F52),0)</f>
        <v>0</v>
      </c>
      <c r="D49" s="2860" t="s">
        <v>1712</v>
      </c>
      <c r="E49" s="2861" t="s">
        <v>1713</v>
      </c>
      <c r="F49" s="2862"/>
      <c r="G49" s="2863"/>
      <c r="H49" s="2852"/>
      <c r="I49" s="2853" t="s">
        <v>1429</v>
      </c>
      <c r="J49" s="2864"/>
      <c r="K49" s="2855" t="s">
        <v>1430</v>
      </c>
      <c r="L49" s="2865"/>
      <c r="O49" s="2866" t="s">
        <v>1431</v>
      </c>
      <c r="P49" s="2846" t="s">
        <v>1432</v>
      </c>
      <c r="Q49" s="2847">
        <f ca="1">C29</f>
        <v>0</v>
      </c>
      <c r="R49" s="2847" t="s">
        <v>1433</v>
      </c>
    </row>
    <row r="50" s="883" customFormat="1" ht="13.5" spans="1:18">
      <c r="A50" s="2867"/>
      <c r="B50" s="2293"/>
      <c r="C50" s="2868"/>
      <c r="D50" s="2869"/>
      <c r="E50" s="2870" t="s">
        <v>1305</v>
      </c>
      <c r="F50" s="2871">
        <f ca="1">F7</f>
        <v>0</v>
      </c>
      <c r="H50" s="2852"/>
      <c r="I50" s="2853" t="s">
        <v>1434</v>
      </c>
      <c r="J50" s="2872">
        <f>SUMPRODUCT((I63:I65=J47)*(J62:L62=J48)*(J63:L65))</f>
        <v>0</v>
      </c>
      <c r="K50" s="2855" t="s">
        <v>1435</v>
      </c>
      <c r="L50" s="2865"/>
      <c r="M50" s="2873"/>
      <c r="O50" s="2866" t="s">
        <v>1436</v>
      </c>
      <c r="P50" s="2846" t="s">
        <v>1437</v>
      </c>
      <c r="Q50" s="2874" t="e">
        <f ca="1">J58</f>
        <v>#DIV/0!</v>
      </c>
      <c r="R50" s="2847"/>
    </row>
    <row r="51" s="883" customFormat="1" ht="13.5" spans="1:18">
      <c r="A51" s="2875"/>
      <c r="B51" s="2293"/>
      <c r="C51" s="2868"/>
      <c r="D51" s="2869"/>
      <c r="E51" s="2876" t="s">
        <v>1664</v>
      </c>
      <c r="F51" s="2716">
        <f ca="1">F8</f>
        <v>0</v>
      </c>
      <c r="I51" s="2877" t="s">
        <v>1438</v>
      </c>
      <c r="J51" s="2856">
        <f>IF(J49="",J50,J49+J50-YEAR('数据-取费表'!B2))</f>
        <v>0</v>
      </c>
      <c r="K51" s="2878" t="s">
        <v>1439</v>
      </c>
      <c r="L51" s="2879">
        <f ca="1">ROUND(-PV(INDIRECT("'数据-取费表'!h"&amp;$G$1),J51,(C39-C13*C76),0),0)</f>
        <v>0</v>
      </c>
      <c r="M51" s="2880"/>
      <c r="O51" s="2866" t="s">
        <v>1440</v>
      </c>
      <c r="P51" s="2846" t="s">
        <v>1441</v>
      </c>
      <c r="Q51" s="2874">
        <f>J52</f>
        <v>0</v>
      </c>
      <c r="R51" s="2847"/>
    </row>
    <row r="52" s="883" customFormat="1" ht="13.5" spans="1:18">
      <c r="A52" s="2875"/>
      <c r="B52" s="2293"/>
      <c r="C52" s="2868"/>
      <c r="D52" s="2869"/>
      <c r="E52" s="2876" t="s">
        <v>1308</v>
      </c>
      <c r="F52" s="2881"/>
      <c r="I52" s="2882" t="s">
        <v>1442</v>
      </c>
      <c r="J52" s="2883"/>
      <c r="K52" s="2882" t="s">
        <v>1443</v>
      </c>
      <c r="L52" s="2883"/>
      <c r="O52" s="2866" t="s">
        <v>1444</v>
      </c>
      <c r="P52" s="2846" t="s">
        <v>1445</v>
      </c>
      <c r="Q52" s="2847">
        <f ca="1">J53</f>
        <v>0</v>
      </c>
      <c r="R52" s="2847" t="s">
        <v>1446</v>
      </c>
    </row>
    <row r="53" s="883" customFormat="1" ht="30.75" customHeight="1" spans="1:18">
      <c r="A53" s="2884" t="s">
        <v>1385</v>
      </c>
      <c r="B53" s="2776" t="s">
        <v>1309</v>
      </c>
      <c r="C53" s="2361">
        <f ca="1">ROUND(IF(F53="押一",C49/12*F11,IF(F53="押二",C49/12*2*F11,IF(F53="押三",C49/12*3*F11,C54*F11))),0)</f>
        <v>0</v>
      </c>
      <c r="D53" s="2731" t="s">
        <v>1714</v>
      </c>
      <c r="E53" s="2728" t="s">
        <v>1311</v>
      </c>
      <c r="F53" s="2732"/>
      <c r="I53" s="2885" t="s">
        <v>1447</v>
      </c>
      <c r="J53" s="2886">
        <f ca="1">IF(M47="住宅",IF(D1="——",MAX(J51,L48),MAX(J51,L48-'数据-取费表'!B24)),IF(D1="——",MIN(J51,L48),MIN(J51,L48-'数据-取费表'!B24)))</f>
        <v>0</v>
      </c>
      <c r="K53" s="2887" t="s">
        <v>1448</v>
      </c>
      <c r="L53" s="2888"/>
      <c r="O53" s="2845" t="s">
        <v>1449</v>
      </c>
      <c r="P53" s="2846" t="s">
        <v>1715</v>
      </c>
      <c r="Q53" s="2847" t="e">
        <f ca="1">Q47+Q48</f>
        <v>#DIV/0!</v>
      </c>
      <c r="R53" s="2847" t="s">
        <v>1716</v>
      </c>
    </row>
    <row r="54" s="883" customFormat="1" ht="13.5" spans="1:18">
      <c r="A54" s="2857"/>
      <c r="B54" s="2889" t="s">
        <v>1667</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1452</v>
      </c>
      <c r="P54" s="2894"/>
      <c r="Q54" s="2894"/>
      <c r="R54" s="2894"/>
    </row>
    <row r="55" s="883" customFormat="1" ht="13.5" spans="1:18">
      <c r="A55" s="2740" t="s">
        <v>1065</v>
      </c>
      <c r="B55" s="2741" t="s">
        <v>1313</v>
      </c>
      <c r="C55" s="2742"/>
      <c r="D55" s="2731"/>
      <c r="E55" s="2890"/>
      <c r="F55" s="2891"/>
      <c r="I55" s="2895" t="s">
        <v>1453</v>
      </c>
      <c r="J55" s="2896" t="e">
        <f ca="1">ROUND(IF(J47="钢混",J57/J50,1-(1-2%)*(J50-J57)/J50),3)</f>
        <v>#DIV/0!</v>
      </c>
      <c r="K55" s="2897" t="s">
        <v>1454</v>
      </c>
      <c r="L55" s="2898"/>
      <c r="O55" s="2833" t="s">
        <v>1480</v>
      </c>
      <c r="P55" s="2834" t="s">
        <v>1481</v>
      </c>
      <c r="Q55" s="2835" t="s">
        <v>1482</v>
      </c>
      <c r="R55" s="2835" t="s">
        <v>1483</v>
      </c>
    </row>
    <row r="56" s="883" customFormat="1" ht="36" customHeight="1" spans="1:18">
      <c r="A56" s="2899">
        <v>2</v>
      </c>
      <c r="B56" s="2900" t="s">
        <v>1625</v>
      </c>
      <c r="C56" s="450">
        <f ca="1">C13</f>
        <v>0</v>
      </c>
      <c r="D56" s="633"/>
      <c r="E56" s="2901"/>
      <c r="F56" s="2891"/>
      <c r="I56" s="2902" t="s">
        <v>1456</v>
      </c>
      <c r="J56" s="2903"/>
      <c r="K56" s="2853" t="s">
        <v>1457</v>
      </c>
      <c r="L56" s="2856">
        <f ca="1">IF(L48&lt;J51,"——",L48-J51)</f>
        <v>0</v>
      </c>
      <c r="O56" s="2845" t="s">
        <v>1143</v>
      </c>
      <c r="P56" s="2846" t="s">
        <v>1708</v>
      </c>
      <c r="Q56" s="2847" t="e">
        <f ca="1">C40+J29</f>
        <v>#DIV/0!</v>
      </c>
      <c r="R56" s="2847" t="s">
        <v>1433</v>
      </c>
    </row>
    <row r="57" s="883" customFormat="1" ht="24.75" spans="1:18">
      <c r="A57" s="2904"/>
      <c r="B57" s="1343" t="s">
        <v>1701</v>
      </c>
      <c r="C57" s="460">
        <f ca="1">C29</f>
        <v>0</v>
      </c>
      <c r="D57" s="2905"/>
      <c r="E57" s="2906"/>
      <c r="F57" s="2907"/>
      <c r="I57" s="2908" t="s">
        <v>1458</v>
      </c>
      <c r="J57" s="2909">
        <f ca="1">IF(OR(M47="住宅",J51&lt;L48,J56="是"),"——",J51-L48)</f>
        <v>0</v>
      </c>
      <c r="K57" s="2853" t="s">
        <v>1717</v>
      </c>
      <c r="L57" s="2856">
        <f ca="1">IF(L48&lt;J51,"——",IF(L55="比较法",L49,IF(L55="基准地价",L50,L51)))</f>
        <v>0</v>
      </c>
      <c r="O57" s="2845" t="s">
        <v>1146</v>
      </c>
      <c r="P57" s="2846" t="s">
        <v>1718</v>
      </c>
      <c r="Q57" s="2847" t="e">
        <f ca="1">L60</f>
        <v>#DIV/0!</v>
      </c>
      <c r="R57" s="2847" t="s">
        <v>1719</v>
      </c>
    </row>
    <row r="58" s="883" customFormat="1" ht="24.75" spans="1:18">
      <c r="A58" s="2910" t="s">
        <v>1181</v>
      </c>
      <c r="B58" s="2900" t="s">
        <v>1315</v>
      </c>
      <c r="C58" s="2361">
        <f ca="1">ROUND(C59+C64+C65+C66,0)</f>
        <v>0</v>
      </c>
      <c r="D58" s="2911" t="s">
        <v>1671</v>
      </c>
      <c r="E58" s="2912"/>
      <c r="F58" s="2851"/>
      <c r="I58" s="2908" t="s">
        <v>1462</v>
      </c>
      <c r="J58" s="2913" t="e">
        <f ca="1">IF(J55&lt;0.4,0.4,J55)</f>
        <v>#DIV/0!</v>
      </c>
      <c r="K58" s="2878" t="s">
        <v>1720</v>
      </c>
      <c r="L58" s="2856" t="e">
        <f ca="1">ROUND(POWER(1+L52,L47-L48)*(POWER(1+L52,L48)-1)/(POWER(1+L52,L47)-1),4)</f>
        <v>#DIV/0!</v>
      </c>
      <c r="O58" s="2866" t="s">
        <v>1431</v>
      </c>
      <c r="P58" s="2846" t="s">
        <v>1464</v>
      </c>
      <c r="Q58" s="2847">
        <f>IF(L55="比较法",L49,IF(L55="基准地价",L50,0))</f>
        <v>0</v>
      </c>
      <c r="R58" s="2847" t="s">
        <v>1433</v>
      </c>
    </row>
    <row r="59" s="883" customFormat="1" ht="24.75" spans="1:18">
      <c r="A59" s="731" t="s">
        <v>1009</v>
      </c>
      <c r="B59" s="1343" t="s">
        <v>1673</v>
      </c>
      <c r="C59" s="2772">
        <f ca="1">ROUND(IF(AND(项目基本情况!B11="自然人",项目基本情况!B10="北京市"),C49*F59/(1+'数据-取费表'!C43),C60+C61+C62),0)</f>
        <v>0</v>
      </c>
      <c r="D59" s="2914" t="s">
        <v>1674</v>
      </c>
      <c r="E59" s="2915" t="s">
        <v>1675</v>
      </c>
      <c r="F59" s="2773" t="str">
        <f ca="1">IF(项目基本情况!B11="企业","——",IF('数据-取费表'!B10="住宅",IF(F49*F50*F51/12/(1+'数据-取费表'!F30)&gt;100000,4%,2.5%),IF(F49*F50*F51/12/(1+'数据-取费表'!F30)&gt;100000,12%,7%)))</f>
        <v>——</v>
      </c>
      <c r="I59" s="2908" t="s">
        <v>1465</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1436</v>
      </c>
      <c r="P59" s="2846" t="s">
        <v>1466</v>
      </c>
      <c r="Q59" s="2874">
        <f>L52</f>
        <v>0</v>
      </c>
      <c r="R59" s="2847"/>
    </row>
    <row r="60" s="883" customFormat="1" ht="17.25" spans="1:18">
      <c r="A60" s="731" t="s">
        <v>1038</v>
      </c>
      <c r="B60" s="1343" t="s">
        <v>1677</v>
      </c>
      <c r="C60" s="1291">
        <f ca="1">IF(项目基本情况!B11="自然人","——",ROUND(C48*F60/(1+'数据-取费表'!C43),0))</f>
        <v>0</v>
      </c>
      <c r="D60" s="2915" t="s">
        <v>1678</v>
      </c>
      <c r="E60" s="1343" t="s">
        <v>1332</v>
      </c>
      <c r="F60" s="2786">
        <f t="shared" ref="F60:F66" si="0">F32</f>
        <v>0</v>
      </c>
      <c r="I60" s="2916" t="s">
        <v>1467</v>
      </c>
      <c r="J60" s="2917" t="e">
        <f ca="1">IF(OR(M47="住宅",J51&lt;L48,J56="是"),"0",ROUND(J59/(1+J52)^J53,0))</f>
        <v>#DIV/0!</v>
      </c>
      <c r="K60" s="2918" t="s">
        <v>1468</v>
      </c>
      <c r="L60" s="2917" t="e">
        <f ca="1">IF(OR(M47="住宅",L48&lt;J51),0,ROUND(L57*(L58/L59-1),0))</f>
        <v>#DIV/0!</v>
      </c>
      <c r="O60" s="2866" t="s">
        <v>1440</v>
      </c>
      <c r="P60" s="2846" t="s">
        <v>1469</v>
      </c>
      <c r="Q60" s="2847" t="e">
        <f ca="1">L58</f>
        <v>#DIV/0!</v>
      </c>
      <c r="R60" s="2847" t="s">
        <v>1470</v>
      </c>
    </row>
    <row r="61" s="883" customFormat="1" ht="13.5" spans="1:18">
      <c r="A61" s="731" t="s">
        <v>1042</v>
      </c>
      <c r="B61" s="1343" t="s">
        <v>1681</v>
      </c>
      <c r="C61" s="1291">
        <f ca="1">IF(项目基本情况!B11="自然人","——",IF(D61="按租金收入计税",ROUND(C49*F61/(1+'数据-取费表'!C43),0),IF(D61="按房产原值计税",ROUND(C57*F61*0.7,0),INDIRECT("'数据-取费表'!Aj"&amp;$G$1))))</f>
        <v>0</v>
      </c>
      <c r="D61" s="2775" t="s">
        <v>1682</v>
      </c>
      <c r="E61" s="1343" t="s">
        <v>1332</v>
      </c>
      <c r="F61" s="2769">
        <f t="shared" si="0"/>
        <v>0.12</v>
      </c>
      <c r="I61" s="2818"/>
      <c r="J61" s="2818"/>
      <c r="K61" s="2818"/>
      <c r="L61" s="2818"/>
      <c r="O61" s="2866" t="s">
        <v>1444</v>
      </c>
      <c r="P61" s="2846" t="str">
        <f>K59</f>
        <v>建筑物剩余耐用年限下的土地年期修正系数Kn</v>
      </c>
      <c r="Q61" s="2847" t="e">
        <f ca="1">L59</f>
        <v>#DIV/0!</v>
      </c>
      <c r="R61" s="2847" t="s">
        <v>1471</v>
      </c>
    </row>
    <row r="62" s="883" customFormat="1" ht="13.5" spans="1:18">
      <c r="A62" s="731" t="s">
        <v>1045</v>
      </c>
      <c r="B62" s="2919" t="s">
        <v>1684</v>
      </c>
      <c r="C62" s="2777">
        <f ca="1">IF(项目基本情况!B11="自然人","——",ROUND(F62*F63,0))</f>
        <v>0</v>
      </c>
      <c r="D62" s="2920" t="s">
        <v>1334</v>
      </c>
      <c r="E62" s="1343" t="s">
        <v>1335</v>
      </c>
      <c r="F62" s="2779">
        <f t="shared" si="0"/>
        <v>0</v>
      </c>
      <c r="I62" s="2921" t="s">
        <v>1472</v>
      </c>
      <c r="J62" s="2922" t="s">
        <v>1473</v>
      </c>
      <c r="K62" s="2922" t="s">
        <v>1474</v>
      </c>
      <c r="L62" s="2922" t="s">
        <v>1475</v>
      </c>
      <c r="M62" s="804" t="s">
        <v>1476</v>
      </c>
      <c r="O62" s="2845" t="s">
        <v>1449</v>
      </c>
      <c r="P62" s="2846" t="s">
        <v>1715</v>
      </c>
      <c r="Q62" s="2847" t="e">
        <f ca="1">Q56+Q57</f>
        <v>#DIV/0!</v>
      </c>
      <c r="R62" s="2847" t="s">
        <v>1716</v>
      </c>
    </row>
    <row r="63" s="883" customFormat="1" ht="13.5" spans="1:18">
      <c r="A63" s="2780"/>
      <c r="B63" s="2923"/>
      <c r="C63" s="2782"/>
      <c r="D63" s="2924"/>
      <c r="E63" s="1343" t="s">
        <v>1336</v>
      </c>
      <c r="F63" s="2716">
        <f ca="1" t="shared" si="0"/>
        <v>0</v>
      </c>
      <c r="I63" s="2921" t="s">
        <v>1477</v>
      </c>
      <c r="J63" s="2922">
        <v>70</v>
      </c>
      <c r="K63" s="2922">
        <v>50</v>
      </c>
      <c r="L63" s="2922">
        <v>80</v>
      </c>
      <c r="M63" s="2925">
        <v>0.02</v>
      </c>
      <c r="O63" s="2825" t="s">
        <v>1478</v>
      </c>
      <c r="P63" s="2894"/>
      <c r="Q63" s="2894"/>
      <c r="R63" s="2894"/>
    </row>
    <row r="64" s="883" customFormat="1" ht="13.5" spans="1:18">
      <c r="A64" s="731" t="s">
        <v>1014</v>
      </c>
      <c r="B64" s="1343" t="s">
        <v>1337</v>
      </c>
      <c r="C64" s="1291">
        <f ca="1">ROUND(C57*F64,0)</f>
        <v>0</v>
      </c>
      <c r="D64" s="2915" t="s">
        <v>1704</v>
      </c>
      <c r="E64" s="1343" t="s">
        <v>1332</v>
      </c>
      <c r="F64" s="2784">
        <f ca="1" t="shared" si="0"/>
        <v>0</v>
      </c>
      <c r="I64" s="2921" t="s">
        <v>1479</v>
      </c>
      <c r="J64" s="2922">
        <v>50</v>
      </c>
      <c r="K64" s="2922">
        <v>35</v>
      </c>
      <c r="L64" s="2922">
        <v>60</v>
      </c>
      <c r="M64" s="804">
        <v>0</v>
      </c>
      <c r="O64" s="2833" t="s">
        <v>1480</v>
      </c>
      <c r="P64" s="2834" t="s">
        <v>1481</v>
      </c>
      <c r="Q64" s="2835" t="s">
        <v>1482</v>
      </c>
      <c r="R64" s="2835" t="s">
        <v>1483</v>
      </c>
    </row>
    <row r="65" s="883" customFormat="1" ht="13.5" spans="1:18">
      <c r="A65" s="731" t="s">
        <v>1065</v>
      </c>
      <c r="B65" s="1343" t="s">
        <v>1340</v>
      </c>
      <c r="C65" s="1291">
        <f ca="1">ROUND(C56*F65,0)</f>
        <v>0</v>
      </c>
      <c r="D65" s="2915" t="s">
        <v>1620</v>
      </c>
      <c r="E65" s="1343" t="s">
        <v>1332</v>
      </c>
      <c r="F65" s="2785">
        <f ca="1" t="shared" si="0"/>
        <v>0</v>
      </c>
      <c r="I65" s="2921" t="s">
        <v>1485</v>
      </c>
      <c r="J65" s="2922">
        <v>40</v>
      </c>
      <c r="K65" s="2922">
        <v>30</v>
      </c>
      <c r="L65" s="2922">
        <v>50</v>
      </c>
      <c r="M65" s="2925">
        <v>0.02</v>
      </c>
      <c r="O65" s="2845" t="s">
        <v>1143</v>
      </c>
      <c r="P65" s="2846" t="s">
        <v>1708</v>
      </c>
      <c r="Q65" s="2847" t="e">
        <f ca="1">C40+J29</f>
        <v>#DIV/0!</v>
      </c>
      <c r="R65" s="2847" t="s">
        <v>1433</v>
      </c>
    </row>
    <row r="66" s="883" customFormat="1" ht="17.25" spans="1:18">
      <c r="A66" s="731" t="s">
        <v>1070</v>
      </c>
      <c r="B66" s="1343" t="s">
        <v>1344</v>
      </c>
      <c r="C66" s="1291">
        <f ca="1">ROUND(C48*F66,0)</f>
        <v>0</v>
      </c>
      <c r="D66" s="2915" t="s">
        <v>1689</v>
      </c>
      <c r="E66" s="1343" t="s">
        <v>1332</v>
      </c>
      <c r="F66" s="2727">
        <f ca="1" t="shared" si="0"/>
        <v>0</v>
      </c>
      <c r="O66" s="2845" t="s">
        <v>1146</v>
      </c>
      <c r="P66" s="2846" t="s">
        <v>1718</v>
      </c>
      <c r="Q66" s="2847" t="e">
        <f ca="1">L60</f>
        <v>#DIV/0!</v>
      </c>
      <c r="R66" s="2847" t="s">
        <v>1719</v>
      </c>
    </row>
    <row r="67" s="883" customFormat="1" ht="17.25" spans="1:18">
      <c r="A67" s="2899" t="s">
        <v>1348</v>
      </c>
      <c r="B67" s="2926" t="s">
        <v>1346</v>
      </c>
      <c r="C67" s="2361">
        <f ca="1">C48-C58</f>
        <v>0</v>
      </c>
      <c r="D67" s="2914" t="s">
        <v>1692</v>
      </c>
      <c r="E67" s="2927"/>
      <c r="F67" s="2928"/>
      <c r="O67" s="2866" t="s">
        <v>1431</v>
      </c>
      <c r="P67" s="2846" t="s">
        <v>1464</v>
      </c>
      <c r="Q67" s="2929">
        <f ca="1">L51</f>
        <v>0</v>
      </c>
      <c r="R67" s="2847" t="s">
        <v>1486</v>
      </c>
    </row>
    <row r="68" s="883" customFormat="1" ht="17.25" spans="1:18">
      <c r="A68" s="2930" t="s">
        <v>1356</v>
      </c>
      <c r="B68" s="2931" t="s">
        <v>1349</v>
      </c>
      <c r="C68" s="2717" t="e">
        <f ca="1">ROUND(C67*(1-((1+F70)/(1+F68))^F69)/(F68-F70),0)</f>
        <v>#DIV/0!</v>
      </c>
      <c r="D68" s="2920" t="s">
        <v>1693</v>
      </c>
      <c r="E68" s="1343" t="s">
        <v>1694</v>
      </c>
      <c r="F68" s="2727">
        <f ca="1">F40</f>
        <v>0</v>
      </c>
      <c r="O68" s="2866" t="s">
        <v>1436</v>
      </c>
      <c r="P68" s="2932" t="s">
        <v>1487</v>
      </c>
      <c r="Q68" s="2847">
        <f ca="1">ROUND(Q69-Q70*Q71,0)</f>
        <v>0</v>
      </c>
      <c r="R68" s="2847" t="s">
        <v>1488</v>
      </c>
    </row>
    <row r="69" s="883" customFormat="1" ht="13.5" spans="1:18">
      <c r="A69" s="2933"/>
      <c r="B69" s="2934"/>
      <c r="C69" s="2725"/>
      <c r="D69" s="2935" t="s">
        <v>1695</v>
      </c>
      <c r="E69" s="1343" t="s">
        <v>1696</v>
      </c>
      <c r="F69" s="2795">
        <f ca="1">F41</f>
        <v>0</v>
      </c>
      <c r="O69" s="2866" t="s">
        <v>1489</v>
      </c>
      <c r="P69" s="2932" t="s">
        <v>1490</v>
      </c>
      <c r="Q69" s="2847">
        <f ca="1">C39</f>
        <v>0</v>
      </c>
      <c r="R69" s="2847" t="s">
        <v>1433</v>
      </c>
    </row>
    <row r="70" s="883" customFormat="1" ht="13.5" spans="1:18">
      <c r="A70" s="2936"/>
      <c r="B70" s="2937"/>
      <c r="C70" s="2750"/>
      <c r="D70" s="2924"/>
      <c r="E70" s="1343" t="s">
        <v>1699</v>
      </c>
      <c r="F70" s="2881"/>
      <c r="O70" s="2866" t="s">
        <v>1491</v>
      </c>
      <c r="P70" s="2932" t="s">
        <v>1492</v>
      </c>
      <c r="Q70" s="2847">
        <f ca="1">C13</f>
        <v>0</v>
      </c>
      <c r="R70" s="2847" t="s">
        <v>1433</v>
      </c>
    </row>
    <row r="71" s="883" customFormat="1" ht="13.5" spans="1:18">
      <c r="A71" s="2938" t="s">
        <v>1361</v>
      </c>
      <c r="B71" s="2939" t="s">
        <v>1362</v>
      </c>
      <c r="C71" s="2799" t="e">
        <f ca="1">ROUND(C68/F71,0)</f>
        <v>#DIV/0!</v>
      </c>
      <c r="D71" s="2940" t="s">
        <v>1705</v>
      </c>
      <c r="E71" s="2941" t="s">
        <v>1706</v>
      </c>
      <c r="F71" s="2802">
        <f ca="1">F43</f>
        <v>0</v>
      </c>
      <c r="O71" s="2866" t="s">
        <v>1493</v>
      </c>
      <c r="P71" s="2932" t="s">
        <v>1494</v>
      </c>
      <c r="Q71" s="2874">
        <f ca="1">C76</f>
        <v>0</v>
      </c>
      <c r="R71" s="2847"/>
    </row>
    <row r="72" s="883" customFormat="1" ht="13.5" spans="1:18">
      <c r="B72" s="2276"/>
      <c r="C72" s="2276"/>
      <c r="O72" s="2866" t="s">
        <v>1440</v>
      </c>
      <c r="P72" s="2846" t="s">
        <v>1466</v>
      </c>
      <c r="Q72" s="2874">
        <f>L52</f>
        <v>0</v>
      </c>
      <c r="R72" s="2847"/>
    </row>
    <row r="73" ht="17.25" spans="1:18">
      <c r="A73" s="883"/>
      <c r="B73" s="2276"/>
      <c r="C73" s="2276"/>
      <c r="D73" s="883"/>
      <c r="E73" s="883"/>
      <c r="F73" s="883"/>
      <c r="O73" s="2866" t="s">
        <v>1444</v>
      </c>
      <c r="P73" s="2846" t="s">
        <v>1469</v>
      </c>
      <c r="Q73" s="2847" t="e">
        <f ca="1">L58</f>
        <v>#DIV/0!</v>
      </c>
      <c r="R73" s="2847" t="s">
        <v>1470</v>
      </c>
    </row>
    <row r="74" ht="13.5" spans="1:18">
      <c r="A74" s="883"/>
      <c r="B74" s="495" t="s">
        <v>1497</v>
      </c>
      <c r="C74" s="2942"/>
      <c r="D74" s="883"/>
      <c r="E74" s="883"/>
      <c r="F74" s="883"/>
      <c r="O74" s="2866" t="s">
        <v>1496</v>
      </c>
      <c r="P74" s="2846" t="str">
        <f>K59</f>
        <v>建筑物剩余耐用年限下的土地年期修正系数Kn</v>
      </c>
      <c r="Q74" s="2847" t="e">
        <f ca="1">L59</f>
        <v>#DIV/0!</v>
      </c>
      <c r="R74" s="2847" t="s">
        <v>1471</v>
      </c>
    </row>
    <row r="75" ht="13.5" spans="1:18">
      <c r="A75" s="883"/>
      <c r="B75" s="2943" t="s">
        <v>1498</v>
      </c>
      <c r="C75" s="2944">
        <f ca="1">ROUND(C13*C76,0)</f>
        <v>0</v>
      </c>
      <c r="D75" s="883"/>
      <c r="E75" s="883"/>
      <c r="F75" s="883"/>
      <c r="K75" s="2821"/>
      <c r="L75" s="883"/>
      <c r="O75" s="2845" t="s">
        <v>1449</v>
      </c>
      <c r="P75" s="2846" t="s">
        <v>1715</v>
      </c>
      <c r="Q75" s="2847" t="e">
        <f ca="1">Q65+Q66</f>
        <v>#DIV/0!</v>
      </c>
      <c r="R75" s="2847" t="s">
        <v>1716</v>
      </c>
    </row>
    <row r="76" spans="1:18">
      <c r="B76" s="837" t="s">
        <v>1499</v>
      </c>
      <c r="C76" s="2945">
        <f ca="1">INDIRECT("'数据-取费表'!j"&amp;$G$1)</f>
        <v>0</v>
      </c>
      <c r="I76" s="883"/>
      <c r="J76" s="883"/>
      <c r="K76" s="2821"/>
      <c r="L76" s="883"/>
    </row>
    <row r="77" spans="1:18">
      <c r="B77" s="2946" t="s">
        <v>1500</v>
      </c>
      <c r="C77" s="2947"/>
      <c r="I77" s="883"/>
      <c r="J77" s="883"/>
      <c r="K77" s="2821"/>
      <c r="L77" s="883"/>
    </row>
    <row r="78" spans="1:18">
      <c r="B78" s="493" t="s">
        <v>1501</v>
      </c>
      <c r="C78" s="2948"/>
    </row>
    <row r="79" spans="1:18">
      <c r="B79" s="2943" t="s">
        <v>1502</v>
      </c>
      <c r="C79" s="496" t="e">
        <f ca="1">1-C80</f>
        <v>#DIV/0!</v>
      </c>
    </row>
    <row r="80" spans="1:18">
      <c r="B80" s="2943" t="s">
        <v>1503</v>
      </c>
      <c r="C80" s="496" t="e">
        <f ca="1">ROUND(C75/C39,3)</f>
        <v>#DIV/0!</v>
      </c>
    </row>
    <row r="81" spans="2:3">
      <c r="B81" s="493" t="s">
        <v>1504</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1721</v>
      </c>
      <c r="B1" s="2416"/>
      <c r="C1" s="2417"/>
      <c r="D1" s="2417"/>
      <c r="E1" s="2418"/>
      <c r="F1" s="2419"/>
      <c r="G1" s="2420"/>
      <c r="J1" s="2421" t="s">
        <v>1722</v>
      </c>
      <c r="K1" s="2422"/>
      <c r="L1" s="2422"/>
      <c r="M1" s="2422"/>
      <c r="N1" s="2422"/>
      <c r="O1" s="2422"/>
      <c r="P1" s="2422"/>
      <c r="Q1" s="2422"/>
      <c r="R1" s="2423"/>
      <c r="S1" s="2424"/>
      <c r="T1" s="2424"/>
      <c r="U1" s="2424"/>
    </row>
    <row r="2" s="2408" customFormat="1" customHeight="1" spans="1:22">
      <c r="A2" s="2425" t="s">
        <v>1288</v>
      </c>
      <c r="B2" s="2426" t="e">
        <f>IF(D2="——",C40,C40+E2)</f>
        <v>#DIV/0!</v>
      </c>
      <c r="C2" s="2417" t="s">
        <v>1289</v>
      </c>
      <c r="D2" s="2427" t="s">
        <v>1723</v>
      </c>
      <c r="E2" s="2428"/>
      <c r="F2" s="2429"/>
      <c r="G2" s="2430"/>
      <c r="H2" s="2431"/>
      <c r="I2" s="2432"/>
      <c r="J2" s="2433" t="s">
        <v>1724</v>
      </c>
      <c r="K2" s="2434"/>
      <c r="L2" s="2435" t="s">
        <v>1725</v>
      </c>
      <c r="M2" s="2435" t="s">
        <v>1726</v>
      </c>
      <c r="N2" s="2435" t="s">
        <v>1727</v>
      </c>
      <c r="O2" s="2435" t="s">
        <v>1728</v>
      </c>
      <c r="P2" s="2435" t="s">
        <v>1729</v>
      </c>
      <c r="Q2" s="2436" t="s">
        <v>1730</v>
      </c>
      <c r="R2" s="2437" t="s">
        <v>1731</v>
      </c>
      <c r="S2" s="2424"/>
      <c r="T2" s="2424"/>
      <c r="U2" s="2424"/>
      <c r="V2" s="2432"/>
    </row>
    <row r="3" s="2408" customFormat="1" customHeight="1" spans="1:22">
      <c r="A3" s="2438" t="s">
        <v>1290</v>
      </c>
      <c r="B3" s="2439" t="e">
        <f>ROUND(B2*10000/B4,0)</f>
        <v>#DIV/0!</v>
      </c>
      <c r="C3" s="2417" t="s">
        <v>1291</v>
      </c>
      <c r="D3" s="2417"/>
      <c r="E3" s="2440"/>
      <c r="F3" s="2429"/>
      <c r="G3" s="2430"/>
      <c r="H3" s="2431"/>
      <c r="I3" s="2432"/>
      <c r="J3" s="2441" t="s">
        <v>1732</v>
      </c>
      <c r="K3" s="2442"/>
      <c r="L3" s="2443"/>
      <c r="M3" s="2443"/>
      <c r="N3" s="2443"/>
      <c r="O3" s="2443"/>
      <c r="P3" s="2443"/>
      <c r="Q3" s="2444"/>
      <c r="R3" s="2445">
        <f>SUM(L3:Q3)</f>
        <v>0</v>
      </c>
      <c r="S3" s="2424"/>
      <c r="T3" s="2424"/>
      <c r="U3" s="2424"/>
      <c r="V3" s="2432"/>
    </row>
    <row r="4" s="2408" customFormat="1" customHeight="1" spans="1:22">
      <c r="A4" s="2446" t="s">
        <v>1733</v>
      </c>
      <c r="B4" s="2447"/>
      <c r="C4" s="2417"/>
      <c r="D4" s="2417"/>
      <c r="E4" s="2440"/>
      <c r="F4" s="2429"/>
      <c r="G4" s="2430"/>
      <c r="H4" s="2431"/>
      <c r="I4" s="2432"/>
      <c r="J4" s="2441" t="s">
        <v>1734</v>
      </c>
      <c r="K4" s="2442"/>
      <c r="L4" s="2448"/>
      <c r="M4" s="2448"/>
      <c r="N4" s="2448"/>
      <c r="O4" s="2448"/>
      <c r="P4" s="2448"/>
      <c r="Q4" s="2449"/>
      <c r="R4" s="2450">
        <f>SUM(L4:Q4)</f>
        <v>0</v>
      </c>
      <c r="S4" s="2424"/>
      <c r="T4" s="2424"/>
      <c r="U4" s="2424"/>
      <c r="V4" s="2432"/>
    </row>
    <row r="5" s="2408" customFormat="1" customHeight="1" spans="1:22">
      <c r="A5" s="2451" t="s">
        <v>1735</v>
      </c>
      <c r="B5" s="2452"/>
      <c r="C5" s="2417"/>
      <c r="D5" s="2453"/>
      <c r="E5" s="2429"/>
      <c r="F5" s="2429"/>
      <c r="G5" s="2430"/>
      <c r="H5" s="2431"/>
      <c r="I5" s="2432"/>
      <c r="J5" s="2454" t="s">
        <v>1736</v>
      </c>
      <c r="K5" s="2455"/>
      <c r="L5" s="2455"/>
      <c r="M5" s="2456"/>
      <c r="N5" s="2456"/>
      <c r="O5" s="2456"/>
      <c r="P5" s="2456"/>
      <c r="Q5" s="2456"/>
      <c r="R5" s="2437">
        <f>SUM(R14,R19,R24,R25,R27,R28)</f>
        <v>0</v>
      </c>
      <c r="S5" s="2424"/>
      <c r="T5" s="2424" t="s">
        <v>1737</v>
      </c>
      <c r="U5" s="2424" t="e">
        <f>ROUND(R5*10000/365/R3,1)</f>
        <v>#DIV/0!</v>
      </c>
      <c r="V5" s="2432"/>
    </row>
    <row r="6" s="2408" customFormat="1" customHeight="1" spans="1:22">
      <c r="A6" s="2457" t="s">
        <v>1738</v>
      </c>
      <c r="B6" s="2458"/>
      <c r="C6" s="2459"/>
      <c r="D6" s="2460"/>
      <c r="E6" s="2461"/>
      <c r="F6" s="2462"/>
      <c r="G6" s="2463"/>
      <c r="H6" s="2431"/>
      <c r="I6" s="2432"/>
      <c r="J6" s="2464">
        <v>1</v>
      </c>
      <c r="K6" s="2465" t="s">
        <v>1739</v>
      </c>
      <c r="L6" s="2466" t="s">
        <v>1740</v>
      </c>
      <c r="M6" s="2467" t="s">
        <v>1741</v>
      </c>
      <c r="N6" s="2467" t="s">
        <v>1742</v>
      </c>
      <c r="O6" s="2467" t="s">
        <v>1743</v>
      </c>
      <c r="P6" s="2467" t="s">
        <v>1744</v>
      </c>
      <c r="Q6" s="2467" t="s">
        <v>1745</v>
      </c>
      <c r="R6" s="2445" t="s">
        <v>1746</v>
      </c>
      <c r="S6" s="2424"/>
      <c r="T6" s="2424" t="s">
        <v>1747</v>
      </c>
      <c r="U6" s="2424"/>
      <c r="V6" s="2432"/>
    </row>
    <row r="7" s="2408" customFormat="1" customHeight="1" spans="1:22">
      <c r="A7" s="2468" t="s">
        <v>1748</v>
      </c>
      <c r="B7" s="2469"/>
      <c r="C7" s="2470"/>
      <c r="D7" s="2471">
        <f>SUM(D9,D10,D11,D17,0)</f>
        <v>0</v>
      </c>
      <c r="E7" s="2472" t="e">
        <f>E9+E10+E11+E17</f>
        <v>#DIV/0!</v>
      </c>
      <c r="F7" s="2473"/>
      <c r="G7" s="2474"/>
      <c r="H7" s="2431"/>
      <c r="I7" s="2432"/>
      <c r="J7" s="2464"/>
      <c r="K7" s="2475"/>
      <c r="L7" s="2476" t="s">
        <v>1749</v>
      </c>
      <c r="M7" s="2477"/>
      <c r="N7" s="2478"/>
      <c r="O7" s="2479"/>
      <c r="P7" s="2479"/>
      <c r="Q7" s="2478">
        <v>365</v>
      </c>
      <c r="R7" s="2480">
        <f>ROUND(M7*N7*O7*P7*Q7/10000,0)</f>
        <v>0</v>
      </c>
      <c r="S7" s="2424"/>
      <c r="T7" s="2424" t="s">
        <v>1750</v>
      </c>
      <c r="U7" s="2424"/>
      <c r="V7" s="2432"/>
    </row>
    <row r="8" s="2408" customFormat="1" customHeight="1" spans="1:22">
      <c r="A8" s="2481" t="s">
        <v>1751</v>
      </c>
      <c r="B8" s="2482" t="s">
        <v>1752</v>
      </c>
      <c r="C8" s="2483"/>
      <c r="D8" s="2484" t="s">
        <v>1116</v>
      </c>
      <c r="E8" s="2485" t="s">
        <v>1753</v>
      </c>
      <c r="F8" s="2486" t="s">
        <v>1754</v>
      </c>
      <c r="G8" s="2487"/>
      <c r="H8" s="2431"/>
      <c r="I8" s="2432"/>
      <c r="J8" s="2464"/>
      <c r="K8" s="2475"/>
      <c r="L8" s="2476" t="s">
        <v>1755</v>
      </c>
      <c r="M8" s="2477"/>
      <c r="N8" s="2478"/>
      <c r="O8" s="2479"/>
      <c r="P8" s="2479"/>
      <c r="Q8" s="2478">
        <v>365</v>
      </c>
      <c r="R8" s="2480">
        <f t="shared" ref="R8:R13" si="0">ROUND(M8*N8*O8*P8*Q8/10000,0)</f>
        <v>0</v>
      </c>
      <c r="S8" s="2424"/>
      <c r="T8" s="2424" t="s">
        <v>1756</v>
      </c>
      <c r="U8" s="2424"/>
      <c r="V8" s="2432"/>
    </row>
    <row r="9" s="2408" customFormat="1" customHeight="1" spans="1:22">
      <c r="A9" s="2481">
        <v>1</v>
      </c>
      <c r="B9" s="2482" t="s">
        <v>1757</v>
      </c>
      <c r="C9" s="2483"/>
      <c r="D9" s="2488">
        <f>ROUND(D6*E9,0)</f>
        <v>0</v>
      </c>
      <c r="E9" s="2489"/>
      <c r="F9" s="2490" t="s">
        <v>1758</v>
      </c>
      <c r="G9" s="2463"/>
      <c r="H9" s="2431"/>
      <c r="I9" s="2432"/>
      <c r="J9" s="2464"/>
      <c r="K9" s="2475"/>
      <c r="L9" s="2476" t="s">
        <v>1759</v>
      </c>
      <c r="M9" s="2477"/>
      <c r="N9" s="2478"/>
      <c r="O9" s="2479"/>
      <c r="P9" s="2479"/>
      <c r="Q9" s="2478">
        <v>365</v>
      </c>
      <c r="R9" s="2480">
        <f t="shared" si="0"/>
        <v>0</v>
      </c>
      <c r="S9" s="2424"/>
      <c r="T9" s="2424"/>
      <c r="U9" s="2424"/>
      <c r="V9" s="2432"/>
    </row>
    <row r="10" s="2408" customFormat="1" customHeight="1" spans="1:22">
      <c r="A10" s="2481">
        <v>2</v>
      </c>
      <c r="B10" s="2482" t="s">
        <v>1760</v>
      </c>
      <c r="C10" s="2483"/>
      <c r="D10" s="2488">
        <f>ROUND(D6*E10,0)</f>
        <v>0</v>
      </c>
      <c r="E10" s="2489"/>
      <c r="F10" s="2491" t="s">
        <v>1761</v>
      </c>
      <c r="G10" s="2463"/>
      <c r="H10" s="2431"/>
      <c r="I10" s="2432"/>
      <c r="J10" s="2464"/>
      <c r="K10" s="2475"/>
      <c r="L10" s="2476" t="s">
        <v>1762</v>
      </c>
      <c r="M10" s="2477"/>
      <c r="N10" s="2478"/>
      <c r="O10" s="2479"/>
      <c r="P10" s="2479"/>
      <c r="Q10" s="2478">
        <v>365</v>
      </c>
      <c r="R10" s="2480">
        <f t="shared" si="0"/>
        <v>0</v>
      </c>
      <c r="S10" s="2424"/>
      <c r="T10" s="2424"/>
      <c r="U10" s="2424"/>
      <c r="V10" s="2432"/>
    </row>
    <row r="11" s="2408" customFormat="1" customHeight="1" spans="1:22">
      <c r="A11" s="2481">
        <v>3</v>
      </c>
      <c r="B11" s="2482" t="s">
        <v>1763</v>
      </c>
      <c r="C11" s="2483"/>
      <c r="D11" s="2488">
        <f>D12+D14+D15+D16</f>
        <v>0</v>
      </c>
      <c r="E11" s="2492" t="e">
        <f>D11/D6</f>
        <v>#DIV/0!</v>
      </c>
      <c r="F11" s="2486"/>
      <c r="G11" s="2487"/>
      <c r="H11" s="2431"/>
      <c r="I11" s="2432"/>
      <c r="J11" s="2464"/>
      <c r="K11" s="2475"/>
      <c r="L11" s="2476" t="s">
        <v>1764</v>
      </c>
      <c r="M11" s="2477"/>
      <c r="N11" s="2478"/>
      <c r="O11" s="2479"/>
      <c r="P11" s="2479"/>
      <c r="Q11" s="2478">
        <v>365</v>
      </c>
      <c r="R11" s="2480">
        <f t="shared" si="0"/>
        <v>0</v>
      </c>
      <c r="S11" s="2424"/>
      <c r="T11" s="2424"/>
      <c r="U11" s="2424"/>
      <c r="V11" s="2432"/>
    </row>
    <row r="12" s="2408" customFormat="1" customHeight="1" spans="1:22">
      <c r="A12" s="2493" t="s">
        <v>1765</v>
      </c>
      <c r="B12" s="2494" t="s">
        <v>1766</v>
      </c>
      <c r="C12" s="2495"/>
      <c r="D12" s="2496">
        <f>ROUND(D13*1.2%*(1-30%),0)</f>
        <v>0</v>
      </c>
      <c r="E12" s="2497">
        <v>0.012</v>
      </c>
      <c r="F12" s="2486" t="s">
        <v>1767</v>
      </c>
      <c r="G12" s="2487"/>
      <c r="H12" s="2431"/>
      <c r="I12" s="2432"/>
      <c r="J12" s="2464"/>
      <c r="K12" s="2475"/>
      <c r="L12" s="2476" t="s">
        <v>1768</v>
      </c>
      <c r="M12" s="2477"/>
      <c r="N12" s="2478"/>
      <c r="O12" s="2479"/>
      <c r="P12" s="2479"/>
      <c r="Q12" s="2478">
        <v>365</v>
      </c>
      <c r="R12" s="2480">
        <f t="shared" si="0"/>
        <v>0</v>
      </c>
      <c r="S12" s="2424"/>
      <c r="T12" s="2424"/>
      <c r="U12" s="2424"/>
      <c r="V12" s="2432"/>
    </row>
    <row r="13" s="2408" customFormat="1" customHeight="1" spans="1:22">
      <c r="A13" s="2493"/>
      <c r="B13" s="2494"/>
      <c r="C13" s="2498" t="s">
        <v>1769</v>
      </c>
      <c r="D13" s="2499"/>
      <c r="E13" s="2500"/>
      <c r="F13" s="2486"/>
      <c r="G13" s="2487"/>
      <c r="H13" s="2431"/>
      <c r="I13" s="2432"/>
      <c r="J13" s="2464"/>
      <c r="K13" s="2475"/>
      <c r="L13" s="2476" t="s">
        <v>1770</v>
      </c>
      <c r="M13" s="2477"/>
      <c r="N13" s="2478"/>
      <c r="O13" s="2479"/>
      <c r="P13" s="2479"/>
      <c r="Q13" s="2478">
        <v>365</v>
      </c>
      <c r="R13" s="2480">
        <f t="shared" si="0"/>
        <v>0</v>
      </c>
      <c r="S13" s="2424"/>
      <c r="T13" s="2424"/>
      <c r="U13" s="2424"/>
      <c r="V13" s="2432"/>
    </row>
    <row r="14" s="2408" customFormat="1" customHeight="1" spans="1:22">
      <c r="A14" s="2493" t="s">
        <v>1771</v>
      </c>
      <c r="B14" s="2494" t="s">
        <v>1772</v>
      </c>
      <c r="C14" s="2495"/>
      <c r="D14" s="2496">
        <f>ROUND(E14*B5/10000,0)</f>
        <v>0</v>
      </c>
      <c r="E14" s="2501"/>
      <c r="F14" s="2486" t="s">
        <v>1773</v>
      </c>
      <c r="G14" s="2487"/>
      <c r="H14" s="2431"/>
      <c r="I14" s="2432"/>
      <c r="J14" s="2464"/>
      <c r="K14" s="2502"/>
      <c r="L14" s="2503" t="s">
        <v>1774</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1775</v>
      </c>
      <c r="B15" s="2507" t="s">
        <v>770</v>
      </c>
      <c r="C15" s="2495"/>
      <c r="D15" s="2496">
        <f>IF(F15="酒店",E48*(1+E15),IF(F15="购物中心",E67*(1+E15),IF(F15="按比例计算-酒店",E46,E65)))</f>
        <v>0</v>
      </c>
      <c r="E15" s="2497">
        <f>'数据-取费表'!B44</f>
        <v>0.12</v>
      </c>
      <c r="F15" s="2508" t="s">
        <v>1776</v>
      </c>
      <c r="G15" s="2509"/>
      <c r="H15" s="2431"/>
      <c r="I15" s="2432"/>
      <c r="J15" s="2464">
        <v>2</v>
      </c>
      <c r="K15" s="2465" t="s">
        <v>1777</v>
      </c>
      <c r="L15" s="2476" t="s">
        <v>1778</v>
      </c>
      <c r="M15" s="2510" t="s">
        <v>1779</v>
      </c>
      <c r="N15" s="2510" t="s">
        <v>1780</v>
      </c>
      <c r="O15" s="2511" t="s">
        <v>1781</v>
      </c>
      <c r="P15" s="2511" t="s">
        <v>1745</v>
      </c>
      <c r="Q15" s="2512" t="s">
        <v>124</v>
      </c>
      <c r="R15" s="2513" t="s">
        <v>1746</v>
      </c>
      <c r="S15" s="2424"/>
      <c r="T15" s="2424"/>
      <c r="U15" s="2424"/>
      <c r="V15" s="2432"/>
    </row>
    <row r="16" s="2408" customFormat="1" customHeight="1" spans="1:22">
      <c r="A16" s="2493" t="s">
        <v>1782</v>
      </c>
      <c r="B16" s="2494" t="s">
        <v>1783</v>
      </c>
      <c r="C16" s="2495"/>
      <c r="D16" s="2514">
        <f>D6*E16</f>
        <v>0</v>
      </c>
      <c r="E16" s="2515"/>
      <c r="F16" s="2490" t="s">
        <v>1784</v>
      </c>
      <c r="G16" s="2463"/>
      <c r="H16" s="2431"/>
      <c r="I16" s="2432"/>
      <c r="J16" s="2464"/>
      <c r="K16" s="2475"/>
      <c r="L16" s="2476" t="s">
        <v>1785</v>
      </c>
      <c r="M16" s="2477"/>
      <c r="N16" s="2477"/>
      <c r="O16" s="2516"/>
      <c r="P16" s="2478">
        <v>365</v>
      </c>
      <c r="Q16" s="2478"/>
      <c r="R16" s="2480">
        <f>ROUND(M16*N16*O16*P16/10000,0)</f>
        <v>0</v>
      </c>
      <c r="S16" s="2424"/>
      <c r="T16" s="2424"/>
      <c r="U16" s="2424"/>
      <c r="V16" s="2432"/>
    </row>
    <row r="17" s="2408" customFormat="1" customHeight="1" spans="1:22">
      <c r="A17" s="2517">
        <v>4</v>
      </c>
      <c r="B17" s="2518" t="s">
        <v>1786</v>
      </c>
      <c r="C17" s="2519"/>
      <c r="D17" s="2520">
        <f>ROUND(D6*E17,0)</f>
        <v>0</v>
      </c>
      <c r="E17" s="2521"/>
      <c r="F17" s="2522" t="s">
        <v>1787</v>
      </c>
      <c r="G17" s="2463"/>
      <c r="H17" s="2431"/>
      <c r="I17" s="2432"/>
      <c r="J17" s="2464"/>
      <c r="K17" s="2475"/>
      <c r="L17" s="2476" t="s">
        <v>1788</v>
      </c>
      <c r="M17" s="2477"/>
      <c r="N17" s="2477"/>
      <c r="O17" s="2516"/>
      <c r="P17" s="2478">
        <v>365</v>
      </c>
      <c r="Q17" s="2478"/>
      <c r="R17" s="2480">
        <f>ROUND(M17*N17*O17*P17/10000,0)</f>
        <v>0</v>
      </c>
      <c r="S17" s="2424"/>
      <c r="T17" s="2424"/>
      <c r="U17" s="2424"/>
      <c r="V17" s="2432"/>
    </row>
    <row r="18" s="2408" customFormat="1" customHeight="1" spans="1:22">
      <c r="A18" s="2468" t="s">
        <v>1789</v>
      </c>
      <c r="B18" s="2469"/>
      <c r="C18" s="2469"/>
      <c r="D18" s="2523">
        <f>ROUND(D6*E18,0)</f>
        <v>0</v>
      </c>
      <c r="E18" s="2524"/>
      <c r="F18" s="2525" t="s">
        <v>1790</v>
      </c>
      <c r="G18" s="2463"/>
      <c r="H18" s="2431"/>
      <c r="I18" s="2432"/>
      <c r="J18" s="2464"/>
      <c r="K18" s="2475"/>
      <c r="L18" s="2476" t="s">
        <v>1791</v>
      </c>
      <c r="M18" s="2477"/>
      <c r="N18" s="2477"/>
      <c r="O18" s="2516"/>
      <c r="P18" s="2478">
        <v>365</v>
      </c>
      <c r="Q18" s="2478"/>
      <c r="R18" s="2480">
        <f>ROUND(M18*N18*O18*P18/10000,0)</f>
        <v>0</v>
      </c>
      <c r="S18" s="2424"/>
      <c r="T18" s="2424"/>
      <c r="U18" s="2424"/>
      <c r="V18" s="2432"/>
    </row>
    <row r="19" s="2408" customFormat="1" customHeight="1" spans="1:22">
      <c r="A19" s="2526" t="s">
        <v>1792</v>
      </c>
      <c r="B19" s="2527"/>
      <c r="C19" s="2527"/>
      <c r="D19" s="2527"/>
      <c r="E19" s="2527"/>
      <c r="F19" s="2462"/>
      <c r="G19" s="2487"/>
      <c r="H19" s="2431"/>
      <c r="I19" s="2432"/>
      <c r="J19" s="2464"/>
      <c r="K19" s="2502"/>
      <c r="L19" s="2503" t="s">
        <v>1774</v>
      </c>
      <c r="M19" s="2504"/>
      <c r="N19" s="2504">
        <f>SUM(N16:N18)</f>
        <v>0</v>
      </c>
      <c r="O19" s="2505"/>
      <c r="P19" s="2528" t="s">
        <v>1793</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1794</v>
      </c>
      <c r="L20" s="2476" t="s">
        <v>1795</v>
      </c>
      <c r="M20" s="2510" t="s">
        <v>1796</v>
      </c>
      <c r="N20" s="2531" t="s">
        <v>1797</v>
      </c>
      <c r="O20" s="2511" t="s">
        <v>1798</v>
      </c>
      <c r="P20" s="2532" t="s">
        <v>1745</v>
      </c>
      <c r="Q20" s="2512" t="s">
        <v>124</v>
      </c>
      <c r="R20" s="2513" t="s">
        <v>1746</v>
      </c>
      <c r="S20" s="2533"/>
      <c r="T20" s="2533"/>
      <c r="U20" s="2533"/>
      <c r="V20" s="2432"/>
    </row>
    <row r="21" s="2408" customFormat="1" customHeight="1" spans="1:22">
      <c r="A21" s="2468"/>
      <c r="B21" s="2469"/>
      <c r="C21" s="2482" t="s">
        <v>1799</v>
      </c>
      <c r="D21" s="2534" t="s">
        <v>1800</v>
      </c>
      <c r="E21" s="2483" t="s">
        <v>1801</v>
      </c>
      <c r="F21" s="2530"/>
      <c r="G21" s="2487"/>
      <c r="H21" s="2431"/>
      <c r="I21" s="2432"/>
      <c r="J21" s="2464"/>
      <c r="K21" s="2475"/>
      <c r="L21" s="2476" t="s">
        <v>1802</v>
      </c>
      <c r="M21" s="2477"/>
      <c r="N21" s="2477"/>
      <c r="O21" s="2535"/>
      <c r="P21" s="2478">
        <v>365</v>
      </c>
      <c r="Q21" s="2478"/>
      <c r="R21" s="2536">
        <f>ROUND(M21*N21*O21*P21/10000,0)</f>
        <v>0</v>
      </c>
      <c r="S21" s="2533"/>
      <c r="T21" s="2533"/>
      <c r="U21" s="2533"/>
      <c r="V21" s="2432"/>
    </row>
    <row r="22" s="2408" customFormat="1" customHeight="1" spans="1:22">
      <c r="A22" s="2468"/>
      <c r="B22" s="2469"/>
      <c r="C22" s="2537" t="s">
        <v>1803</v>
      </c>
      <c r="D22" s="2538" t="s">
        <v>1804</v>
      </c>
      <c r="E22" s="2539" t="s">
        <v>1805</v>
      </c>
      <c r="F22" s="2530"/>
      <c r="G22" s="2540"/>
      <c r="H22" s="2431"/>
      <c r="I22" s="2432"/>
      <c r="J22" s="2464"/>
      <c r="K22" s="2475"/>
      <c r="L22" s="2476" t="s">
        <v>1806</v>
      </c>
      <c r="M22" s="2477"/>
      <c r="N22" s="2477"/>
      <c r="O22" s="2535"/>
      <c r="P22" s="2478">
        <v>365</v>
      </c>
      <c r="Q22" s="2478"/>
      <c r="R22" s="2536">
        <f>ROUND(M22*N22*O22*P22/10000,0)</f>
        <v>0</v>
      </c>
      <c r="S22" s="2533"/>
      <c r="T22" s="2533"/>
      <c r="U22" s="2533"/>
      <c r="V22" s="2432"/>
    </row>
    <row r="23" s="2408" customFormat="1" customHeight="1" spans="1:22">
      <c r="A23" s="2541">
        <v>1</v>
      </c>
      <c r="B23" s="2542" t="s">
        <v>1807</v>
      </c>
      <c r="C23" s="2543">
        <f>D6</f>
        <v>0</v>
      </c>
      <c r="D23" s="2544">
        <f>C23*(1+D24)</f>
        <v>0</v>
      </c>
      <c r="E23" s="2545">
        <f>D23*(1+E24)</f>
        <v>0</v>
      </c>
      <c r="F23" s="2546"/>
      <c r="G23" s="2547"/>
      <c r="H23" s="2431"/>
      <c r="I23" s="2432"/>
      <c r="J23" s="2464"/>
      <c r="K23" s="2475"/>
      <c r="L23" s="2476" t="s">
        <v>1808</v>
      </c>
      <c r="M23" s="2477"/>
      <c r="N23" s="2477"/>
      <c r="O23" s="2535"/>
      <c r="P23" s="2478">
        <v>365</v>
      </c>
      <c r="Q23" s="2478"/>
      <c r="R23" s="2536">
        <f>ROUND(M23*N23*O23*P23/10000,0)</f>
        <v>0</v>
      </c>
      <c r="S23" s="2424"/>
      <c r="T23" s="2424"/>
      <c r="U23" s="2424"/>
      <c r="V23" s="2432"/>
    </row>
    <row r="24" s="2408" customFormat="1" customHeight="1" spans="1:22">
      <c r="A24" s="2548"/>
      <c r="B24" s="2549" t="s">
        <v>1809</v>
      </c>
      <c r="C24" s="2543"/>
      <c r="D24" s="2550"/>
      <c r="E24" s="2551"/>
      <c r="F24" s="2552"/>
      <c r="G24" s="2547"/>
      <c r="H24" s="2431"/>
      <c r="I24" s="2432"/>
      <c r="J24" s="2464"/>
      <c r="K24" s="2502"/>
      <c r="L24" s="2503" t="s">
        <v>1774</v>
      </c>
      <c r="M24" s="2504">
        <f>SUM(M21:M23)</f>
        <v>0</v>
      </c>
      <c r="N24" s="2504"/>
      <c r="O24" s="2505"/>
      <c r="P24" s="2528" t="s">
        <v>1793</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1810</v>
      </c>
      <c r="L25" s="2555"/>
      <c r="M25" s="2555"/>
      <c r="N25" s="2555"/>
      <c r="O25" s="2555"/>
      <c r="P25" s="2556"/>
      <c r="Q25" s="2557">
        <v>0</v>
      </c>
      <c r="R25" s="2553">
        <f>ROUND(R14*Q25,0)</f>
        <v>0</v>
      </c>
      <c r="S25" s="2424"/>
      <c r="T25" s="2424"/>
      <c r="U25" s="2424"/>
      <c r="V25" s="2558"/>
    </row>
    <row r="26" s="2409" customFormat="1" customHeight="1" spans="1:22">
      <c r="A26" s="2541">
        <v>2</v>
      </c>
      <c r="B26" s="2542" t="s">
        <v>1811</v>
      </c>
      <c r="C26" s="2543">
        <f>D7</f>
        <v>0</v>
      </c>
      <c r="D26" s="2559">
        <f>D23*D27</f>
        <v>0</v>
      </c>
      <c r="E26" s="2560">
        <f>E23*E27</f>
        <v>0</v>
      </c>
      <c r="F26" s="2546"/>
      <c r="G26" s="2547"/>
      <c r="H26" s="2431"/>
      <c r="I26" s="2432"/>
      <c r="J26" s="2561">
        <v>5</v>
      </c>
      <c r="K26" s="2562" t="s">
        <v>1812</v>
      </c>
      <c r="L26" s="2563"/>
      <c r="M26" s="2564"/>
      <c r="N26" s="2565" t="s">
        <v>540</v>
      </c>
      <c r="O26" s="2565" t="s">
        <v>1813</v>
      </c>
      <c r="P26" s="2566" t="s">
        <v>1814</v>
      </c>
      <c r="Q26" s="2566" t="s">
        <v>1815</v>
      </c>
      <c r="R26" s="2445" t="s">
        <v>1746</v>
      </c>
      <c r="S26" s="2567"/>
      <c r="T26" s="2567"/>
      <c r="U26" s="2567"/>
      <c r="V26" s="2558"/>
    </row>
    <row r="27" s="2408" customFormat="1" customHeight="1" spans="1:22">
      <c r="A27" s="2548"/>
      <c r="B27" s="2549" t="s">
        <v>1816</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1817</v>
      </c>
      <c r="F28" s="2552"/>
      <c r="G28" s="2540"/>
      <c r="H28" s="2569"/>
      <c r="I28" s="2558"/>
      <c r="J28" s="2576">
        <v>6</v>
      </c>
      <c r="K28" s="2577" t="s">
        <v>1818</v>
      </c>
      <c r="L28" s="2578" t="s">
        <v>1819</v>
      </c>
      <c r="M28" s="2579"/>
      <c r="N28" s="2578" t="s">
        <v>1820</v>
      </c>
      <c r="O28" s="2580"/>
      <c r="P28" s="2578" t="s">
        <v>1821</v>
      </c>
      <c r="Q28" s="2581">
        <v>0.015</v>
      </c>
      <c r="R28" s="2582"/>
      <c r="S28" s="2533"/>
      <c r="T28" s="2533"/>
      <c r="U28" s="2533"/>
      <c r="V28" s="2558"/>
    </row>
    <row r="29" s="2409" customFormat="1" customHeight="1" spans="1:22">
      <c r="A29" s="2541">
        <v>3</v>
      </c>
      <c r="B29" s="2542" t="s">
        <v>1822</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1816</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1823</v>
      </c>
      <c r="K31" s="2422"/>
      <c r="L31" s="2422"/>
      <c r="M31" s="2422"/>
      <c r="N31" s="2422"/>
      <c r="O31" s="2422"/>
      <c r="P31" s="2422"/>
      <c r="Q31" s="2422"/>
      <c r="R31" s="2423"/>
      <c r="S31" s="2533"/>
      <c r="T31" s="2424"/>
      <c r="U31" s="2424"/>
      <c r="V31" s="2558"/>
    </row>
    <row r="32" s="2409" customFormat="1" customHeight="1" spans="1:22">
      <c r="A32" s="2541">
        <v>4</v>
      </c>
      <c r="B32" s="2542" t="s">
        <v>1824</v>
      </c>
      <c r="C32" s="2543">
        <f>C23-C26-C29</f>
        <v>0</v>
      </c>
      <c r="D32" s="2559">
        <f>D23-D26-D29</f>
        <v>0</v>
      </c>
      <c r="E32" s="2560">
        <f>E23-E26-E29</f>
        <v>0</v>
      </c>
      <c r="F32" s="2546"/>
      <c r="G32" s="2540"/>
      <c r="H32" s="2431"/>
      <c r="I32" s="2432"/>
      <c r="J32" s="2433" t="s">
        <v>1724</v>
      </c>
      <c r="K32" s="2434"/>
      <c r="L32" s="2435" t="s">
        <v>1725</v>
      </c>
      <c r="M32" s="2435" t="s">
        <v>1726</v>
      </c>
      <c r="N32" s="2435" t="s">
        <v>1727</v>
      </c>
      <c r="O32" s="2435" t="s">
        <v>1728</v>
      </c>
      <c r="P32" s="2435" t="s">
        <v>1729</v>
      </c>
      <c r="Q32" s="2436" t="s">
        <v>1730</v>
      </c>
      <c r="R32" s="2585" t="s">
        <v>1731</v>
      </c>
      <c r="S32" s="2533"/>
      <c r="T32" s="2424"/>
      <c r="U32" s="2424"/>
      <c r="V32" s="2558"/>
    </row>
    <row r="33" s="2408" customFormat="1" customHeight="1" spans="1:23">
      <c r="A33" s="2541"/>
      <c r="B33" s="2542"/>
      <c r="C33" s="2543"/>
      <c r="D33" s="2586"/>
      <c r="E33" s="2587"/>
      <c r="F33" s="2546"/>
      <c r="G33" s="2540"/>
      <c r="H33" s="2569"/>
      <c r="I33" s="2558"/>
      <c r="J33" s="2441" t="s">
        <v>1732</v>
      </c>
      <c r="K33" s="2442"/>
      <c r="L33" s="2588"/>
      <c r="M33" s="2588"/>
      <c r="N33" s="2588"/>
      <c r="O33" s="2588"/>
      <c r="P33" s="2588"/>
      <c r="Q33" s="2589"/>
      <c r="R33" s="2590">
        <f>SUM(L33:Q33)</f>
        <v>0</v>
      </c>
      <c r="S33" s="2533"/>
      <c r="T33" s="2424"/>
      <c r="U33" s="2424"/>
      <c r="V33" s="2432"/>
    </row>
    <row r="34" s="2408" customFormat="1" customHeight="1" spans="1:23">
      <c r="A34" s="2541">
        <v>5</v>
      </c>
      <c r="B34" s="2542" t="s">
        <v>1825</v>
      </c>
      <c r="C34" s="2591"/>
      <c r="D34" s="2592"/>
      <c r="E34" s="2593"/>
      <c r="F34" s="2546"/>
      <c r="G34" s="2540"/>
      <c r="H34" s="2569"/>
      <c r="I34" s="2558"/>
      <c r="J34" s="2441" t="s">
        <v>1734</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1826</v>
      </c>
      <c r="C35" s="2584"/>
      <c r="D35" s="2550"/>
      <c r="E35" s="2551"/>
      <c r="F35" s="2546"/>
      <c r="G35" s="2597"/>
      <c r="H35" s="2431"/>
      <c r="I35" s="2558"/>
      <c r="J35" s="2454" t="s">
        <v>1736</v>
      </c>
      <c r="K35" s="2455"/>
      <c r="L35" s="2455"/>
      <c r="M35" s="2456"/>
      <c r="N35" s="2456"/>
      <c r="O35" s="2456"/>
      <c r="P35" s="2456"/>
      <c r="Q35" s="2456"/>
      <c r="R35" s="2598">
        <f>R40+R41+R43</f>
        <v>0</v>
      </c>
      <c r="S35" s="2533"/>
      <c r="T35" s="2424" t="s">
        <v>1737</v>
      </c>
      <c r="U35" s="2424"/>
      <c r="V35" s="2432"/>
    </row>
    <row r="36" s="2408" customFormat="1" customHeight="1" spans="1:23">
      <c r="A36" s="2541">
        <v>7</v>
      </c>
      <c r="B36" s="2599" t="s">
        <v>1827</v>
      </c>
      <c r="C36" s="2600"/>
      <c r="D36" s="2601"/>
      <c r="E36" s="2602"/>
      <c r="F36" s="2603">
        <f>C36+D36+E36</f>
        <v>0</v>
      </c>
      <c r="G36" s="2540"/>
      <c r="H36" s="2431"/>
      <c r="I36" s="2432"/>
      <c r="J36" s="2464">
        <v>1</v>
      </c>
      <c r="K36" s="2465" t="s">
        <v>1828</v>
      </c>
      <c r="L36" s="2466"/>
      <c r="M36" s="2467"/>
      <c r="N36" s="2467"/>
      <c r="O36" s="2467"/>
      <c r="P36" s="2467"/>
      <c r="Q36" s="2467"/>
      <c r="R36" s="2445" t="s">
        <v>1746</v>
      </c>
      <c r="S36" s="2533"/>
      <c r="T36" s="2424" t="s">
        <v>1747</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1750</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1756</v>
      </c>
      <c r="U38" s="2424"/>
      <c r="V38" s="2432"/>
    </row>
    <row r="39" s="2408" customFormat="1" customHeight="1" spans="1:23">
      <c r="A39" s="2541">
        <v>9</v>
      </c>
      <c r="B39" s="2542" t="s">
        <v>1829</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1830</v>
      </c>
      <c r="C40" s="2609" t="e">
        <f>C39+D39+E39</f>
        <v>#DIV/0!</v>
      </c>
      <c r="D40" s="2610"/>
      <c r="E40" s="2610"/>
      <c r="F40" s="2611"/>
      <c r="G40" s="2540"/>
      <c r="H40" s="2431"/>
      <c r="I40" s="2432"/>
      <c r="J40" s="2464"/>
      <c r="K40" s="2502"/>
      <c r="L40" s="2503" t="s">
        <v>1774</v>
      </c>
      <c r="M40" s="2504"/>
      <c r="N40" s="2504"/>
      <c r="O40" s="2505"/>
      <c r="P40" s="2505"/>
      <c r="Q40" s="2612"/>
      <c r="R40" s="2613">
        <f>SUM(R37:R39)</f>
        <v>0</v>
      </c>
      <c r="S40" s="2533"/>
      <c r="T40" s="2424"/>
      <c r="U40" s="2424"/>
      <c r="V40" s="2432"/>
    </row>
    <row r="41" s="2408" customFormat="1" customHeight="1" spans="1:23">
      <c r="A41" s="2614">
        <v>11</v>
      </c>
      <c r="B41" s="2615" t="s">
        <v>1831</v>
      </c>
      <c r="C41" s="2616" t="e">
        <f>ROUND(C40*10000/B4,0)</f>
        <v>#DIV/0!</v>
      </c>
      <c r="D41" s="2617"/>
      <c r="E41" s="2617"/>
      <c r="F41" s="2618"/>
      <c r="G41" s="2619"/>
      <c r="H41" s="2431"/>
      <c r="I41" s="2432"/>
      <c r="J41" s="2464">
        <v>2</v>
      </c>
      <c r="K41" s="2554" t="s">
        <v>1810</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1812</v>
      </c>
      <c r="L42" s="2563"/>
      <c r="M42" s="2564"/>
      <c r="N42" s="2565" t="s">
        <v>540</v>
      </c>
      <c r="O42" s="2565" t="s">
        <v>1813</v>
      </c>
      <c r="P42" s="2566" t="s">
        <v>1814</v>
      </c>
      <c r="Q42" s="2566" t="s">
        <v>1815</v>
      </c>
      <c r="R42" s="2445" t="s">
        <v>1746</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1818</v>
      </c>
      <c r="L44" s="2621" t="s">
        <v>1819</v>
      </c>
      <c r="M44" s="2579"/>
      <c r="N44" s="2621" t="s">
        <v>1820</v>
      </c>
      <c r="O44" s="2622"/>
      <c r="P44" s="2621" t="s">
        <v>1821</v>
      </c>
      <c r="Q44" s="2581">
        <v>0.015</v>
      </c>
      <c r="R44" s="2582"/>
    </row>
    <row r="45" customHeight="1" spans="1:23">
      <c r="A45" s="2408"/>
      <c r="B45" s="2408"/>
      <c r="C45" s="2408"/>
      <c r="D45" s="2408"/>
      <c r="E45" s="2408"/>
      <c r="F45" s="2408"/>
      <c r="G45" s="2619"/>
      <c r="H45" s="2431"/>
    </row>
    <row r="46" ht="13.5" spans="1:23">
      <c r="A46" s="2623"/>
      <c r="B46" s="2623"/>
      <c r="C46" s="2624" t="s">
        <v>1832</v>
      </c>
      <c r="D46" s="2625" t="s">
        <v>1833</v>
      </c>
      <c r="E46" s="2626">
        <f>ROUND(D6*G46,0)</f>
        <v>0</v>
      </c>
      <c r="F46" s="2627" t="s">
        <v>1834</v>
      </c>
      <c r="G46" s="2628">
        <v>0.05</v>
      </c>
      <c r="H46" s="2623"/>
      <c r="I46" s="2629"/>
    </row>
    <row r="47" customHeight="1" spans="1:23">
      <c r="A47" s="2623"/>
      <c r="B47" s="2623"/>
      <c r="C47" s="2630" t="s">
        <v>1751</v>
      </c>
      <c r="D47" s="2631" t="s">
        <v>1835</v>
      </c>
      <c r="E47" s="2632" t="s">
        <v>1836</v>
      </c>
      <c r="F47" s="2633" t="s">
        <v>1754</v>
      </c>
      <c r="G47" s="2634" t="s">
        <v>1837</v>
      </c>
      <c r="H47" s="2635"/>
      <c r="I47" s="2629"/>
    </row>
    <row r="48" customHeight="1" spans="1:23">
      <c r="A48" s="2635"/>
      <c r="B48" s="2635"/>
      <c r="C48" s="2636">
        <v>1</v>
      </c>
      <c r="D48" s="2631" t="s">
        <v>1838</v>
      </c>
      <c r="E48" s="2637">
        <f>E49-E54</f>
        <v>0</v>
      </c>
      <c r="F48" s="2631"/>
      <c r="G48" s="2634"/>
      <c r="H48" s="2635"/>
      <c r="I48" s="2629"/>
    </row>
    <row r="49" customHeight="1" spans="1:9">
      <c r="A49" s="2635"/>
      <c r="B49" s="2635"/>
      <c r="C49" s="2636">
        <v>2</v>
      </c>
      <c r="D49" s="2631" t="s">
        <v>1839</v>
      </c>
      <c r="E49" s="2637">
        <f>SUM(E50:E53)</f>
        <v>0</v>
      </c>
      <c r="F49" s="2631"/>
      <c r="G49" s="2638"/>
      <c r="H49" s="2635"/>
      <c r="I49" s="2629"/>
    </row>
    <row r="50" customHeight="1" spans="1:9">
      <c r="A50" s="2635"/>
      <c r="B50" s="2635"/>
      <c r="C50" s="2639" t="s">
        <v>1840</v>
      </c>
      <c r="D50" s="2640" t="s">
        <v>1841</v>
      </c>
      <c r="E50" s="2641">
        <f>R14*G50/(1+G50)</f>
        <v>0</v>
      </c>
      <c r="F50" s="2642" t="s">
        <v>1842</v>
      </c>
      <c r="G50" s="2643">
        <v>0.06</v>
      </c>
      <c r="H50" s="2635"/>
      <c r="I50" s="2629"/>
    </row>
    <row r="51" customHeight="1" spans="1:9">
      <c r="A51" s="2635"/>
      <c r="B51" s="2635"/>
      <c r="C51" s="2639" t="s">
        <v>1843</v>
      </c>
      <c r="D51" s="2640" t="s">
        <v>1844</v>
      </c>
      <c r="E51" s="2641">
        <f>R19*G51/(1+G51)</f>
        <v>0</v>
      </c>
      <c r="F51" s="2642" t="s">
        <v>1845</v>
      </c>
      <c r="G51" s="2643">
        <v>0.06</v>
      </c>
      <c r="H51" s="2635"/>
      <c r="I51" s="2629"/>
    </row>
    <row r="52" customHeight="1" spans="1:9">
      <c r="A52" s="2635"/>
      <c r="B52" s="2635"/>
      <c r="C52" s="2639" t="s">
        <v>1846</v>
      </c>
      <c r="D52" s="2640" t="s">
        <v>1847</v>
      </c>
      <c r="E52" s="2641">
        <f>R24*G52/(1+R24)</f>
        <v>0</v>
      </c>
      <c r="F52" s="2642" t="s">
        <v>1848</v>
      </c>
      <c r="G52" s="2643">
        <v>0.09</v>
      </c>
      <c r="H52" s="2635"/>
      <c r="I52" s="2629"/>
    </row>
    <row r="53" customHeight="1" spans="1:9">
      <c r="A53" s="2635"/>
      <c r="B53" s="2635"/>
      <c r="C53" s="2639" t="s">
        <v>1849</v>
      </c>
      <c r="D53" s="2640" t="s">
        <v>1850</v>
      </c>
      <c r="E53" s="2641">
        <f>R27*G53/(1+G53)</f>
        <v>0</v>
      </c>
      <c r="F53" s="2642" t="s">
        <v>1848</v>
      </c>
      <c r="G53" s="2643">
        <v>0.09</v>
      </c>
      <c r="H53" s="2635"/>
      <c r="I53" s="2629"/>
    </row>
    <row r="54" customHeight="1" spans="1:9">
      <c r="A54" s="2635" t="s">
        <v>1851</v>
      </c>
      <c r="B54" s="2629"/>
      <c r="C54" s="2636">
        <v>3</v>
      </c>
      <c r="D54" s="2631" t="s">
        <v>1852</v>
      </c>
      <c r="E54" s="2637">
        <f>E55+E56+E60</f>
        <v>0</v>
      </c>
      <c r="F54" s="2631"/>
      <c r="G54" s="2638"/>
      <c r="H54" s="2635"/>
      <c r="I54" s="2629"/>
    </row>
    <row r="55" customHeight="1" spans="1:9">
      <c r="A55" s="2644">
        <v>0.05</v>
      </c>
      <c r="B55" s="2645" t="s">
        <v>1853</v>
      </c>
      <c r="C55" s="2639" t="s">
        <v>1840</v>
      </c>
      <c r="D55" s="2640" t="s">
        <v>1854</v>
      </c>
      <c r="E55" s="2641">
        <f>D9*G55/(1+G55)</f>
        <v>0</v>
      </c>
      <c r="F55" s="2646" t="s">
        <v>1855</v>
      </c>
      <c r="G55" s="2643">
        <v>0.13</v>
      </c>
      <c r="H55" s="2635"/>
      <c r="I55" s="2629"/>
    </row>
    <row r="56" customHeight="1" spans="1:9">
      <c r="A56" s="2644">
        <f>SUM(A57:A59)</f>
        <v>0.39</v>
      </c>
      <c r="B56" s="2645"/>
      <c r="C56" s="2639" t="s">
        <v>1843</v>
      </c>
      <c r="D56" s="2640" t="s">
        <v>1856</v>
      </c>
      <c r="E56" s="2641">
        <f>SUM(E57:E59)</f>
        <v>0</v>
      </c>
      <c r="F56" s="2642"/>
      <c r="G56" s="2647"/>
      <c r="H56" s="2635" t="s">
        <v>1857</v>
      </c>
      <c r="I56" s="2635" t="s">
        <v>1858</v>
      </c>
    </row>
    <row r="57" customHeight="1" spans="1:9">
      <c r="A57" s="2644">
        <v>0.25</v>
      </c>
      <c r="B57" s="2645" t="s">
        <v>1859</v>
      </c>
      <c r="C57" s="2648" t="s">
        <v>1860</v>
      </c>
      <c r="D57" s="2649" t="s">
        <v>1861</v>
      </c>
      <c r="E57" s="2650">
        <v>0</v>
      </c>
      <c r="F57" s="2651"/>
      <c r="G57" s="2652" t="s">
        <v>1862</v>
      </c>
      <c r="H57" s="2653">
        <v>0.65</v>
      </c>
      <c r="I57" s="2654">
        <f>A57/SUM(A57:A59)</f>
        <v>0.641025641025641</v>
      </c>
    </row>
    <row r="58" customHeight="1" spans="1:9">
      <c r="A58" s="2644">
        <v>0.06</v>
      </c>
      <c r="B58" s="2645" t="s">
        <v>1863</v>
      </c>
      <c r="C58" s="2648" t="s">
        <v>1864</v>
      </c>
      <c r="D58" s="2655" t="s">
        <v>1865</v>
      </c>
      <c r="E58" s="2650">
        <f>D10*H58*G58/(1+G58)</f>
        <v>0</v>
      </c>
      <c r="F58" s="2651" t="s">
        <v>1866</v>
      </c>
      <c r="G58" s="2656">
        <v>0.09</v>
      </c>
      <c r="H58" s="2653">
        <v>0.15</v>
      </c>
      <c r="I58" s="2654">
        <f>A58/SUM(A57:A59)</f>
        <v>0.153846153846154</v>
      </c>
    </row>
    <row r="59" customHeight="1" spans="1:9">
      <c r="A59" s="2644">
        <v>0.08</v>
      </c>
      <c r="B59" s="2645" t="s">
        <v>1867</v>
      </c>
      <c r="C59" s="2648" t="s">
        <v>1868</v>
      </c>
      <c r="D59" s="2649" t="s">
        <v>1869</v>
      </c>
      <c r="E59" s="2650">
        <f>D10*H59*G59/(1+G59)</f>
        <v>0</v>
      </c>
      <c r="F59" s="2651" t="s">
        <v>1870</v>
      </c>
      <c r="G59" s="2656">
        <v>0.06</v>
      </c>
      <c r="H59" s="2653">
        <v>0.2</v>
      </c>
      <c r="I59" s="2654">
        <f>1-I57-I58</f>
        <v>0.205128205128205</v>
      </c>
    </row>
    <row r="60" customHeight="1" spans="1:9">
      <c r="A60" s="2644">
        <f>SUM(A61:A62)</f>
        <v>0.1</v>
      </c>
      <c r="B60" s="2645"/>
      <c r="C60" s="2639" t="s">
        <v>1846</v>
      </c>
      <c r="D60" s="2640" t="s">
        <v>1871</v>
      </c>
      <c r="E60" s="2641">
        <f>SUM(E61:E62)</f>
        <v>0</v>
      </c>
      <c r="F60" s="2642"/>
      <c r="G60" s="2657"/>
      <c r="I60" s="2629"/>
    </row>
    <row r="61" customHeight="1" spans="1:9">
      <c r="A61" s="2644">
        <v>0.05</v>
      </c>
      <c r="B61" s="2645" t="s">
        <v>1853</v>
      </c>
      <c r="C61" s="2648" t="s">
        <v>1860</v>
      </c>
      <c r="D61" s="2649" t="s">
        <v>1872</v>
      </c>
      <c r="E61" s="2650">
        <f>D17*H61*G61/(1+G61)</f>
        <v>0</v>
      </c>
      <c r="F61" s="2651" t="s">
        <v>1870</v>
      </c>
      <c r="G61" s="2656">
        <v>0.06</v>
      </c>
      <c r="H61" s="2653">
        <v>0.5</v>
      </c>
      <c r="I61" s="2629"/>
    </row>
    <row r="62" customHeight="1" spans="1:9">
      <c r="A62" s="2644">
        <v>0.05</v>
      </c>
      <c r="B62" s="2645" t="s">
        <v>1834</v>
      </c>
      <c r="C62" s="2658" t="s">
        <v>1864</v>
      </c>
      <c r="D62" s="2659" t="s">
        <v>1873</v>
      </c>
      <c r="E62" s="2660">
        <f>D17*H62*G62/(1+G62)</f>
        <v>0</v>
      </c>
      <c r="F62" s="2661" t="s">
        <v>1874</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1875</v>
      </c>
      <c r="D65" s="2625" t="s">
        <v>1833</v>
      </c>
      <c r="E65" s="2626">
        <f>ROUND(D6*G65,0)</f>
        <v>0</v>
      </c>
      <c r="F65" s="2627" t="s">
        <v>1876</v>
      </c>
      <c r="G65" s="2628">
        <v>0.03</v>
      </c>
      <c r="H65" s="2635"/>
      <c r="I65" s="2629"/>
    </row>
    <row r="66" spans="1:9">
      <c r="A66" s="2635"/>
      <c r="B66" s="2635"/>
      <c r="C66" s="2630" t="s">
        <v>1751</v>
      </c>
      <c r="D66" s="2631" t="s">
        <v>1835</v>
      </c>
      <c r="E66" s="2632" t="s">
        <v>1836</v>
      </c>
      <c r="F66" s="2633" t="s">
        <v>1754</v>
      </c>
      <c r="G66" s="2634" t="s">
        <v>1837</v>
      </c>
      <c r="H66" s="2635"/>
      <c r="I66" s="2629"/>
    </row>
    <row r="67" spans="1:9">
      <c r="A67" s="2635"/>
      <c r="B67" s="2635"/>
      <c r="C67" s="2636">
        <v>1</v>
      </c>
      <c r="D67" s="2631" t="s">
        <v>1838</v>
      </c>
      <c r="E67" s="2667">
        <f>E68-E73</f>
        <v>0</v>
      </c>
      <c r="F67" s="2631"/>
      <c r="G67" s="2634"/>
      <c r="H67" s="2635"/>
      <c r="I67" s="2629"/>
    </row>
    <row r="68" customHeight="1" spans="1:9">
      <c r="A68" s="2635"/>
      <c r="B68" s="2635"/>
      <c r="C68" s="2668">
        <v>2</v>
      </c>
      <c r="D68" s="2631" t="s">
        <v>1839</v>
      </c>
      <c r="E68" s="2667">
        <f>SUM(E69:E70)</f>
        <v>0</v>
      </c>
      <c r="F68" s="2631"/>
      <c r="G68" s="2634"/>
      <c r="H68" s="2635"/>
      <c r="I68" s="2629"/>
    </row>
    <row r="69" customHeight="1" spans="1:9">
      <c r="A69" s="2635"/>
      <c r="B69" s="2635"/>
      <c r="C69" s="2639" t="s">
        <v>1840</v>
      </c>
      <c r="D69" s="2640" t="s">
        <v>1877</v>
      </c>
      <c r="E69" s="2640"/>
      <c r="F69" s="2642" t="s">
        <v>1848</v>
      </c>
      <c r="G69" s="2669">
        <v>0.09</v>
      </c>
      <c r="H69" s="2635"/>
      <c r="I69" s="2629"/>
    </row>
    <row r="70" customHeight="1" spans="1:9">
      <c r="A70" s="2635"/>
      <c r="B70" s="2635"/>
      <c r="C70" s="2639" t="s">
        <v>1843</v>
      </c>
      <c r="D70" s="2640" t="s">
        <v>1878</v>
      </c>
      <c r="E70" s="2640"/>
      <c r="F70" s="2642" t="s">
        <v>1879</v>
      </c>
      <c r="G70" s="2669">
        <v>0.06</v>
      </c>
      <c r="H70" s="2635"/>
      <c r="I70" s="2629"/>
    </row>
    <row r="71" customHeight="1" spans="1:9">
      <c r="A71" s="2635" t="s">
        <v>1851</v>
      </c>
      <c r="B71" s="2635"/>
      <c r="C71" s="2668">
        <v>3</v>
      </c>
      <c r="D71" s="2631" t="s">
        <v>1852</v>
      </c>
      <c r="E71" s="2667">
        <f>E72+E77</f>
        <v>0</v>
      </c>
      <c r="F71" s="2631"/>
      <c r="G71" s="2634"/>
      <c r="H71" s="2635"/>
      <c r="I71" s="2629"/>
    </row>
    <row r="72" customHeight="1" spans="1:9">
      <c r="A72" s="2644">
        <v>0.05</v>
      </c>
      <c r="B72" s="2670"/>
      <c r="C72" s="2639" t="s">
        <v>1840</v>
      </c>
      <c r="D72" s="2640" t="s">
        <v>1854</v>
      </c>
      <c r="E72" s="2640">
        <f>D9*G72/(1+G72)</f>
        <v>0</v>
      </c>
      <c r="F72" s="2646" t="s">
        <v>1855</v>
      </c>
      <c r="G72" s="2669">
        <v>0.13</v>
      </c>
      <c r="H72" s="2635"/>
      <c r="I72" s="2629"/>
    </row>
    <row r="73" customHeight="1" spans="1:9">
      <c r="A73" s="2644">
        <f>SUM(A74:A76)</f>
        <v>0.2</v>
      </c>
      <c r="B73" s="2670"/>
      <c r="C73" s="2639" t="s">
        <v>1843</v>
      </c>
      <c r="D73" s="2640" t="s">
        <v>1856</v>
      </c>
      <c r="E73" s="2640">
        <f>SUM(E74:E76)</f>
        <v>0</v>
      </c>
      <c r="F73" s="2642"/>
      <c r="G73" s="2647"/>
      <c r="H73" s="2635" t="s">
        <v>1857</v>
      </c>
      <c r="I73" s="2635" t="s">
        <v>1858</v>
      </c>
    </row>
    <row r="74" customHeight="1" spans="1:9">
      <c r="A74" s="2644">
        <v>0.05</v>
      </c>
      <c r="B74" s="2670" t="s">
        <v>1880</v>
      </c>
      <c r="C74" s="2671" t="s">
        <v>1881</v>
      </c>
      <c r="D74" s="2649" t="s">
        <v>1861</v>
      </c>
      <c r="E74" s="2649">
        <v>0</v>
      </c>
      <c r="F74" s="2651"/>
      <c r="G74" s="2652" t="s">
        <v>1862</v>
      </c>
      <c r="H74" s="2653">
        <v>0.25</v>
      </c>
      <c r="I74" s="2654">
        <f>A74/SUM(A74:A76)</f>
        <v>0.25</v>
      </c>
    </row>
    <row r="75" customHeight="1" spans="1:9">
      <c r="A75" s="2644">
        <v>0.1</v>
      </c>
      <c r="B75" s="2670" t="s">
        <v>1882</v>
      </c>
      <c r="C75" s="2671" t="s">
        <v>1883</v>
      </c>
      <c r="D75" s="2655" t="s">
        <v>1865</v>
      </c>
      <c r="E75" s="2649">
        <f>D10*H75*G75/(1+G75)</f>
        <v>0</v>
      </c>
      <c r="F75" s="2651" t="s">
        <v>1866</v>
      </c>
      <c r="G75" s="2672">
        <v>0.09</v>
      </c>
      <c r="H75" s="2653">
        <v>0.5</v>
      </c>
      <c r="I75" s="2654">
        <f>A75/SUM(A74:A76)</f>
        <v>0.5</v>
      </c>
    </row>
    <row r="76" customHeight="1" spans="1:9">
      <c r="A76" s="2644">
        <v>0.05</v>
      </c>
      <c r="B76" s="2670" t="s">
        <v>1884</v>
      </c>
      <c r="C76" s="2671" t="s">
        <v>1885</v>
      </c>
      <c r="D76" s="2649" t="s">
        <v>1869</v>
      </c>
      <c r="E76" s="2649">
        <f>D10*H76*G76/(1+G76)</f>
        <v>0</v>
      </c>
      <c r="F76" s="2651" t="s">
        <v>1870</v>
      </c>
      <c r="G76" s="2672">
        <v>0.06</v>
      </c>
      <c r="H76" s="2653">
        <v>0.25</v>
      </c>
      <c r="I76" s="2654">
        <f>1-I74-I75</f>
        <v>0.25</v>
      </c>
    </row>
    <row r="77" customHeight="1" spans="1:9">
      <c r="A77" s="2644">
        <f>SUM(A78:A79)</f>
        <v>0.1</v>
      </c>
      <c r="B77" s="2670"/>
      <c r="C77" s="2639" t="s">
        <v>1846</v>
      </c>
      <c r="D77" s="2640" t="s">
        <v>1871</v>
      </c>
      <c r="E77" s="2640">
        <f>SUM(E78:E79)</f>
        <v>0</v>
      </c>
      <c r="F77" s="2642"/>
      <c r="G77" s="2647"/>
      <c r="I77" s="2629"/>
    </row>
    <row r="78" customHeight="1" spans="1:9">
      <c r="A78" s="2644">
        <v>0.05</v>
      </c>
      <c r="B78" s="2670" t="s">
        <v>1863</v>
      </c>
      <c r="C78" s="2671" t="s">
        <v>1881</v>
      </c>
      <c r="D78" s="2649" t="s">
        <v>1872</v>
      </c>
      <c r="E78" s="2649">
        <f>D17*H78*G78/(1+G78)</f>
        <v>0</v>
      </c>
      <c r="F78" s="2651" t="s">
        <v>1870</v>
      </c>
      <c r="G78" s="2672">
        <v>0.06</v>
      </c>
      <c r="H78" s="2653">
        <v>0.5</v>
      </c>
      <c r="I78" s="2629"/>
    </row>
    <row r="79" customHeight="1" spans="1:9">
      <c r="A79" s="2644">
        <v>0.05</v>
      </c>
      <c r="B79" s="2670" t="s">
        <v>1886</v>
      </c>
      <c r="C79" s="2673" t="s">
        <v>1883</v>
      </c>
      <c r="D79" s="2659" t="s">
        <v>1873</v>
      </c>
      <c r="E79" s="2659">
        <f>D17*H79*G79/(1+G79)</f>
        <v>0</v>
      </c>
      <c r="F79" s="2661" t="s">
        <v>1874</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1887</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471.1169</v>
      </c>
      <c r="C2" s="2388" t="s">
        <v>1888</v>
      </c>
      <c r="D2" s="2389" t="s">
        <v>1889</v>
      </c>
      <c r="E2" s="2390">
        <f>SUM(E6:E13)</f>
        <v>138.87</v>
      </c>
      <c r="F2" s="2384"/>
      <c r="G2" s="2385"/>
      <c r="H2" s="2385"/>
      <c r="I2" s="2385"/>
      <c r="J2" s="2385"/>
      <c r="K2" s="2385"/>
      <c r="L2" s="2385"/>
      <c r="M2" s="2385"/>
      <c r="N2" s="2385"/>
      <c r="O2" s="2385"/>
      <c r="P2" s="2385"/>
      <c r="Q2" s="2385"/>
      <c r="R2" s="2385"/>
      <c r="S2" s="2385"/>
    </row>
    <row r="3" spans="1:22">
      <c r="A3" s="2386" t="s">
        <v>1114</v>
      </c>
      <c r="B3" s="2391">
        <f ca="1">ROUND(B2*10000/E2,0)</f>
        <v>33925</v>
      </c>
      <c r="C3" s="2388" t="s">
        <v>1890</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1891</v>
      </c>
      <c r="B5" s="2396" t="s">
        <v>1892</v>
      </c>
      <c r="C5" s="2397"/>
      <c r="D5" s="2398"/>
      <c r="E5" s="2399" t="s">
        <v>1893</v>
      </c>
      <c r="F5" s="2400" t="s">
        <v>1894</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471.1169</v>
      </c>
      <c r="C6" s="2388" t="s">
        <v>1888</v>
      </c>
      <c r="D6" s="2392"/>
      <c r="E6" s="2403">
        <f>IF(OR(A6=0,F6="否"),0,'数据-取费表'!K6+'数据-取费表'!S6)</f>
        <v>138.87</v>
      </c>
      <c r="F6" s="2404" t="s">
        <v>1895</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1888</v>
      </c>
      <c r="D7" s="2392"/>
      <c r="E7" s="2403">
        <f>IF(OR(A7=0,F7="否"),0,'数据-取费表'!K7+'数据-取费表'!S7)</f>
        <v>0</v>
      </c>
      <c r="F7" s="2404" t="s">
        <v>1895</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1888</v>
      </c>
      <c r="D8" s="2392"/>
      <c r="E8" s="2403">
        <f>IF(OR(A8=0,F8="否"),0,'数据-取费表'!K8+'数据-取费表'!S8)</f>
        <v>0</v>
      </c>
      <c r="F8" s="2404" t="s">
        <v>1895</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1888</v>
      </c>
      <c r="D9" s="2392"/>
      <c r="E9" s="2403">
        <f>IF(OR(A9=0,F9="否"),0,'数据-取费表'!K9+'数据-取费表'!S9)</f>
        <v>0</v>
      </c>
      <c r="F9" s="2404" t="s">
        <v>1895</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1888</v>
      </c>
      <c r="D10" s="2392"/>
      <c r="E10" s="2403">
        <f>IF(OR(A10=0,F10="否"),0,'数据-取费表'!K10+'数据-取费表'!S10)</f>
        <v>0</v>
      </c>
      <c r="F10" s="2404" t="s">
        <v>1895</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1888</v>
      </c>
      <c r="D11" s="2392"/>
      <c r="E11" s="2403">
        <f>IF(OR(A11=0,F11="否"),0,'数据-取费表'!K11+'数据-取费表'!S11)</f>
        <v>0</v>
      </c>
      <c r="F11" s="2404" t="s">
        <v>1895</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1888</v>
      </c>
      <c r="D12" s="2392"/>
      <c r="E12" s="2403">
        <f>IF(OR(A12=0,F12="否"),0,'数据-取费表'!K12+'数据-取费表'!S12)</f>
        <v>0</v>
      </c>
      <c r="F12" s="2404" t="s">
        <v>1895</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1888</v>
      </c>
      <c r="D13" s="2407"/>
      <c r="E13" s="2403">
        <f>IF(OR(A13=0,F13="否"),0,'数据-取费表'!K13+'数据-取费表'!S13)</f>
        <v>0</v>
      </c>
      <c r="F13" s="2404" t="s">
        <v>1895</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20" t="s">
        <v>82</v>
      </c>
    </row>
    <row r="2" spans="1:1">
      <c r="A2" s="4721"/>
    </row>
    <row r="3" ht="18" spans="1:1">
      <c r="A3" s="4722" t="str">
        <f>项目基本情况!B5&amp;"："</f>
        <v>：</v>
      </c>
    </row>
    <row r="4" ht="18.75" spans="1:1">
      <c r="A4" s="4723" t="str">
        <f>"受贵公司委托，我公司对"&amp;项目基本情况!S1&amp;"进行了预评估。"</f>
        <v>受贵公司委托，我公司对北京市房地产抵押价值进行了预评估。</v>
      </c>
    </row>
    <row r="5" ht="18.75" spans="1:1">
      <c r="A5" s="4724" t="s">
        <v>83</v>
      </c>
    </row>
    <row r="6" ht="18.75" spans="1:1">
      <c r="A6" s="4725" t="s">
        <v>84</v>
      </c>
    </row>
    <row r="7" ht="37.5"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ht="56.25" spans="1:1">
      <c r="A8" s="4726" t="s">
        <v>85</v>
      </c>
    </row>
    <row r="9" ht="18.75" spans="1:1">
      <c r="A9" s="4725" t="s">
        <v>86</v>
      </c>
    </row>
    <row r="10" ht="56.25"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估价对象为北京市房地产,属开发建设的，该项目尚在开发建设中。根据《国有土地使用证》[]，估价对象（分摊）出让国有建设用地使用权面积为0平方米，规划建筑面积为138.87平方米。</v>
      </c>
    </row>
    <row r="11" ht="75" spans="1:1">
      <c r="A11" s="4726" t="s">
        <v>87</v>
      </c>
    </row>
    <row r="12" ht="18.75"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8" t="s">
        <v>89</v>
      </c>
    </row>
    <row r="15" ht="18" spans="1:1">
      <c r="A15" s="4729" t="str">
        <f>TEXT(项目基本情况!D3,"yyyy年m月d日;;")&amp;IF(项目基本情况!D3=项目基本情况!B3,"（评估专业人员实地查勘之日）","")</f>
        <v>2026年1月28日（评估专业人员实地查勘之日）</v>
      </c>
    </row>
    <row r="16" ht="18.75" spans="1:1">
      <c r="A16" s="4728" t="s">
        <v>90</v>
      </c>
    </row>
    <row r="17" ht="75" spans="1:1">
      <c r="A17" s="4723" t="s">
        <v>91</v>
      </c>
    </row>
    <row r="18" ht="56.25"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8" t="s">
        <v>92</v>
      </c>
    </row>
    <row r="24" ht="18" spans="1:1">
      <c r="A24" s="4677" t="str">
        <f>"本次评估采用的主估价方法为"&amp;结果表!K4&amp;"和"&amp;结果表!L4&amp;"。"</f>
        <v>本次评估采用的主估价方法为比较法和收益法。</v>
      </c>
    </row>
    <row r="25" ht="18" spans="1:1">
      <c r="A25" s="4677"/>
    </row>
    <row r="26" ht="18.75" spans="1:1">
      <c r="A26" s="4730"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1896</v>
      </c>
      <c r="C1" s="2267" t="s">
        <v>1897</v>
      </c>
      <c r="D1" s="2268"/>
      <c r="E1" s="2268"/>
      <c r="F1" s="2268"/>
      <c r="G1" s="2268"/>
      <c r="H1" s="2268"/>
      <c r="I1" s="2268"/>
      <c r="J1" s="2268"/>
      <c r="K1" s="2268"/>
      <c r="L1" s="2268"/>
      <c r="M1" s="2268"/>
      <c r="N1" s="2268"/>
      <c r="O1" s="2268"/>
      <c r="P1" s="2268"/>
      <c r="Q1" s="2268"/>
      <c r="R1" s="2268"/>
      <c r="S1" s="2269"/>
      <c r="T1" s="2266" t="s">
        <v>1898</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1899</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1900</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1901</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1902</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1903</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1904</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1905</v>
      </c>
      <c r="B17" s="2333" t="s">
        <v>1906</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1907</v>
      </c>
      <c r="E19" s="2353"/>
      <c r="F19" s="2353"/>
      <c r="G19" s="2353"/>
      <c r="H19" s="2354"/>
      <c r="I19" s="2351"/>
      <c r="J19" s="2351"/>
      <c r="K19" s="2351"/>
      <c r="L19" s="2351"/>
      <c r="M19" s="2351"/>
      <c r="N19" s="2351"/>
      <c r="O19" s="2351"/>
      <c r="P19" s="2351"/>
      <c r="Q19" s="2351"/>
      <c r="R19" s="2351"/>
      <c r="S19" s="2350"/>
    </row>
    <row r="20" ht="16.5" spans="1:45">
      <c r="A20" s="2355" t="s">
        <v>1908</v>
      </c>
      <c r="B20" s="2356" t="e">
        <f ca="1">IF(D20="——",S22,S22-F20)</f>
        <v>#REF!</v>
      </c>
      <c r="C20" s="2351"/>
      <c r="D20" s="2357"/>
      <c r="E20" s="2358"/>
      <c r="F20" s="2359" t="e">
        <f ca="1">SUMIF(INDIRECT("'"&amp;H20&amp;"'"&amp;"!A:A"),"承租人权益价值",INDIRECT("'"&amp;H20&amp;"'"&amp;"!c:c"))</f>
        <v>#REF!</v>
      </c>
      <c r="G20" s="2266" t="s">
        <v>888</v>
      </c>
      <c r="H20" s="2360"/>
      <c r="I20" s="2351"/>
      <c r="J20" s="2351"/>
      <c r="K20" s="2351"/>
      <c r="L20" s="2351"/>
      <c r="M20" s="2351"/>
      <c r="N20" s="2351"/>
      <c r="O20" s="2351"/>
      <c r="P20" s="2351"/>
      <c r="Q20" s="2351"/>
      <c r="R20" s="2351"/>
      <c r="S20" s="2350"/>
    </row>
    <row r="21" ht="15.75" spans="1:45">
      <c r="A21" s="2355" t="s">
        <v>1909</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1910</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1911</v>
      </c>
      <c r="B23" s="2367" t="s">
        <v>540</v>
      </c>
      <c r="C23" s="2366" t="s">
        <v>1898</v>
      </c>
      <c r="D23" s="2368" t="str">
        <f>B5</f>
        <v>修正项2</v>
      </c>
      <c r="E23" s="2366" t="s">
        <v>1898</v>
      </c>
      <c r="F23" s="2368" t="str">
        <f>B7</f>
        <v>修正项3</v>
      </c>
      <c r="G23" s="2366" t="s">
        <v>1898</v>
      </c>
      <c r="H23" s="2368" t="str">
        <f>B9</f>
        <v>修正项4</v>
      </c>
      <c r="I23" s="2366" t="s">
        <v>1898</v>
      </c>
      <c r="J23" s="2368" t="str">
        <f>B11</f>
        <v>修正项5</v>
      </c>
      <c r="K23" s="2366" t="s">
        <v>1898</v>
      </c>
      <c r="L23" s="2368" t="str">
        <f>B13</f>
        <v>修正项6</v>
      </c>
      <c r="M23" s="2366" t="s">
        <v>1898</v>
      </c>
      <c r="N23" s="2368" t="str">
        <f>B15</f>
        <v>修正项7</v>
      </c>
      <c r="O23" s="2366" t="s">
        <v>1898</v>
      </c>
      <c r="P23" s="2368" t="str">
        <f>B17</f>
        <v>楼层</v>
      </c>
      <c r="Q23" s="2366" t="s">
        <v>1898</v>
      </c>
      <c r="R23" s="2366" t="s">
        <v>1912</v>
      </c>
      <c r="S23" s="2366" t="s">
        <v>1913</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1914</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149" t="s">
        <v>1915</v>
      </c>
      <c r="C1" s="1855" t="s">
        <v>1507</v>
      </c>
      <c r="D1" s="1848"/>
      <c r="E1" s="2150"/>
      <c r="F1" s="1850"/>
      <c r="G1" s="1851" t="s">
        <v>1510</v>
      </c>
      <c r="H1" s="1852"/>
      <c r="I1" s="1852"/>
      <c r="J1" s="1852"/>
      <c r="K1" s="1853"/>
      <c r="L1" s="1854"/>
      <c r="M1" s="1855"/>
      <c r="N1" s="1855"/>
      <c r="O1" s="1855"/>
      <c r="P1" s="2151"/>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52" t="b">
        <f ca="1">IF(E1="项目模式",IF(E2="——",ROUND(C49*D3/10000,0),ROUND(C49*D3/10000,0)-F2),IF(E1="单套模式",IF(E2="——",ROUND(C49*D3/10000,4),ROUND(C49*D3/10000,4)-F2)))</f>
        <v>0</v>
      </c>
      <c r="E2" s="2153"/>
      <c r="F2" s="2154" t="e">
        <f ca="1">IF(E1="项目模式",SUMIF(INDIRECT("'"&amp;H2&amp;"'"&amp;"!A:A"),"承租人权益价值",INDIRECT("'"&amp;H2&amp;"'"&amp;"!c:c")),SUMIF(INDIRECT("'"&amp;H2&amp;"'"&amp;"!A:A"),"承租人权益价值（单套）",INDIRECT("'"&amp;H2&amp;"'"&amp;"!c:c")))</f>
        <v>#REF!</v>
      </c>
      <c r="G2" s="1862" t="s">
        <v>1113</v>
      </c>
      <c r="H2" s="1863"/>
      <c r="I2" s="1759"/>
      <c r="J2" s="1759"/>
      <c r="K2" s="2155"/>
      <c r="L2" s="2156"/>
      <c r="M2" s="2157"/>
      <c r="N2" s="2157"/>
      <c r="O2" s="2157"/>
      <c r="P2" s="2158"/>
      <c r="Q2" s="2159"/>
      <c r="R2" s="2159"/>
      <c r="S2" s="2159"/>
      <c r="T2" s="2159"/>
      <c r="U2" s="2159"/>
      <c r="V2" s="2159"/>
      <c r="W2" s="2159"/>
      <c r="X2" s="2159"/>
      <c r="Y2" s="2159"/>
      <c r="Z2" s="2159"/>
      <c r="AA2" s="2159"/>
      <c r="AB2" s="2159"/>
      <c r="AC2" s="2160"/>
    </row>
    <row r="3" s="1860" customFormat="1" ht="28.5" customHeight="1" spans="1:29">
      <c r="A3" s="420" t="s">
        <v>1114</v>
      </c>
      <c r="B3" s="1864">
        <f ca="1">IF(E2="——",C49,ROUND(B2*10000/D3,0))</f>
        <v>0</v>
      </c>
      <c r="C3" s="1865" t="s">
        <v>1512</v>
      </c>
      <c r="D3" s="2161">
        <f>IF(D1="",'数据-汇总表'!E3,SUMIF('数据-汇总表'!$C19:$C33,D1,'数据-汇总表'!$E19:$E33))</f>
        <v>138.87</v>
      </c>
      <c r="E3" s="2162"/>
      <c r="F3" s="2163">
        <f>IF(E3="其他类型—销项税率",9%,3%)</f>
        <v>0.03</v>
      </c>
      <c r="G3" s="1759"/>
      <c r="H3" s="1759"/>
      <c r="I3" s="1759"/>
      <c r="J3" s="1759"/>
      <c r="K3" s="2155"/>
      <c r="L3" s="2156"/>
      <c r="M3" s="2157"/>
      <c r="N3" s="2157"/>
      <c r="O3" s="2157"/>
      <c r="P3" s="2158"/>
      <c r="Q3" s="2159"/>
      <c r="R3" s="2159"/>
      <c r="S3" s="2159"/>
      <c r="T3" s="2159"/>
      <c r="U3" s="2159"/>
      <c r="V3" s="2159"/>
      <c r="W3" s="2159"/>
      <c r="X3" s="2159"/>
      <c r="Y3" s="2159"/>
      <c r="Z3" s="2159"/>
      <c r="AA3" s="2159"/>
      <c r="AB3" s="2159"/>
      <c r="AC3" s="2164"/>
    </row>
    <row r="4" ht="15" spans="1:29">
      <c r="A4" s="1762" t="s">
        <v>1513</v>
      </c>
      <c r="B4" s="1763"/>
      <c r="C4" s="1385" t="s">
        <v>1514</v>
      </c>
      <c r="D4" s="1386"/>
      <c r="E4" s="1387" t="s">
        <v>1515</v>
      </c>
      <c r="F4" s="1388"/>
      <c r="G4" s="1385" t="s">
        <v>1516</v>
      </c>
      <c r="H4" s="1386"/>
      <c r="I4" s="1385" t="s">
        <v>1517</v>
      </c>
      <c r="J4" s="1386"/>
      <c r="K4" s="2165"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399" t="s">
        <v>1516</v>
      </c>
      <c r="AC4" s="1399" t="s">
        <v>1517</v>
      </c>
    </row>
    <row r="5" ht="15" spans="1:29">
      <c r="A5" s="1765"/>
      <c r="B5" s="1766"/>
      <c r="C5" s="1402" t="s">
        <v>1520</v>
      </c>
      <c r="D5" s="1403"/>
      <c r="E5" s="1404" t="s">
        <v>1916</v>
      </c>
      <c r="F5" s="1405"/>
      <c r="G5" s="1402" t="s">
        <v>1917</v>
      </c>
      <c r="H5" s="1403"/>
      <c r="I5" s="1402" t="s">
        <v>1918</v>
      </c>
      <c r="J5" s="1403"/>
      <c r="K5" s="2166"/>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1523</v>
      </c>
      <c r="D6" s="1770"/>
      <c r="E6" s="1771" t="s">
        <v>1523</v>
      </c>
      <c r="F6" s="1772"/>
      <c r="G6" s="1769" t="s">
        <v>1523</v>
      </c>
      <c r="H6" s="1770"/>
      <c r="I6" s="1769" t="s">
        <v>1523</v>
      </c>
      <c r="J6" s="1770"/>
      <c r="K6" s="2166" t="s">
        <v>1524</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1525</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7"/>
      <c r="L7" s="1434"/>
      <c r="M7" s="1435"/>
      <c r="N7" s="1435"/>
      <c r="O7" s="1435"/>
      <c r="P7" s="1436"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1443" t="e">
        <f>D7/J7</f>
        <v>#DIV/0!</v>
      </c>
    </row>
    <row r="8" s="1352" customFormat="1" ht="15.75" spans="1:29">
      <c r="A8" s="1885" t="s">
        <v>1528</v>
      </c>
      <c r="B8" s="1886"/>
      <c r="C8" s="1444"/>
      <c r="D8" s="1428">
        <v>100</v>
      </c>
      <c r="E8" s="2168"/>
      <c r="F8" s="1430">
        <f>SUMIF(61:61,E8,62:62)-SUMIF(61:61,C8,62:62)+100</f>
        <v>100</v>
      </c>
      <c r="G8" s="1444"/>
      <c r="H8" s="1432">
        <f>SUMIF(61:61,G8,62:62)-SUMIF(61:61,C8,62:62)+100</f>
        <v>100</v>
      </c>
      <c r="I8" s="2168"/>
      <c r="J8" s="1432">
        <f>SUMIF(61:61,I8,62:62)-SUMIF(61:61,C8,62:62)+100</f>
        <v>100</v>
      </c>
      <c r="K8" s="2167"/>
      <c r="L8" s="1434"/>
      <c r="M8" s="1435"/>
      <c r="N8" s="1435"/>
      <c r="O8" s="1435"/>
      <c r="P8" s="1436" t="s">
        <v>1531</v>
      </c>
      <c r="Q8" s="1445"/>
      <c r="R8" s="2115" t="s">
        <v>1527</v>
      </c>
      <c r="S8" s="2116">
        <f t="shared" si="0"/>
        <v>100</v>
      </c>
      <c r="T8" s="2115" t="s">
        <v>1527</v>
      </c>
      <c r="U8" s="2116">
        <f t="shared" si="1"/>
        <v>100</v>
      </c>
      <c r="V8" s="2115" t="s">
        <v>1527</v>
      </c>
      <c r="W8" s="2116">
        <f t="shared" si="2"/>
        <v>100</v>
      </c>
      <c r="X8" s="1440"/>
      <c r="Y8" s="1441" t="s">
        <v>1531</v>
      </c>
      <c r="Z8" s="1442"/>
      <c r="AA8" s="1443">
        <f t="shared" ref="AA8:AA19" si="3">D8/F8</f>
        <v>1</v>
      </c>
      <c r="AB8" s="1443">
        <f t="shared" ref="AB8:AB19" si="4">D8/H8</f>
        <v>1</v>
      </c>
      <c r="AC8" s="1443">
        <f t="shared" ref="AC8:AC19" si="5">D8/J8</f>
        <v>1</v>
      </c>
    </row>
    <row r="9" s="1352" customFormat="1" spans="1:29">
      <c r="A9" s="1896" t="s">
        <v>1532</v>
      </c>
      <c r="B9" s="1447" t="s">
        <v>1533</v>
      </c>
      <c r="C9" s="2169"/>
      <c r="D9" s="1449">
        <v>100</v>
      </c>
      <c r="E9" s="2170"/>
      <c r="F9" s="2171">
        <f>SUMIF(63:63,E9,64:64)-SUMIF(63:63,C9,64:64)+100</f>
        <v>100</v>
      </c>
      <c r="G9" s="2172"/>
      <c r="H9" s="1450">
        <f>SUMIF(63:63,G9,64:64)-SUMIF(63:63,C9,64:64)+100</f>
        <v>100</v>
      </c>
      <c r="I9" s="2172"/>
      <c r="J9" s="1450">
        <f>SUMIF(63:63,I9,64:64)-SUMIF(63:63,C9,64:64)+100</f>
        <v>100</v>
      </c>
      <c r="K9" s="2167"/>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167"/>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2176"/>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5">
        <f>SUMIF(70:70,E12,71:71)-SUMIF(70:70,C12,71:71)+100</f>
        <v>100</v>
      </c>
      <c r="G12" s="1454"/>
      <c r="H12" s="1456">
        <f>SUMIF(70:70,G12,71:71)-SUMIF(70:70,C12,71:71)+100</f>
        <v>100</v>
      </c>
      <c r="I12" s="1454"/>
      <c r="J12" s="1456">
        <f>SUMIF(70:70,I12,71:71)-SUMIF(70:70,C12,71:71)+100</f>
        <v>100</v>
      </c>
      <c r="K12" s="217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217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17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81" spans="1:29">
      <c r="A15" s="1669" t="s">
        <v>1540</v>
      </c>
      <c r="B15" s="1779" t="s">
        <v>1597</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9"/>
      <c r="L15" s="1475"/>
      <c r="M15" s="1391"/>
      <c r="N15" s="1391"/>
      <c r="O15" s="1391"/>
      <c r="P15" s="1501" t="s">
        <v>1542</v>
      </c>
      <c r="Q15" s="1051" t="str">
        <f t="shared" si="6"/>
        <v>居住社区成熟度</v>
      </c>
      <c r="R15" s="2121" t="s">
        <v>1527</v>
      </c>
      <c r="S15" s="2122">
        <f t="shared" si="0"/>
        <v>100</v>
      </c>
      <c r="T15" s="2121" t="s">
        <v>1527</v>
      </c>
      <c r="U15" s="2122">
        <f t="shared" si="1"/>
        <v>100</v>
      </c>
      <c r="V15" s="2121" t="s">
        <v>1527</v>
      </c>
      <c r="W15" s="2122">
        <f t="shared" si="2"/>
        <v>100</v>
      </c>
      <c r="X15" s="1396"/>
      <c r="Y15" s="1490" t="s">
        <v>1542</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0"/>
      <c r="L16" s="1475"/>
      <c r="M16" s="1391"/>
      <c r="N16" s="1391"/>
      <c r="O16" s="1391"/>
      <c r="P16" s="1516"/>
      <c r="Q16" s="1051"/>
      <c r="R16" s="2121"/>
      <c r="S16" s="2122"/>
      <c r="T16" s="2121"/>
      <c r="U16" s="2122"/>
      <c r="V16" s="2121"/>
      <c r="W16" s="2122"/>
      <c r="X16" s="1396"/>
      <c r="Y16" s="1499"/>
      <c r="Z16" s="1491"/>
      <c r="AA16" s="1491">
        <v>1</v>
      </c>
      <c r="AB16" s="1491">
        <v>1</v>
      </c>
      <c r="AC16" s="1491">
        <v>1</v>
      </c>
    </row>
    <row r="17" ht="67.5" spans="1:29">
      <c r="A17" s="1676"/>
      <c r="B17" s="1782" t="s">
        <v>1544</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9"/>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0"/>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9"/>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0"/>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9"/>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1"/>
      <c r="L22" s="1475"/>
      <c r="M22" s="1391"/>
      <c r="N22" s="1391"/>
      <c r="O22" s="1391"/>
      <c r="P22" s="1516"/>
      <c r="Q22" s="1051"/>
      <c r="R22" s="2121"/>
      <c r="S22" s="2122"/>
      <c r="T22" s="2121"/>
      <c r="U22" s="2122"/>
      <c r="V22" s="2121"/>
      <c r="W22" s="2122"/>
      <c r="X22" s="1396"/>
      <c r="Y22" s="1499"/>
      <c r="Z22" s="1491"/>
      <c r="AA22" s="1491">
        <v>1</v>
      </c>
      <c r="AB22" s="1491">
        <v>1</v>
      </c>
      <c r="AC22" s="1491">
        <v>1</v>
      </c>
    </row>
    <row r="23" ht="40.5" spans="1:29">
      <c r="A23" s="1676"/>
      <c r="B23" s="1782" t="s">
        <v>1548</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9"/>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1919</v>
      </c>
      <c r="C25" s="2182"/>
      <c r="D25" s="1473">
        <v>100</v>
      </c>
      <c r="E25" s="1545"/>
      <c r="F25" s="1474">
        <f>SUMIF(86:86,E25,87:87)-SUMIF(86:86,C25,87:87)+100</f>
        <v>100</v>
      </c>
      <c r="G25" s="2183"/>
      <c r="H25" s="1474">
        <f>SUMIF(86:86,G25,87:87)-SUMIF(86:86,C25,87:87)+100</f>
        <v>100</v>
      </c>
      <c r="I25" s="2183"/>
      <c r="J25" s="1474">
        <f>SUMIF(86:86,I25,87:87)-SUMIF(86:86,C25,87:87)+100</f>
        <v>100</v>
      </c>
      <c r="K25" s="2176"/>
      <c r="L25" s="1475"/>
      <c r="M25" s="1391"/>
      <c r="N25" s="1391"/>
      <c r="O25" s="1391"/>
      <c r="P25" s="1516"/>
      <c r="Q25" s="1051" t="str">
        <f t="shared" ref="Q25:Q46" si="11">B25</f>
        <v>楼层-1</v>
      </c>
      <c r="R25" s="2121" t="s">
        <v>1527</v>
      </c>
      <c r="S25" s="2122">
        <f t="shared" ref="S25:S46" si="12">F25</f>
        <v>100</v>
      </c>
      <c r="T25" s="2121" t="s">
        <v>1527</v>
      </c>
      <c r="U25" s="2122">
        <f t="shared" ref="U25:U46" si="13">H25</f>
        <v>100</v>
      </c>
      <c r="V25" s="2121" t="s">
        <v>1527</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1920</v>
      </c>
      <c r="C26" s="2182"/>
      <c r="D26" s="1473">
        <v>100</v>
      </c>
      <c r="E26" s="1545"/>
      <c r="F26" s="1474">
        <f>SUMIF(88:88,E26,89:89)-SUMIF(88:88,C26,89:89)+100</f>
        <v>100</v>
      </c>
      <c r="G26" s="2183"/>
      <c r="H26" s="1474">
        <f>SUMIF(88:88,G26,89:89)-SUMIF(88:88,C26,89:89)+100</f>
        <v>100</v>
      </c>
      <c r="I26" s="2183"/>
      <c r="J26" s="1474">
        <f>SUMIF(88:88,I26,89:89)-SUMIF(88:88,C26,89:89)+100</f>
        <v>100</v>
      </c>
      <c r="K26" s="2176"/>
      <c r="L26" s="1475"/>
      <c r="M26" s="1391"/>
      <c r="N26" s="1391"/>
      <c r="O26" s="1391"/>
      <c r="P26" s="1516"/>
      <c r="Q26" s="1051" t="str">
        <f t="shared" si="11"/>
        <v>朝向</v>
      </c>
      <c r="R26" s="2121" t="s">
        <v>1527</v>
      </c>
      <c r="S26" s="2122">
        <f t="shared" si="12"/>
        <v>100</v>
      </c>
      <c r="T26" s="2121" t="s">
        <v>1527</v>
      </c>
      <c r="U26" s="2122">
        <f t="shared" si="13"/>
        <v>100</v>
      </c>
      <c r="V26" s="2121" t="s">
        <v>1527</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84">
        <v>100</v>
      </c>
      <c r="E27" s="1774"/>
      <c r="F27" s="2185">
        <f>SUMIF(90:90,E27,91:91)-SUMIF(90:90,C27,91:91)+100</f>
        <v>100</v>
      </c>
      <c r="G27" s="1775"/>
      <c r="H27" s="2185">
        <f>SUMIF(90:90,G27,91:91)-SUMIF(90:90,C27,91:91)+100</f>
        <v>100</v>
      </c>
      <c r="I27" s="1775"/>
      <c r="J27" s="2185">
        <f>SUMIF(90:90,I27,91:91)-SUMIF(90:90,C27,91:91)+100</f>
        <v>100</v>
      </c>
      <c r="K27" s="2177"/>
      <c r="L27" s="1434"/>
      <c r="M27" s="1435"/>
      <c r="N27" s="1435"/>
      <c r="O27" s="1435"/>
      <c r="P27" s="1516"/>
      <c r="Q27" s="1205">
        <f t="shared" si="11"/>
        <v>111</v>
      </c>
      <c r="R27" s="2115" t="s">
        <v>1527</v>
      </c>
      <c r="S27" s="2116">
        <f t="shared" si="12"/>
        <v>100</v>
      </c>
      <c r="T27" s="2115" t="s">
        <v>1527</v>
      </c>
      <c r="U27" s="2116">
        <f t="shared" si="13"/>
        <v>100</v>
      </c>
      <c r="V27" s="2115" t="s">
        <v>1527</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6"/>
      <c r="H28" s="1474">
        <f>SUMIF(92:92,G28,93:93)-SUMIF(92:92,C28,93:93)+100</f>
        <v>100</v>
      </c>
      <c r="I28" s="1472"/>
      <c r="J28" s="1474">
        <f>SUMIF(92:92,I28,93:93)-SUMIF(92:92,C28,93:93)+100</f>
        <v>100</v>
      </c>
      <c r="K28" s="2177"/>
      <c r="L28" s="1475"/>
      <c r="M28" s="1391"/>
      <c r="N28" s="1391"/>
      <c r="O28" s="1391"/>
      <c r="P28" s="1516"/>
      <c r="Q28" s="1051">
        <f t="shared" si="11"/>
        <v>111</v>
      </c>
      <c r="R28" s="2121" t="s">
        <v>1527</v>
      </c>
      <c r="S28" s="2122">
        <f t="shared" si="12"/>
        <v>100</v>
      </c>
      <c r="T28" s="2121" t="s">
        <v>1527</v>
      </c>
      <c r="U28" s="2122">
        <f t="shared" si="13"/>
        <v>100</v>
      </c>
      <c r="V28" s="2121" t="s">
        <v>1527</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6"/>
      <c r="H29" s="1474">
        <f>SUMIF(94:94,G29,95:95)-SUMIF(94:94,C29,95:95)+100</f>
        <v>100</v>
      </c>
      <c r="I29" s="1472"/>
      <c r="J29" s="1474">
        <f>SUMIF(94:94,I29,95:95)-SUMIF(94:94,C29,95:95)+100</f>
        <v>100</v>
      </c>
      <c r="K29" s="2177"/>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6"/>
      <c r="H30" s="1474">
        <f>SUMIF(96:96,G30,97:97)-SUMIF(96:96,C30,97:97)+100</f>
        <v>100</v>
      </c>
      <c r="I30" s="1472"/>
      <c r="J30" s="1474">
        <f>SUMIF(96:96,I30,97:97)-SUMIF(96:96,C30,97:97)+100</f>
        <v>100</v>
      </c>
      <c r="K30" s="217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7"/>
      <c r="H31" s="1480">
        <f>SUMIF(98:98,G31,99:99)-SUMIF(98:98,C31,99:99)+100</f>
        <v>100</v>
      </c>
      <c r="I31" s="1478"/>
      <c r="J31" s="1480">
        <f>SUMIF(98:98,I31,99:99)-SUMIF(98:98,C31,99:99)+100</f>
        <v>100</v>
      </c>
      <c r="K31" s="217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8"/>
        <v>111</v>
      </c>
      <c r="AA31" s="1491">
        <f t="shared" si="15"/>
        <v>1</v>
      </c>
      <c r="AB31" s="1491">
        <f t="shared" si="16"/>
        <v>1</v>
      </c>
      <c r="AC31" s="1491">
        <f t="shared" si="17"/>
        <v>1</v>
      </c>
    </row>
    <row r="32" ht="15" spans="1:29">
      <c r="A32" s="1669" t="s">
        <v>1558</v>
      </c>
      <c r="B32" s="1447" t="s">
        <v>1921</v>
      </c>
      <c r="C32" s="2188"/>
      <c r="D32" s="1541">
        <v>100</v>
      </c>
      <c r="E32" s="2189"/>
      <c r="F32" s="2190">
        <f>SUMIF(100:100,E32,101:101)-SUMIF(100:100,C32,101:101)+100</f>
        <v>100</v>
      </c>
      <c r="G32" s="2188"/>
      <c r="H32" s="1542">
        <f>SUMIF(100:100,G32,101:101)-SUMIF(100:100,C32,101:101)+100</f>
        <v>100</v>
      </c>
      <c r="I32" s="2189"/>
      <c r="J32" s="1474">
        <f>SUMIF(100:100,I32,101:101)-SUMIF(100:100,C32,101:101)+100</f>
        <v>100</v>
      </c>
      <c r="K32" s="2176"/>
      <c r="L32" s="1475"/>
      <c r="M32" s="1391"/>
      <c r="N32" s="1391"/>
      <c r="O32" s="1391"/>
      <c r="P32" s="2132" t="s">
        <v>1562</v>
      </c>
      <c r="Q32" s="1051" t="str">
        <f t="shared" si="11"/>
        <v>建筑类型</v>
      </c>
      <c r="R32" s="2121" t="s">
        <v>1527</v>
      </c>
      <c r="S32" s="2122">
        <f t="shared" si="12"/>
        <v>100</v>
      </c>
      <c r="T32" s="2121" t="s">
        <v>1527</v>
      </c>
      <c r="U32" s="2122">
        <f t="shared" si="13"/>
        <v>100</v>
      </c>
      <c r="V32" s="2121" t="s">
        <v>1527</v>
      </c>
      <c r="W32" s="2122">
        <f t="shared" si="14"/>
        <v>100</v>
      </c>
      <c r="X32" s="1396"/>
      <c r="Y32" s="1526" t="s">
        <v>1562</v>
      </c>
      <c r="Z32" s="1491" t="str">
        <f t="shared" si="18"/>
        <v>建筑类型</v>
      </c>
      <c r="AA32" s="1491">
        <f t="shared" si="15"/>
        <v>1</v>
      </c>
      <c r="AB32" s="1491">
        <f t="shared" si="16"/>
        <v>1</v>
      </c>
      <c r="AC32" s="1491">
        <f t="shared" si="17"/>
        <v>1</v>
      </c>
    </row>
    <row r="33" s="1354" customFormat="1" ht="15" spans="1:29">
      <c r="A33" s="1745"/>
      <c r="B33" s="1453" t="s">
        <v>1563</v>
      </c>
      <c r="C33" s="2191"/>
      <c r="D33" s="1455">
        <v>100</v>
      </c>
      <c r="E33" s="2174"/>
      <c r="F33" s="2175" t="e">
        <f>LOOKUP(E33,103:103,104:104)-LOOKUP(C33,103:103,104:104)+100</f>
        <v>#N/A</v>
      </c>
      <c r="G33" s="2173"/>
      <c r="H33" s="1456" t="e">
        <f>LOOKUP(G33,103:103,104:104)-LOOKUP(C33,103:103,104:104)+100</f>
        <v>#N/A</v>
      </c>
      <c r="I33" s="2174"/>
      <c r="J33" s="1456" t="e">
        <f>LOOKUP(I33,103:103,104:104)-LOOKUP(C33,103:103,104:104)+100</f>
        <v>#N/A</v>
      </c>
      <c r="K33" s="2177"/>
      <c r="L33" s="1465"/>
      <c r="M33" s="1532"/>
      <c r="N33" s="1532"/>
      <c r="O33" s="1532"/>
      <c r="P33" s="2133"/>
      <c r="Q33" s="2072" t="str">
        <f t="shared" si="11"/>
        <v>项目建筑规模</v>
      </c>
      <c r="R33" s="2134" t="s">
        <v>1527</v>
      </c>
      <c r="S33" s="2135" t="e">
        <f t="shared" si="12"/>
        <v>#N/A</v>
      </c>
      <c r="T33" s="2134" t="s">
        <v>1527</v>
      </c>
      <c r="U33" s="2135" t="e">
        <f t="shared" si="13"/>
        <v>#N/A</v>
      </c>
      <c r="V33" s="2134" t="s">
        <v>1527</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1564</v>
      </c>
      <c r="C34" s="2182"/>
      <c r="D34" s="1473">
        <v>100</v>
      </c>
      <c r="E34" s="2192"/>
      <c r="F34" s="2190">
        <f>SUMIF(105:105,E34,106:106)-SUMIF(105:105,C34,106:106)+100</f>
        <v>100</v>
      </c>
      <c r="G34" s="2182"/>
      <c r="H34" s="1474">
        <f>SUMIF(105:105,G34,106:106)-SUMIF(105:105,C34,106:106)+100</f>
        <v>100</v>
      </c>
      <c r="I34" s="2192"/>
      <c r="J34" s="1474">
        <f>SUMIF(105:105,I34,106:106)-SUMIF(105:105,C34,106:106)+100</f>
        <v>100</v>
      </c>
      <c r="K34" s="2176"/>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8"/>
        <v>建筑结构</v>
      </c>
      <c r="AA34" s="1491">
        <f t="shared" si="15"/>
        <v>1</v>
      </c>
      <c r="AB34" s="1491">
        <f t="shared" si="16"/>
        <v>1</v>
      </c>
      <c r="AC34" s="1491">
        <f t="shared" si="17"/>
        <v>1</v>
      </c>
    </row>
    <row r="35" ht="15" spans="1:29">
      <c r="A35" s="1754"/>
      <c r="B35" s="1453" t="s">
        <v>1922</v>
      </c>
      <c r="C35" s="1545"/>
      <c r="D35" s="1473">
        <v>100</v>
      </c>
      <c r="E35" s="2183"/>
      <c r="F35" s="2190">
        <f>SUMIF(107:107,E35,108:108)-SUMIF(107:107,C35,108:108)+100</f>
        <v>100</v>
      </c>
      <c r="G35" s="1545"/>
      <c r="H35" s="1474">
        <f>SUMIF(107:107,G35,108:108)-SUMIF(107:107,C35,108:108)+100</f>
        <v>100</v>
      </c>
      <c r="I35" s="2183"/>
      <c r="J35" s="1474">
        <f>SUMIF(107:107,I35,108:108)-SUMIF(107:107,C35,108:108)+100</f>
        <v>100</v>
      </c>
      <c r="K35" s="2176"/>
      <c r="L35" s="1475"/>
      <c r="M35" s="1391"/>
      <c r="N35" s="1391"/>
      <c r="O35" s="1391"/>
      <c r="P35" s="2133"/>
      <c r="Q35" s="1051" t="str">
        <f t="shared" si="11"/>
        <v>建筑品质</v>
      </c>
      <c r="R35" s="2121" t="s">
        <v>1527</v>
      </c>
      <c r="S35" s="2122">
        <f t="shared" si="12"/>
        <v>100</v>
      </c>
      <c r="T35" s="2121" t="s">
        <v>1527</v>
      </c>
      <c r="U35" s="2122">
        <f t="shared" si="13"/>
        <v>100</v>
      </c>
      <c r="V35" s="2121" t="s">
        <v>1527</v>
      </c>
      <c r="W35" s="2122">
        <f t="shared" si="14"/>
        <v>100</v>
      </c>
      <c r="X35" s="1396"/>
      <c r="Y35" s="1526"/>
      <c r="Z35" s="1491" t="str">
        <f t="shared" si="18"/>
        <v>建筑品质</v>
      </c>
      <c r="AA35" s="1491">
        <f t="shared" si="15"/>
        <v>1</v>
      </c>
      <c r="AB35" s="1491">
        <f t="shared" si="16"/>
        <v>1</v>
      </c>
      <c r="AC35" s="1491">
        <f t="shared" si="17"/>
        <v>1</v>
      </c>
    </row>
    <row r="36" ht="15" spans="1:29">
      <c r="A36" s="1754"/>
      <c r="B36" s="1453" t="s">
        <v>1566</v>
      </c>
      <c r="C36" s="1545"/>
      <c r="D36" s="1473">
        <v>100</v>
      </c>
      <c r="E36" s="2183"/>
      <c r="F36" s="2190">
        <f>SUMIF(109:109,E36,110:110)-SUMIF(109:109,C36,110:110)+100</f>
        <v>100</v>
      </c>
      <c r="G36" s="1545"/>
      <c r="H36" s="1474">
        <f>SUMIF(109:109,G36,110:110)-SUMIF(109:109,C36,110:110)+100</f>
        <v>100</v>
      </c>
      <c r="I36" s="2183"/>
      <c r="J36" s="1474">
        <f>SUMIF(109:109,I36,110:110)-SUMIF(109:109,C36,110:110)+100</f>
        <v>100</v>
      </c>
      <c r="K36" s="2176"/>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93"/>
      <c r="D37" s="1455">
        <v>100</v>
      </c>
      <c r="E37" s="2193"/>
      <c r="F37" s="2175" t="e">
        <f>LOOKUP(E37,112:112,113:113)-LOOKUP(C37,112:112,113:113)+100</f>
        <v>#N/A</v>
      </c>
      <c r="G37" s="2194"/>
      <c r="H37" s="1456" t="e">
        <f>LOOKUP(G37,112:112,113:113)-LOOKUP(C37,112:112,113:113)+100</f>
        <v>#N/A</v>
      </c>
      <c r="I37" s="2195"/>
      <c r="J37" s="1456" t="e">
        <f>LOOKUP(I37,112:112,113:113)-LOOKUP(C37,112:112,113:113)+100</f>
        <v>#N/A</v>
      </c>
      <c r="K37" s="2176"/>
      <c r="L37" s="1434"/>
      <c r="M37" s="1435"/>
      <c r="N37" s="1435"/>
      <c r="O37" s="1435"/>
      <c r="P37" s="2133"/>
      <c r="Q37" s="1205" t="str">
        <f t="shared" si="11"/>
        <v>成新度</v>
      </c>
      <c r="R37" s="2115" t="s">
        <v>1527</v>
      </c>
      <c r="S37" s="2116" t="e">
        <f t="shared" si="12"/>
        <v>#N/A</v>
      </c>
      <c r="T37" s="2115" t="s">
        <v>1527</v>
      </c>
      <c r="U37" s="2116" t="e">
        <f t="shared" si="13"/>
        <v>#N/A</v>
      </c>
      <c r="V37" s="2115" t="s">
        <v>1527</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1923</v>
      </c>
      <c r="C38" s="1545"/>
      <c r="D38" s="1473">
        <v>100</v>
      </c>
      <c r="E38" s="2183"/>
      <c r="F38" s="2190">
        <f>SUMIF(114:114,E38,115:115)-SUMIF(114:114,C38,115:115)+100</f>
        <v>100</v>
      </c>
      <c r="G38" s="1545"/>
      <c r="H38" s="1474">
        <f>SUMIF(114:114,G38,115:115)-SUMIF(114:114,C38,115:115)+100</f>
        <v>100</v>
      </c>
      <c r="I38" s="2183"/>
      <c r="J38" s="1474">
        <f>SUMIF(114:114,I38,115:115)-SUMIF(114:114,C38,115:115)+100</f>
        <v>100</v>
      </c>
      <c r="K38" s="2176"/>
      <c r="L38" s="1475"/>
      <c r="M38" s="1391"/>
      <c r="N38" s="1391"/>
      <c r="O38" s="1391"/>
      <c r="P38" s="2133" t="s">
        <v>1562</v>
      </c>
      <c r="Q38" s="1051" t="str">
        <f t="shared" si="11"/>
        <v>物业管理</v>
      </c>
      <c r="R38" s="2121" t="s">
        <v>1527</v>
      </c>
      <c r="S38" s="2122">
        <f t="shared" si="12"/>
        <v>100</v>
      </c>
      <c r="T38" s="2121" t="s">
        <v>1527</v>
      </c>
      <c r="U38" s="2122">
        <f t="shared" si="13"/>
        <v>100</v>
      </c>
      <c r="V38" s="2121" t="s">
        <v>1527</v>
      </c>
      <c r="W38" s="2122">
        <f t="shared" si="14"/>
        <v>100</v>
      </c>
      <c r="X38" s="1396"/>
      <c r="Y38" s="1526" t="s">
        <v>1562</v>
      </c>
      <c r="Z38" s="1491" t="str">
        <f t="shared" si="18"/>
        <v>物业管理</v>
      </c>
      <c r="AA38" s="1491">
        <f t="shared" si="15"/>
        <v>1</v>
      </c>
      <c r="AB38" s="1491">
        <f t="shared" si="16"/>
        <v>1</v>
      </c>
      <c r="AC38" s="1491">
        <f t="shared" si="17"/>
        <v>1</v>
      </c>
    </row>
    <row r="39" ht="15" spans="1:29">
      <c r="A39" s="1754"/>
      <c r="B39" s="1453" t="s">
        <v>1567</v>
      </c>
      <c r="C39" s="1545"/>
      <c r="D39" s="1473">
        <v>100</v>
      </c>
      <c r="E39" s="2183"/>
      <c r="F39" s="2190">
        <f>SUMIF(116:116,E39,117:117)-SUMIF(116:116,C39,117:117)+100</f>
        <v>100</v>
      </c>
      <c r="G39" s="1545"/>
      <c r="H39" s="1474">
        <f>SUMIF(116:116,G39,117:117)-SUMIF(116:116,C39,117:117)+100</f>
        <v>100</v>
      </c>
      <c r="I39" s="2183"/>
      <c r="J39" s="1474">
        <f>SUMIF(116:116,I39,117:117)-SUMIF(116:116,C39,117:117)+100</f>
        <v>100</v>
      </c>
      <c r="K39" s="2176"/>
      <c r="L39" s="1475"/>
      <c r="M39" s="1391"/>
      <c r="N39" s="1391"/>
      <c r="O39" s="1391"/>
      <c r="P39" s="2133"/>
      <c r="Q39" s="1051" t="str">
        <f t="shared" si="11"/>
        <v>市政基础设施</v>
      </c>
      <c r="R39" s="2121" t="s">
        <v>1527</v>
      </c>
      <c r="S39" s="2122">
        <f t="shared" si="12"/>
        <v>100</v>
      </c>
      <c r="T39" s="2121" t="s">
        <v>1527</v>
      </c>
      <c r="U39" s="2122">
        <f t="shared" si="13"/>
        <v>100</v>
      </c>
      <c r="V39" s="2121" t="s">
        <v>1527</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1924</v>
      </c>
      <c r="C40" s="1545"/>
      <c r="D40" s="1473">
        <v>100</v>
      </c>
      <c r="E40" s="2183"/>
      <c r="F40" s="2190">
        <f>SUMIF(118:118,E40,119:119)-SUMIF(118:118,C40,119:119)+100</f>
        <v>100</v>
      </c>
      <c r="G40" s="1545"/>
      <c r="H40" s="1474">
        <f>SUMIF(118:118,G40,119:119)-SUMIF(118:118,C40,119:119)+100</f>
        <v>100</v>
      </c>
      <c r="I40" s="2183"/>
      <c r="J40" s="1474">
        <f>SUMIF(118:118,I40,119:119)-SUMIF(118:118,C40,119:119)+100</f>
        <v>100</v>
      </c>
      <c r="K40" s="2176"/>
      <c r="L40" s="1475"/>
      <c r="M40" s="1391"/>
      <c r="N40" s="1391"/>
      <c r="O40" s="1391"/>
      <c r="P40" s="2133"/>
      <c r="Q40" s="1051" t="str">
        <f t="shared" si="11"/>
        <v>房型</v>
      </c>
      <c r="R40" s="2121" t="s">
        <v>1527</v>
      </c>
      <c r="S40" s="2122">
        <f t="shared" si="12"/>
        <v>100</v>
      </c>
      <c r="T40" s="2121" t="s">
        <v>1527</v>
      </c>
      <c r="U40" s="2122">
        <f t="shared" si="13"/>
        <v>100</v>
      </c>
      <c r="V40" s="2121" t="s">
        <v>1527</v>
      </c>
      <c r="W40" s="2122">
        <f t="shared" si="14"/>
        <v>100</v>
      </c>
      <c r="X40" s="1396"/>
      <c r="Y40" s="1526"/>
      <c r="Z40" s="1491" t="str">
        <f t="shared" si="18"/>
        <v>房型</v>
      </c>
      <c r="AA40" s="1491">
        <f t="shared" si="15"/>
        <v>1</v>
      </c>
      <c r="AB40" s="1491">
        <f t="shared" si="16"/>
        <v>1</v>
      </c>
      <c r="AC40" s="1491">
        <f t="shared" si="17"/>
        <v>1</v>
      </c>
    </row>
    <row r="41" s="1354" customFormat="1" ht="27.75" spans="1:29">
      <c r="A41" s="1745"/>
      <c r="B41" s="1453" t="s">
        <v>1925</v>
      </c>
      <c r="C41" s="2191"/>
      <c r="D41" s="1455">
        <v>100</v>
      </c>
      <c r="E41" s="2174"/>
      <c r="F41" s="2175">
        <f>SUMIF(120:120,E41,121:121)-SUMIF(120:120,C41,121:121)+100</f>
        <v>100</v>
      </c>
      <c r="G41" s="2173"/>
      <c r="H41" s="1456">
        <f>SUMIF(120:120,G41,121:121)-SUMIF(120:120,C41,121:121)+100</f>
        <v>100</v>
      </c>
      <c r="I41" s="2196"/>
      <c r="J41" s="1474">
        <f>SUMIF(120:120,I41,121:121)-SUMIF(120:120,C41,121:121)+100</f>
        <v>100</v>
      </c>
      <c r="K41" s="2177"/>
      <c r="L41" s="1465"/>
      <c r="M41" s="1532"/>
      <c r="N41" s="1532"/>
      <c r="O41" s="1532"/>
      <c r="P41" s="2133"/>
      <c r="Q41" s="2072" t="str">
        <f t="shared" si="11"/>
        <v>单套/主力户型建筑面积</v>
      </c>
      <c r="R41" s="2134" t="s">
        <v>1527</v>
      </c>
      <c r="S41" s="2135">
        <f t="shared" si="12"/>
        <v>100</v>
      </c>
      <c r="T41" s="2134" t="s">
        <v>1527</v>
      </c>
      <c r="U41" s="2135">
        <f t="shared" si="13"/>
        <v>100</v>
      </c>
      <c r="V41" s="2134" t="s">
        <v>1527</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1575</v>
      </c>
      <c r="C42" s="1545"/>
      <c r="D42" s="1473">
        <v>100</v>
      </c>
      <c r="E42" s="2183"/>
      <c r="F42" s="2190">
        <f>SUMIF(122:122,E42,123:123)-SUMIF(122:122,C42,123:123)+100</f>
        <v>100</v>
      </c>
      <c r="G42" s="1545"/>
      <c r="H42" s="1474">
        <f>SUMIF(122:122,G42,123:123)-SUMIF(122:122,C42,123:123)+100</f>
        <v>100</v>
      </c>
      <c r="I42" s="2183"/>
      <c r="J42" s="1474">
        <f>SUMIF(122:122,I42,123:123)-SUMIF(122:122,C42,123:123)+100</f>
        <v>100</v>
      </c>
      <c r="K42" s="2176"/>
      <c r="L42" s="1475"/>
      <c r="M42" s="1391"/>
      <c r="N42" s="1391"/>
      <c r="O42" s="1391"/>
      <c r="P42" s="2133"/>
      <c r="Q42" s="1051" t="str">
        <f t="shared" si="11"/>
        <v>内部装修</v>
      </c>
      <c r="R42" s="2121" t="s">
        <v>1527</v>
      </c>
      <c r="S42" s="2122">
        <f t="shared" si="12"/>
        <v>100</v>
      </c>
      <c r="T42" s="2121" t="s">
        <v>1527</v>
      </c>
      <c r="U42" s="2122">
        <f t="shared" si="13"/>
        <v>100</v>
      </c>
      <c r="V42" s="2121" t="s">
        <v>1527</v>
      </c>
      <c r="W42" s="2122">
        <f t="shared" si="14"/>
        <v>100</v>
      </c>
      <c r="X42" s="1396"/>
      <c r="Y42" s="1526"/>
      <c r="Z42" s="1491" t="str">
        <f t="shared" si="18"/>
        <v>内部装修</v>
      </c>
      <c r="AA42" s="1491">
        <f t="shared" si="15"/>
        <v>1</v>
      </c>
      <c r="AB42" s="1491">
        <f t="shared" si="16"/>
        <v>1</v>
      </c>
      <c r="AC42" s="1491">
        <f t="shared" si="17"/>
        <v>1</v>
      </c>
    </row>
    <row r="43" ht="15" spans="1:29">
      <c r="A43" s="1754"/>
      <c r="B43" s="1453" t="s">
        <v>1581</v>
      </c>
      <c r="C43" s="1545"/>
      <c r="D43" s="1473">
        <v>100</v>
      </c>
      <c r="E43" s="2183"/>
      <c r="F43" s="2190">
        <f>SUMIF(124:124,E43,125:125)-SUMIF(124:124,C43,125:125)+100</f>
        <v>100</v>
      </c>
      <c r="G43" s="1545"/>
      <c r="H43" s="1474">
        <f>SUMIF(124:124,G43,125:125)-SUMIF(124:124,C43,125:125)+100</f>
        <v>100</v>
      </c>
      <c r="I43" s="2183"/>
      <c r="J43" s="1474">
        <f>SUMIF(124:124,I43,125:125)-SUMIF(124:124,C43,125:125)+100</f>
        <v>100</v>
      </c>
      <c r="K43" s="2176"/>
      <c r="L43" s="1475"/>
      <c r="M43" s="1391"/>
      <c r="N43" s="1391"/>
      <c r="O43" s="1391"/>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7"/>
      <c r="D44" s="1455">
        <v>100</v>
      </c>
      <c r="E44" s="2197"/>
      <c r="F44" s="2175">
        <f>SUMIF(126:126,E44,127:127)-SUMIF(126:126,C44,127:127)+100</f>
        <v>100</v>
      </c>
      <c r="G44" s="2197"/>
      <c r="H44" s="1456">
        <f>SUMIF(126:126,G44,127:127)-SUMIF(126:126,C44,127:127)+100</f>
        <v>100</v>
      </c>
      <c r="I44" s="2197"/>
      <c r="J44" s="1456">
        <f>SUMIF(126:126,I44,127:127)-SUMIF(126:126,C44,127:127)+100</f>
        <v>100</v>
      </c>
      <c r="K44" s="2177"/>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2177"/>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177"/>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8"/>
        <v>111</v>
      </c>
      <c r="AA46" s="1491">
        <f t="shared" si="15"/>
        <v>1</v>
      </c>
      <c r="AB46" s="1491">
        <f t="shared" si="16"/>
        <v>1</v>
      </c>
      <c r="AC46" s="1491">
        <f t="shared" si="17"/>
        <v>1</v>
      </c>
    </row>
    <row r="47" ht="15" spans="1:29">
      <c r="A47" s="1552" t="s">
        <v>1583</v>
      </c>
      <c r="B47" s="1967"/>
      <c r="C47" s="1968" t="s">
        <v>124</v>
      </c>
      <c r="D47" s="1798"/>
      <c r="E47" s="1556"/>
      <c r="F47" s="2198"/>
      <c r="G47" s="1558"/>
      <c r="H47" s="2199"/>
      <c r="I47" s="1556"/>
      <c r="J47" s="2199"/>
      <c r="K47" s="220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1584</v>
      </c>
      <c r="B48" s="1969"/>
      <c r="C48" s="1571" t="e">
        <f>R49</f>
        <v>#DIV/0!</v>
      </c>
      <c r="D48" s="1799" t="s">
        <v>1585</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1586</v>
      </c>
      <c r="B49" s="1574"/>
      <c r="C49" s="2201" t="e">
        <f>R49</f>
        <v>#DIV/0!</v>
      </c>
      <c r="D49" s="1768"/>
      <c r="E49" s="1768"/>
      <c r="F49" s="1768"/>
      <c r="G49" s="1768"/>
      <c r="H49" s="1768"/>
      <c r="I49" s="1768"/>
      <c r="J49" s="1768"/>
      <c r="K49" s="220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1587</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1588</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1589</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3"/>
    </row>
    <row r="55" s="1355" customFormat="1" spans="1:29">
      <c r="A55" s="1586"/>
      <c r="B55" s="1589"/>
      <c r="C55" s="1973"/>
      <c r="D55" s="1586"/>
      <c r="E55" s="1586"/>
      <c r="F55" s="1586"/>
      <c r="G55" s="1586"/>
      <c r="H55" s="1586"/>
      <c r="I55" s="1586"/>
      <c r="J55" s="1586"/>
      <c r="K55" s="1587"/>
      <c r="L55" s="1588"/>
      <c r="M55" s="1586"/>
      <c r="N55" s="1586"/>
      <c r="O55" s="1586"/>
      <c r="P55" s="2203"/>
    </row>
    <row r="56" spans="1:29">
      <c r="A56" s="1562"/>
      <c r="B56" s="1589"/>
      <c r="C56" s="1973"/>
      <c r="D56" s="1562"/>
      <c r="E56" s="1562"/>
      <c r="F56" s="1562"/>
      <c r="G56" s="1562"/>
      <c r="H56" s="1562"/>
      <c r="I56" s="1562"/>
      <c r="J56" s="1562"/>
      <c r="K56" s="1582"/>
      <c r="L56" s="1583"/>
      <c r="M56" s="1562"/>
      <c r="N56" s="1562"/>
      <c r="O56" s="1562"/>
    </row>
    <row r="57" ht="21" spans="1:29">
      <c r="A57" s="1633" t="s">
        <v>1590</v>
      </c>
      <c r="B57" s="1564"/>
      <c r="C57" s="1634"/>
      <c r="D57" s="1634"/>
      <c r="E57" s="1634"/>
      <c r="F57" s="1635"/>
      <c r="G57" s="1635"/>
      <c r="H57" s="1634"/>
      <c r="I57" s="1634"/>
      <c r="J57" s="1634"/>
      <c r="K57" s="2029"/>
      <c r="L57" s="1826"/>
      <c r="M57" s="1638"/>
      <c r="N57" s="1638"/>
      <c r="O57" s="1638"/>
      <c r="P57" s="2204"/>
      <c r="Q57" s="2205"/>
    </row>
    <row r="58" s="1357" customFormat="1" ht="15" spans="1:29">
      <c r="A58" s="1974" t="s">
        <v>1525</v>
      </c>
      <c r="B58" s="1975"/>
      <c r="C58" s="220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207"/>
    </row>
    <row r="59" s="1352" customFormat="1" ht="15" spans="1:29">
      <c r="A59" s="1978"/>
      <c r="B59" s="2208"/>
      <c r="C59" s="1979">
        <v>100</v>
      </c>
      <c r="D59" s="2143"/>
      <c r="E59" s="1667"/>
      <c r="F59" s="1667"/>
      <c r="G59" s="1667"/>
      <c r="H59" s="1667"/>
      <c r="I59" s="1667"/>
      <c r="J59" s="1667"/>
      <c r="K59" s="1667"/>
      <c r="L59" s="1667"/>
      <c r="M59" s="1907"/>
      <c r="N59" s="1667"/>
      <c r="O59" s="1907"/>
      <c r="P59" s="2209"/>
    </row>
    <row r="60" s="1352" customFormat="1" ht="15.75" spans="1:29">
      <c r="A60" s="1652" t="s">
        <v>1591</v>
      </c>
      <c r="B60" s="1653"/>
      <c r="C60" s="1654"/>
      <c r="D60" s="1655"/>
      <c r="E60" s="1655"/>
      <c r="F60" s="1655"/>
      <c r="G60" s="1655"/>
      <c r="H60" s="1655"/>
      <c r="I60" s="1655"/>
      <c r="J60" s="1655"/>
      <c r="K60" s="1655"/>
      <c r="L60" s="1655"/>
      <c r="M60" s="1656"/>
      <c r="N60" s="1655"/>
      <c r="O60" s="1656"/>
      <c r="P60" s="2209"/>
      <c r="Q60" s="2205"/>
    </row>
    <row r="61" s="1352" customFormat="1" ht="15" spans="1:29">
      <c r="A61" s="1658" t="s">
        <v>1528</v>
      </c>
      <c r="B61" s="1659"/>
      <c r="C61" s="1660" t="s">
        <v>1592</v>
      </c>
      <c r="D61" s="1661"/>
      <c r="E61" s="1661"/>
      <c r="F61" s="1661"/>
      <c r="G61" s="1661"/>
      <c r="H61" s="1661"/>
      <c r="I61" s="1661"/>
      <c r="J61" s="1661"/>
      <c r="K61" s="1661"/>
      <c r="L61" s="1662"/>
      <c r="M61" s="1663"/>
      <c r="N61" s="2088"/>
      <c r="O61" s="2088"/>
      <c r="P61" s="2210"/>
      <c r="Q61" s="2205"/>
    </row>
    <row r="62" s="1352" customFormat="1" ht="15.75" spans="1:29">
      <c r="A62" s="1658"/>
      <c r="B62" s="1659"/>
      <c r="C62" s="2143">
        <v>100</v>
      </c>
      <c r="D62" s="1667"/>
      <c r="E62" s="1667"/>
      <c r="F62" s="1667"/>
      <c r="G62" s="1667"/>
      <c r="H62" s="1667"/>
      <c r="I62" s="1667"/>
      <c r="J62" s="1667"/>
      <c r="K62" s="1667"/>
      <c r="L62" s="1667"/>
      <c r="M62" s="1668"/>
      <c r="N62" s="2088"/>
      <c r="O62" s="2088"/>
      <c r="P62" s="2209"/>
      <c r="Q62" s="2205"/>
    </row>
    <row r="63" spans="1:29">
      <c r="A63" s="1669" t="s">
        <v>1593</v>
      </c>
      <c r="B63" s="1670" t="s">
        <v>1533</v>
      </c>
      <c r="C63" s="1599">
        <f>C9</f>
        <v>0</v>
      </c>
      <c r="D63" s="1671"/>
      <c r="E63" s="1671"/>
      <c r="F63" s="1671"/>
      <c r="G63" s="1671"/>
      <c r="H63" s="1671"/>
      <c r="I63" s="1671"/>
      <c r="J63" s="1671"/>
      <c r="K63" s="1672"/>
      <c r="L63" s="1673"/>
      <c r="M63" s="1674"/>
      <c r="N63" s="2090"/>
      <c r="O63" s="2090"/>
      <c r="P63" s="2211"/>
      <c r="Q63" s="2205"/>
    </row>
    <row r="64" ht="15.75" spans="1:29">
      <c r="A64" s="1676"/>
      <c r="B64" s="1677"/>
      <c r="C64" s="1678">
        <v>100</v>
      </c>
      <c r="D64" s="1678"/>
      <c r="E64" s="1678"/>
      <c r="F64" s="1678"/>
      <c r="G64" s="1678"/>
      <c r="H64" s="1678"/>
      <c r="I64" s="1678"/>
      <c r="J64" s="1678"/>
      <c r="K64" s="1678"/>
      <c r="L64" s="1678"/>
      <c r="M64" s="1679"/>
      <c r="N64" s="2092"/>
      <c r="O64" s="2092"/>
      <c r="P64" s="2211"/>
      <c r="Q64" s="2205"/>
    </row>
    <row r="65" ht="27.75" spans="1:17">
      <c r="A65" s="1676"/>
      <c r="B65" s="1681" t="s">
        <v>1536</v>
      </c>
      <c r="C65" s="1734"/>
      <c r="D65" s="1734"/>
      <c r="E65" s="1734"/>
      <c r="F65" s="1734"/>
      <c r="G65" s="1734"/>
      <c r="H65" s="1734"/>
      <c r="I65" s="1734"/>
      <c r="J65" s="1734"/>
      <c r="K65" s="1734"/>
      <c r="L65" s="1734"/>
      <c r="M65" s="1734"/>
      <c r="N65" s="2092"/>
      <c r="O65" s="2092"/>
      <c r="P65" s="2211"/>
      <c r="Q65" s="2205"/>
    </row>
    <row r="66" ht="15.75" spans="1:17">
      <c r="A66" s="1676"/>
      <c r="B66" s="1686" t="s">
        <v>1596</v>
      </c>
      <c r="C66" s="1678"/>
      <c r="D66" s="1678"/>
      <c r="E66" s="1678"/>
      <c r="F66" s="1678"/>
      <c r="G66" s="1678"/>
      <c r="H66" s="1678"/>
      <c r="I66" s="1678"/>
      <c r="J66" s="1678"/>
      <c r="K66" s="1678"/>
      <c r="L66" s="1678"/>
      <c r="M66" s="1679"/>
      <c r="N66" s="2092"/>
      <c r="O66" s="2092"/>
      <c r="P66" s="2211"/>
      <c r="Q66" s="2205"/>
    </row>
    <row r="67" ht="15.75" spans="1:17">
      <c r="A67" s="1676"/>
      <c r="B67" s="1689" t="s">
        <v>1539</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11"/>
      <c r="Q67" s="2205"/>
    </row>
    <row r="68" ht="15" spans="1:17">
      <c r="A68" s="1676"/>
      <c r="B68" s="1692"/>
      <c r="C68" s="1693">
        <v>0</v>
      </c>
      <c r="D68" s="1693">
        <v>0.5</v>
      </c>
      <c r="E68" s="1693">
        <v>1</v>
      </c>
      <c r="F68" s="1693">
        <v>1.5</v>
      </c>
      <c r="G68" s="1693">
        <v>2</v>
      </c>
      <c r="H68" s="1693"/>
      <c r="I68" s="1693"/>
      <c r="J68" s="1693"/>
      <c r="K68" s="1694"/>
      <c r="L68" s="1695"/>
      <c r="M68" s="1696"/>
      <c r="N68" s="2090"/>
      <c r="O68" s="2090"/>
      <c r="P68" s="2211"/>
      <c r="Q68" s="220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11"/>
      <c r="Q69" s="2205"/>
    </row>
    <row r="70" s="1354" customFormat="1" ht="15.75" spans="1:17">
      <c r="A70" s="1697"/>
      <c r="B70" s="1681">
        <f>B12</f>
        <v>111</v>
      </c>
      <c r="C70" s="1698"/>
      <c r="D70" s="1698"/>
      <c r="E70" s="1698"/>
      <c r="F70" s="1698"/>
      <c r="G70" s="1698"/>
      <c r="H70" s="1699"/>
      <c r="I70" s="1699"/>
      <c r="J70" s="1699"/>
      <c r="K70" s="1699"/>
      <c r="L70" s="1700"/>
      <c r="M70" s="1701"/>
      <c r="N70" s="2093"/>
      <c r="O70" s="2093"/>
      <c r="P70" s="2212"/>
      <c r="Q70" s="2213"/>
    </row>
    <row r="71" s="1354" customFormat="1" ht="15.75" spans="1:17">
      <c r="A71" s="1697"/>
      <c r="B71" s="1686"/>
      <c r="C71" s="1705"/>
      <c r="D71" s="1678"/>
      <c r="E71" s="1678"/>
      <c r="F71" s="1678"/>
      <c r="G71" s="1678"/>
      <c r="H71" s="1678"/>
      <c r="I71" s="1678"/>
      <c r="J71" s="1678"/>
      <c r="K71" s="1678"/>
      <c r="L71" s="1678"/>
      <c r="M71" s="1679"/>
      <c r="N71" s="2092"/>
      <c r="O71" s="2092"/>
      <c r="P71" s="2212"/>
      <c r="Q71" s="2213"/>
    </row>
    <row r="72" s="1354" customFormat="1" ht="15.75" spans="1:17">
      <c r="A72" s="1697"/>
      <c r="B72" s="1681">
        <f>B13</f>
        <v>111</v>
      </c>
      <c r="C72" s="1698"/>
      <c r="D72" s="1698"/>
      <c r="E72" s="1698"/>
      <c r="F72" s="1698"/>
      <c r="G72" s="1698"/>
      <c r="H72" s="1699"/>
      <c r="I72" s="1699"/>
      <c r="J72" s="1699"/>
      <c r="K72" s="1699"/>
      <c r="L72" s="1700"/>
      <c r="M72" s="1701"/>
      <c r="N72" s="2093"/>
      <c r="O72" s="2093"/>
      <c r="P72" s="2214"/>
      <c r="Q72" s="2215"/>
    </row>
    <row r="73" s="1354" customFormat="1" ht="15.75" spans="1:17">
      <c r="A73" s="1697"/>
      <c r="B73" s="1686"/>
      <c r="C73" s="1705"/>
      <c r="D73" s="1705"/>
      <c r="E73" s="1705"/>
      <c r="F73" s="1705"/>
      <c r="G73" s="1705"/>
      <c r="H73" s="1707"/>
      <c r="I73" s="1707"/>
      <c r="J73" s="1707"/>
      <c r="K73" s="1707"/>
      <c r="L73" s="1707"/>
      <c r="M73" s="1708"/>
      <c r="N73" s="2093"/>
      <c r="O73" s="2093"/>
      <c r="P73" s="2212"/>
      <c r="Q73" s="2213"/>
    </row>
    <row r="74" s="1354" customFormat="1" ht="15.75" spans="1:17">
      <c r="A74" s="1697"/>
      <c r="B74" s="1689">
        <f>B14</f>
        <v>111</v>
      </c>
      <c r="C74" s="1698"/>
      <c r="D74" s="1698"/>
      <c r="E74" s="1698"/>
      <c r="F74" s="1698"/>
      <c r="G74" s="1661"/>
      <c r="H74" s="1709"/>
      <c r="I74" s="1709"/>
      <c r="J74" s="1709"/>
      <c r="K74" s="1709"/>
      <c r="L74" s="1710"/>
      <c r="M74" s="1711"/>
      <c r="N74" s="2093"/>
      <c r="O74" s="2093"/>
      <c r="P74" s="2216"/>
      <c r="Q74" s="2213"/>
    </row>
    <row r="75" s="1354" customFormat="1" ht="15.75" spans="1:17">
      <c r="A75" s="1713"/>
      <c r="B75" s="1714"/>
      <c r="C75" s="1715"/>
      <c r="D75" s="1715"/>
      <c r="E75" s="1715"/>
      <c r="F75" s="1715"/>
      <c r="G75" s="1715"/>
      <c r="H75" s="1716"/>
      <c r="I75" s="1716"/>
      <c r="J75" s="1716"/>
      <c r="K75" s="1716"/>
      <c r="L75" s="1716"/>
      <c r="M75" s="1717"/>
      <c r="N75" s="2093"/>
      <c r="O75" s="2093"/>
      <c r="P75" s="2212"/>
      <c r="Q75" s="2213"/>
    </row>
    <row r="76" spans="1:17">
      <c r="A76" s="1669" t="s">
        <v>1540</v>
      </c>
      <c r="B76" s="1670" t="s">
        <v>1597</v>
      </c>
      <c r="C76" s="1718" t="s">
        <v>1598</v>
      </c>
      <c r="D76" s="1718" t="s">
        <v>1599</v>
      </c>
      <c r="E76" s="1718" t="s">
        <v>1600</v>
      </c>
      <c r="F76" s="1718" t="s">
        <v>1601</v>
      </c>
      <c r="G76" s="1718" t="s">
        <v>1602</v>
      </c>
      <c r="H76" s="1599"/>
      <c r="I76" s="1599"/>
      <c r="J76" s="1599"/>
      <c r="K76" s="1719"/>
      <c r="L76" s="1720"/>
      <c r="M76" s="1721"/>
      <c r="N76" s="2090"/>
      <c r="O76" s="2090"/>
      <c r="P76" s="2217"/>
      <c r="Q76" s="220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11"/>
      <c r="Q77" s="2205"/>
    </row>
    <row r="78" ht="15.75" spans="1:17">
      <c r="A78" s="1676"/>
      <c r="B78" s="1681" t="s">
        <v>1544</v>
      </c>
      <c r="C78" s="1723" t="s">
        <v>1598</v>
      </c>
      <c r="D78" s="1723" t="s">
        <v>1599</v>
      </c>
      <c r="E78" s="1723" t="s">
        <v>1600</v>
      </c>
      <c r="F78" s="1723" t="s">
        <v>1601</v>
      </c>
      <c r="G78" s="1723" t="s">
        <v>1602</v>
      </c>
      <c r="H78" s="1682"/>
      <c r="I78" s="1682"/>
      <c r="J78" s="1682"/>
      <c r="K78" s="1683"/>
      <c r="L78" s="1684"/>
      <c r="M78" s="1685"/>
      <c r="N78" s="2090"/>
      <c r="O78" s="2090"/>
      <c r="P78" s="2211"/>
      <c r="Q78" s="220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11"/>
      <c r="Q79" s="2205"/>
    </row>
    <row r="80" ht="15.75" spans="1:17">
      <c r="A80" s="1676"/>
      <c r="B80" s="1681" t="s">
        <v>1546</v>
      </c>
      <c r="C80" s="1723" t="s">
        <v>1598</v>
      </c>
      <c r="D80" s="1723" t="s">
        <v>1599</v>
      </c>
      <c r="E80" s="1723" t="s">
        <v>1600</v>
      </c>
      <c r="F80" s="1723" t="s">
        <v>1601</v>
      </c>
      <c r="G80" s="1723" t="s">
        <v>1602</v>
      </c>
      <c r="H80" s="1682"/>
      <c r="I80" s="1682"/>
      <c r="J80" s="1682"/>
      <c r="K80" s="1683"/>
      <c r="L80" s="1684"/>
      <c r="M80" s="1685"/>
      <c r="N80" s="2090"/>
      <c r="O80" s="2090"/>
      <c r="P80" s="2211"/>
      <c r="Q80" s="220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11"/>
      <c r="Q81" s="2205"/>
    </row>
    <row r="82" ht="15.75" spans="1:17">
      <c r="A82" s="1676"/>
      <c r="B82" s="1689" t="s">
        <v>1547</v>
      </c>
      <c r="C82" s="1682" t="s">
        <v>1603</v>
      </c>
      <c r="D82" s="1682" t="s">
        <v>1604</v>
      </c>
      <c r="E82" s="1682" t="s">
        <v>1605</v>
      </c>
      <c r="F82" s="1682" t="s">
        <v>1606</v>
      </c>
      <c r="G82" s="1682" t="s">
        <v>1607</v>
      </c>
      <c r="H82" s="1682"/>
      <c r="I82" s="1682"/>
      <c r="J82" s="1682"/>
      <c r="K82" s="1682"/>
      <c r="L82" s="1682"/>
      <c r="M82" s="1980"/>
      <c r="N82" s="2092"/>
      <c r="O82" s="2092"/>
      <c r="P82" s="2211"/>
      <c r="Q82" s="220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11"/>
      <c r="Q83" s="2205"/>
    </row>
    <row r="84" ht="15.75" spans="1:17">
      <c r="A84" s="1676"/>
      <c r="B84" s="1681" t="s">
        <v>1548</v>
      </c>
      <c r="C84" s="1723" t="s">
        <v>1598</v>
      </c>
      <c r="D84" s="1723" t="s">
        <v>1599</v>
      </c>
      <c r="E84" s="1723" t="s">
        <v>1600</v>
      </c>
      <c r="F84" s="1723" t="s">
        <v>1601</v>
      </c>
      <c r="G84" s="1723" t="s">
        <v>1602</v>
      </c>
      <c r="H84" s="1682"/>
      <c r="I84" s="1682"/>
      <c r="J84" s="1682"/>
      <c r="K84" s="1683"/>
      <c r="L84" s="1684"/>
      <c r="M84" s="1685"/>
      <c r="N84" s="2090"/>
      <c r="O84" s="2090"/>
      <c r="P84" s="2211"/>
      <c r="Q84" s="220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11"/>
      <c r="Q85" s="2205"/>
    </row>
    <row r="86" s="1352" customFormat="1" ht="15.75" spans="1:17">
      <c r="A86" s="1724"/>
      <c r="B86" s="1681" t="s">
        <v>1919</v>
      </c>
      <c r="C86" s="1698"/>
      <c r="D86" s="1698"/>
      <c r="E86" s="1698"/>
      <c r="F86" s="1698"/>
      <c r="G86" s="1698"/>
      <c r="H86" s="1698"/>
      <c r="I86" s="1698"/>
      <c r="J86" s="1698"/>
      <c r="K86" s="1698"/>
      <c r="L86" s="1981"/>
      <c r="M86" s="1982"/>
      <c r="N86" s="2088"/>
      <c r="O86" s="2088"/>
      <c r="P86" s="2211"/>
      <c r="Q86" s="220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11"/>
      <c r="Q87" s="2205"/>
    </row>
    <row r="88" s="1352" customFormat="1" ht="15.75" spans="1:17">
      <c r="A88" s="1724"/>
      <c r="B88" s="1681" t="s">
        <v>1920</v>
      </c>
      <c r="C88" s="1698"/>
      <c r="D88" s="1698"/>
      <c r="E88" s="1698"/>
      <c r="F88" s="2145"/>
      <c r="G88" s="1698"/>
      <c r="H88" s="1698"/>
      <c r="I88" s="1698"/>
      <c r="J88" s="1698"/>
      <c r="K88" s="1698"/>
      <c r="L88" s="1698"/>
      <c r="M88" s="1982"/>
      <c r="N88" s="2088"/>
      <c r="O88" s="2088"/>
      <c r="P88" s="2211"/>
      <c r="Q88" s="220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11"/>
      <c r="Q89" s="2205"/>
    </row>
    <row r="90" s="1354" customFormat="1" ht="15.75" spans="1:17">
      <c r="A90" s="1697"/>
      <c r="B90" s="1681">
        <f>B27</f>
        <v>111</v>
      </c>
      <c r="C90" s="1698"/>
      <c r="D90" s="1698"/>
      <c r="E90" s="1698"/>
      <c r="F90" s="1698"/>
      <c r="G90" s="1698"/>
      <c r="H90" s="1699"/>
      <c r="I90" s="1699"/>
      <c r="J90" s="1699"/>
      <c r="K90" s="1699"/>
      <c r="L90" s="1700"/>
      <c r="M90" s="1701"/>
      <c r="N90" s="2093"/>
      <c r="O90" s="2093"/>
      <c r="P90" s="2212"/>
      <c r="Q90" s="2213"/>
    </row>
    <row r="91" s="1354" customFormat="1" ht="15.75" spans="1:17">
      <c r="A91" s="1697"/>
      <c r="B91" s="1686"/>
      <c r="C91" s="1705"/>
      <c r="D91" s="1705"/>
      <c r="E91" s="1705"/>
      <c r="F91" s="1705"/>
      <c r="G91" s="1705"/>
      <c r="H91" s="1707"/>
      <c r="I91" s="1707"/>
      <c r="J91" s="1707"/>
      <c r="K91" s="1707"/>
      <c r="L91" s="1707"/>
      <c r="M91" s="1708"/>
      <c r="N91" s="2093"/>
      <c r="O91" s="2093"/>
      <c r="P91" s="2212"/>
      <c r="Q91" s="2213"/>
    </row>
    <row r="92" ht="15.75" spans="1:17">
      <c r="A92" s="1676"/>
      <c r="B92" s="1681">
        <f>B28</f>
        <v>111</v>
      </c>
      <c r="C92" s="1698"/>
      <c r="D92" s="1698"/>
      <c r="E92" s="1698"/>
      <c r="F92" s="1698"/>
      <c r="G92" s="1734"/>
      <c r="H92" s="1734"/>
      <c r="I92" s="1734"/>
      <c r="J92" s="1734"/>
      <c r="K92" s="1735"/>
      <c r="L92" s="1736"/>
      <c r="M92" s="1737"/>
      <c r="N92" s="2090"/>
      <c r="O92" s="2090"/>
      <c r="P92" s="2211"/>
      <c r="Q92" s="2205"/>
    </row>
    <row r="93" ht="15.75" spans="1:17">
      <c r="A93" s="1676"/>
      <c r="B93" s="1686"/>
      <c r="C93" s="1705"/>
      <c r="D93" s="1678"/>
      <c r="E93" s="1678"/>
      <c r="F93" s="1678"/>
      <c r="G93" s="1678"/>
      <c r="H93" s="1678"/>
      <c r="I93" s="1678"/>
      <c r="J93" s="1678"/>
      <c r="K93" s="1678"/>
      <c r="L93" s="1678"/>
      <c r="M93" s="1679"/>
      <c r="N93" s="2092"/>
      <c r="O93" s="2092"/>
      <c r="P93" s="2211"/>
      <c r="Q93" s="2205"/>
    </row>
    <row r="94" ht="15.75" spans="1:17">
      <c r="A94" s="1676"/>
      <c r="B94" s="1681">
        <f>B29</f>
        <v>111</v>
      </c>
      <c r="C94" s="1698"/>
      <c r="D94" s="1698"/>
      <c r="E94" s="1698"/>
      <c r="F94" s="1698"/>
      <c r="G94" s="1734"/>
      <c r="H94" s="1734"/>
      <c r="I94" s="1734"/>
      <c r="J94" s="1734"/>
      <c r="K94" s="1735"/>
      <c r="L94" s="1736"/>
      <c r="M94" s="1737"/>
      <c r="N94" s="2090"/>
      <c r="O94" s="2090"/>
      <c r="P94" s="2211"/>
      <c r="Q94" s="2205"/>
    </row>
    <row r="95" ht="15.75" spans="1:17">
      <c r="A95" s="1676"/>
      <c r="B95" s="1686"/>
      <c r="C95" s="1705"/>
      <c r="D95" s="1705"/>
      <c r="E95" s="1705"/>
      <c r="F95" s="1705"/>
      <c r="G95" s="1678"/>
      <c r="H95" s="1678"/>
      <c r="I95" s="1678"/>
      <c r="J95" s="1678"/>
      <c r="K95" s="1678"/>
      <c r="L95" s="1678"/>
      <c r="M95" s="1679"/>
      <c r="N95" s="2092"/>
      <c r="O95" s="2092"/>
      <c r="P95" s="2211"/>
      <c r="Q95" s="2205"/>
    </row>
    <row r="96" ht="15.75" spans="1:17">
      <c r="A96" s="1676"/>
      <c r="B96" s="1681">
        <f>B30</f>
        <v>111</v>
      </c>
      <c r="C96" s="1698"/>
      <c r="D96" s="1698"/>
      <c r="E96" s="1698"/>
      <c r="F96" s="1698"/>
      <c r="G96" s="1734"/>
      <c r="H96" s="1734"/>
      <c r="I96" s="1734"/>
      <c r="J96" s="1734"/>
      <c r="K96" s="1735"/>
      <c r="L96" s="1736"/>
      <c r="M96" s="1737"/>
      <c r="N96" s="2090"/>
      <c r="O96" s="2090"/>
      <c r="P96" s="2211"/>
      <c r="Q96" s="2205"/>
    </row>
    <row r="97" ht="15.75" spans="1:17">
      <c r="A97" s="1676"/>
      <c r="B97" s="1686"/>
      <c r="C97" s="1715"/>
      <c r="D97" s="1715"/>
      <c r="E97" s="1715"/>
      <c r="F97" s="1715"/>
      <c r="G97" s="1678"/>
      <c r="H97" s="1678"/>
      <c r="I97" s="1678"/>
      <c r="J97" s="1678"/>
      <c r="K97" s="1678"/>
      <c r="L97" s="1678"/>
      <c r="M97" s="1679"/>
      <c r="N97" s="2092"/>
      <c r="O97" s="2092"/>
      <c r="P97" s="2211"/>
      <c r="Q97" s="2205"/>
    </row>
    <row r="98" ht="15.75" spans="1:17">
      <c r="A98" s="1676"/>
      <c r="B98" s="1689">
        <f>B31</f>
        <v>111</v>
      </c>
      <c r="C98" s="1738"/>
      <c r="D98" s="1738"/>
      <c r="E98" s="1738"/>
      <c r="F98" s="1738"/>
      <c r="G98" s="1738"/>
      <c r="H98" s="1738"/>
      <c r="I98" s="1738"/>
      <c r="J98" s="1738"/>
      <c r="K98" s="1739"/>
      <c r="L98" s="1740"/>
      <c r="M98" s="1741"/>
      <c r="N98" s="2090"/>
      <c r="O98" s="2090"/>
      <c r="P98" s="2211"/>
      <c r="Q98" s="2205"/>
    </row>
    <row r="99" ht="15.75" spans="1:17">
      <c r="A99" s="2064"/>
      <c r="B99" s="1714"/>
      <c r="C99" s="1742"/>
      <c r="D99" s="1742"/>
      <c r="E99" s="1742"/>
      <c r="F99" s="1742"/>
      <c r="G99" s="1742"/>
      <c r="H99" s="1742"/>
      <c r="I99" s="1742"/>
      <c r="J99" s="1742"/>
      <c r="K99" s="1742"/>
      <c r="L99" s="1742"/>
      <c r="M99" s="1743"/>
      <c r="N99" s="2092"/>
      <c r="O99" s="2092"/>
      <c r="P99" s="2211"/>
      <c r="Q99" s="2205"/>
    </row>
    <row r="100" spans="1:17">
      <c r="A100" s="1669" t="s">
        <v>1558</v>
      </c>
      <c r="B100" s="1670" t="s">
        <v>1921</v>
      </c>
      <c r="C100" s="1671"/>
      <c r="D100" s="1671"/>
      <c r="E100" s="1671"/>
      <c r="F100" s="1671"/>
      <c r="G100" s="1671"/>
      <c r="H100" s="1671"/>
      <c r="I100" s="1671"/>
      <c r="J100" s="1671"/>
      <c r="K100" s="1672"/>
      <c r="L100" s="1673"/>
      <c r="M100" s="1674"/>
      <c r="N100" s="2090"/>
      <c r="O100" s="2090"/>
      <c r="P100" s="2211"/>
      <c r="Q100" s="220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11"/>
      <c r="Q101" s="2205"/>
    </row>
    <row r="102" ht="15.75" spans="1:17">
      <c r="A102" s="1676"/>
      <c r="B102" s="1681" t="s">
        <v>1563</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11"/>
      <c r="Q102" s="2205"/>
    </row>
    <row r="103" s="1354" customFormat="1" ht="15" spans="1:17">
      <c r="A103" s="1745"/>
      <c r="B103" s="1746"/>
      <c r="C103" s="1648"/>
      <c r="D103" s="1648"/>
      <c r="E103" s="1648"/>
      <c r="F103" s="1648"/>
      <c r="G103" s="1648"/>
      <c r="H103" s="1648"/>
      <c r="I103" s="1648"/>
      <c r="J103" s="1747"/>
      <c r="K103" s="1747"/>
      <c r="L103" s="1748"/>
      <c r="M103" s="1749"/>
      <c r="N103" s="2093"/>
      <c r="O103" s="2093"/>
      <c r="P103" s="2212"/>
      <c r="Q103" s="2213"/>
    </row>
    <row r="104" s="1354" customFormat="1" ht="15.75" spans="1:17">
      <c r="A104" s="1697"/>
      <c r="B104" s="1686"/>
      <c r="C104" s="1705"/>
      <c r="D104" s="1678"/>
      <c r="E104" s="1678"/>
      <c r="F104" s="1678"/>
      <c r="G104" s="1678"/>
      <c r="H104" s="1678"/>
      <c r="I104" s="1678"/>
      <c r="J104" s="1678"/>
      <c r="K104" s="1678"/>
      <c r="L104" s="1678"/>
      <c r="M104" s="1678"/>
      <c r="N104" s="2092"/>
      <c r="O104" s="2092"/>
      <c r="P104" s="2212"/>
      <c r="Q104" s="2213"/>
    </row>
    <row r="105" ht="15.75" spans="1:17">
      <c r="A105" s="1754"/>
      <c r="B105" s="1681" t="s">
        <v>1564</v>
      </c>
      <c r="C105" s="1698"/>
      <c r="D105" s="1698"/>
      <c r="E105" s="1734"/>
      <c r="F105" s="1734"/>
      <c r="G105" s="1734"/>
      <c r="H105" s="1734"/>
      <c r="I105" s="1734"/>
      <c r="J105" s="1734"/>
      <c r="K105" s="1735"/>
      <c r="L105" s="1736"/>
      <c r="M105" s="1737"/>
      <c r="N105" s="2090"/>
      <c r="O105" s="2090"/>
      <c r="P105" s="2211"/>
      <c r="Q105" s="220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11"/>
      <c r="Q106" s="2205"/>
    </row>
    <row r="107" ht="15.75" spans="1:17">
      <c r="A107" s="1754"/>
      <c r="B107" s="1681" t="s">
        <v>1922</v>
      </c>
      <c r="C107" s="1734"/>
      <c r="D107" s="1734"/>
      <c r="E107" s="1734"/>
      <c r="F107" s="1734"/>
      <c r="G107" s="1734"/>
      <c r="H107" s="1734"/>
      <c r="I107" s="1734"/>
      <c r="J107" s="1734"/>
      <c r="K107" s="1735"/>
      <c r="L107" s="1736"/>
      <c r="M107" s="1737"/>
      <c r="N107" s="2090"/>
      <c r="O107" s="2090"/>
      <c r="P107" s="2211"/>
      <c r="Q107" s="220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11"/>
      <c r="Q108" s="2205"/>
    </row>
    <row r="109" ht="15.75" spans="1:17">
      <c r="A109" s="1754"/>
      <c r="B109" s="1681" t="s">
        <v>1566</v>
      </c>
      <c r="C109" s="1698"/>
      <c r="D109" s="1698"/>
      <c r="E109" s="1698"/>
      <c r="F109" s="1734"/>
      <c r="G109" s="1734"/>
      <c r="H109" s="1734"/>
      <c r="I109" s="1734"/>
      <c r="J109" s="1734"/>
      <c r="K109" s="1735"/>
      <c r="L109" s="1736"/>
      <c r="M109" s="1737"/>
      <c r="N109" s="2090"/>
      <c r="O109" s="2090"/>
      <c r="P109" s="2211"/>
      <c r="Q109" s="220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11"/>
      <c r="Q110" s="2205"/>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2"/>
      <c r="Q111" s="2213"/>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2"/>
      <c r="Q112" s="2213"/>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2"/>
      <c r="Q113" s="2213"/>
    </row>
    <row r="114" ht="15.75" spans="1:17">
      <c r="A114" s="1754"/>
      <c r="B114" s="1681" t="s">
        <v>1923</v>
      </c>
      <c r="C114" s="1698"/>
      <c r="D114" s="1698"/>
      <c r="E114" s="1734"/>
      <c r="F114" s="1734"/>
      <c r="G114" s="1734"/>
      <c r="H114" s="1734"/>
      <c r="I114" s="1734"/>
      <c r="J114" s="1734"/>
      <c r="K114" s="1735"/>
      <c r="L114" s="1736"/>
      <c r="M114" s="1737"/>
      <c r="N114" s="2090"/>
      <c r="O114" s="2090"/>
      <c r="P114" s="2211"/>
      <c r="Q114" s="220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11"/>
      <c r="Q115" s="2205"/>
    </row>
    <row r="116" ht="15.75" spans="1:17">
      <c r="A116" s="1754"/>
      <c r="B116" s="1681" t="s">
        <v>1567</v>
      </c>
      <c r="C116" s="1698"/>
      <c r="D116" s="1698"/>
      <c r="E116" s="1698"/>
      <c r="F116" s="1698"/>
      <c r="G116" s="1698"/>
      <c r="H116" s="1734"/>
      <c r="I116" s="1734"/>
      <c r="J116" s="1734"/>
      <c r="K116" s="1735"/>
      <c r="L116" s="1736"/>
      <c r="M116" s="1737"/>
      <c r="N116" s="2090"/>
      <c r="O116" s="2090"/>
      <c r="P116" s="2211"/>
      <c r="Q116" s="220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11"/>
      <c r="Q117" s="2205"/>
    </row>
    <row r="118" ht="15.75" spans="1:17">
      <c r="A118" s="1754"/>
      <c r="B118" s="1681" t="s">
        <v>1924</v>
      </c>
      <c r="C118" s="1734"/>
      <c r="D118" s="1734"/>
      <c r="E118" s="1734"/>
      <c r="F118" s="1734"/>
      <c r="G118" s="1734"/>
      <c r="H118" s="1734"/>
      <c r="I118" s="1734"/>
      <c r="J118" s="1734"/>
      <c r="K118" s="1735"/>
      <c r="L118" s="1736"/>
      <c r="M118" s="1737"/>
      <c r="N118" s="2090"/>
      <c r="O118" s="2090"/>
      <c r="P118" s="2211"/>
      <c r="Q118" s="220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11"/>
      <c r="Q119" s="2205"/>
    </row>
    <row r="120" s="1354" customFormat="1" ht="28.5" spans="1:17">
      <c r="A120" s="1745"/>
      <c r="B120" s="1681" t="s">
        <v>1925</v>
      </c>
      <c r="C120" s="1698"/>
      <c r="D120" s="1698"/>
      <c r="E120" s="1698"/>
      <c r="F120" s="1698"/>
      <c r="G120" s="1698"/>
      <c r="H120" s="1698"/>
      <c r="I120" s="1698"/>
      <c r="J120" s="1698"/>
      <c r="K120" s="1698"/>
      <c r="L120" s="1981"/>
      <c r="M120" s="1982"/>
      <c r="N120" s="2093"/>
      <c r="O120" s="2093"/>
      <c r="P120" s="2212"/>
      <c r="Q120" s="2213"/>
    </row>
    <row r="121" s="1354" customFormat="1" ht="15.75" spans="1:17">
      <c r="A121" s="1697"/>
      <c r="B121" s="1677"/>
      <c r="C121" s="1705"/>
      <c r="D121" s="1678"/>
      <c r="E121" s="1678"/>
      <c r="F121" s="1678"/>
      <c r="G121" s="1678"/>
      <c r="H121" s="1678"/>
      <c r="I121" s="1678"/>
      <c r="J121" s="1678"/>
      <c r="K121" s="1678"/>
      <c r="L121" s="1678"/>
      <c r="M121" s="1678"/>
      <c r="N121" s="2093"/>
      <c r="O121" s="2093"/>
      <c r="P121" s="2212"/>
      <c r="Q121" s="2213"/>
    </row>
    <row r="122" ht="15.75" spans="1:17">
      <c r="A122" s="1754"/>
      <c r="B122" s="1681" t="s">
        <v>1575</v>
      </c>
      <c r="C122" s="1698"/>
      <c r="D122" s="1698"/>
      <c r="E122" s="1698"/>
      <c r="F122" s="1734"/>
      <c r="G122" s="1734"/>
      <c r="H122" s="1734"/>
      <c r="I122" s="1734"/>
      <c r="J122" s="1734"/>
      <c r="K122" s="1735"/>
      <c r="L122" s="1736"/>
      <c r="M122" s="1737"/>
      <c r="N122" s="2090"/>
      <c r="O122" s="2090"/>
      <c r="P122" s="2211"/>
      <c r="Q122" s="220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11"/>
      <c r="Q123" s="2205"/>
    </row>
    <row r="124" ht="15.75" spans="1:17">
      <c r="A124" s="1754"/>
      <c r="B124" s="1681" t="s">
        <v>1581</v>
      </c>
      <c r="C124" s="1723" t="s">
        <v>1598</v>
      </c>
      <c r="D124" s="1723" t="s">
        <v>1599</v>
      </c>
      <c r="E124" s="1723" t="s">
        <v>1600</v>
      </c>
      <c r="F124" s="1723" t="s">
        <v>1601</v>
      </c>
      <c r="G124" s="1723" t="s">
        <v>1602</v>
      </c>
      <c r="H124" s="1682"/>
      <c r="I124" s="1682"/>
      <c r="J124" s="1682"/>
      <c r="K124" s="1683"/>
      <c r="L124" s="1684"/>
      <c r="M124" s="1685"/>
      <c r="N124" s="2090"/>
      <c r="O124" s="2090"/>
      <c r="P124" s="2212"/>
      <c r="Q124" s="220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11"/>
      <c r="Q125" s="2205"/>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2"/>
      <c r="Q126" s="2213"/>
    </row>
    <row r="127" s="1354" customFormat="1" ht="15.75" spans="1:17">
      <c r="A127" s="1697"/>
      <c r="B127" s="1686"/>
      <c r="C127" s="1705"/>
      <c r="D127" s="1678"/>
      <c r="E127" s="1678"/>
      <c r="F127" s="1678"/>
      <c r="G127" s="1705"/>
      <c r="H127" s="1707"/>
      <c r="I127" s="1707"/>
      <c r="J127" s="1707"/>
      <c r="K127" s="1707"/>
      <c r="L127" s="1707"/>
      <c r="M127" s="1708"/>
      <c r="N127" s="2093"/>
      <c r="O127" s="2093"/>
      <c r="P127" s="2212"/>
      <c r="Q127" s="2213"/>
    </row>
    <row r="128" ht="15.75" spans="1:17">
      <c r="A128" s="1754"/>
      <c r="B128" s="1681">
        <f>B45</f>
        <v>111</v>
      </c>
      <c r="C128" s="1698"/>
      <c r="D128" s="1698"/>
      <c r="E128" s="1698"/>
      <c r="F128" s="1698"/>
      <c r="G128" s="1734"/>
      <c r="H128" s="1734"/>
      <c r="I128" s="1734"/>
      <c r="J128" s="1734"/>
      <c r="K128" s="1735"/>
      <c r="L128" s="1736"/>
      <c r="M128" s="1737"/>
      <c r="N128" s="2090"/>
      <c r="O128" s="2090"/>
      <c r="P128" s="2211"/>
      <c r="Q128" s="2205"/>
    </row>
    <row r="129" ht="15.75" spans="1:17">
      <c r="A129" s="1676"/>
      <c r="B129" s="1686"/>
      <c r="C129" s="1705"/>
      <c r="D129" s="1705"/>
      <c r="E129" s="1705"/>
      <c r="F129" s="1705"/>
      <c r="G129" s="1678"/>
      <c r="H129" s="1678"/>
      <c r="I129" s="1678"/>
      <c r="J129" s="1678"/>
      <c r="K129" s="1678"/>
      <c r="L129" s="1678"/>
      <c r="M129" s="1679"/>
      <c r="N129" s="2092"/>
      <c r="O129" s="2092"/>
      <c r="P129" s="2211"/>
      <c r="Q129" s="2205"/>
    </row>
    <row r="130" ht="15.75" spans="1:17">
      <c r="A130" s="1754"/>
      <c r="B130" s="1689">
        <f>B46</f>
        <v>111</v>
      </c>
      <c r="C130" s="1698"/>
      <c r="D130" s="1698"/>
      <c r="E130" s="1698"/>
      <c r="F130" s="1698"/>
      <c r="G130" s="1738"/>
      <c r="H130" s="1738"/>
      <c r="I130" s="1738"/>
      <c r="J130" s="1738"/>
      <c r="K130" s="1661"/>
      <c r="L130" s="1662"/>
      <c r="M130" s="1741"/>
      <c r="N130" s="2090"/>
      <c r="O130" s="2090"/>
      <c r="P130" s="2211"/>
      <c r="Q130" s="2205"/>
    </row>
    <row r="131" ht="15.75" spans="1:17">
      <c r="A131" s="2064"/>
      <c r="B131" s="1714"/>
      <c r="C131" s="1715"/>
      <c r="D131" s="1715"/>
      <c r="E131" s="1715"/>
      <c r="F131" s="1715"/>
      <c r="G131" s="1742"/>
      <c r="H131" s="1742"/>
      <c r="I131" s="1742"/>
      <c r="J131" s="1742"/>
      <c r="K131" s="1742"/>
      <c r="L131" s="1742"/>
      <c r="M131" s="1743"/>
      <c r="N131" s="2092"/>
      <c r="O131" s="2092"/>
      <c r="P131" s="2211"/>
      <c r="Q131" s="2205"/>
    </row>
    <row r="136" ht="15" spans="1:17">
      <c r="B136" s="2218" t="s">
        <v>1926</v>
      </c>
    </row>
    <row r="137" ht="15" spans="1:17">
      <c r="B137" s="2219" t="s">
        <v>1927</v>
      </c>
      <c r="C137" s="2220"/>
      <c r="D137" s="2220"/>
      <c r="E137" s="2220"/>
      <c r="F137" s="2220"/>
      <c r="G137" s="2221"/>
      <c r="H137" s="2222"/>
      <c r="I137" s="2223" t="s">
        <v>1928</v>
      </c>
      <c r="J137" s="2220"/>
      <c r="K137" s="2224"/>
    </row>
    <row r="138" ht="15" spans="1:17">
      <c r="B138" s="2225"/>
      <c r="C138" s="2226" t="s">
        <v>1929</v>
      </c>
      <c r="D138" s="2226" t="s">
        <v>1930</v>
      </c>
      <c r="E138" s="2227" t="s">
        <v>1931</v>
      </c>
      <c r="F138" s="2228" t="s">
        <v>1932</v>
      </c>
      <c r="G138" s="2226" t="s">
        <v>1930</v>
      </c>
      <c r="H138" s="2229" t="s">
        <v>1931</v>
      </c>
      <c r="I138" s="2230"/>
      <c r="J138" s="2226" t="s">
        <v>1933</v>
      </c>
      <c r="K138" s="2229" t="s">
        <v>1934</v>
      </c>
    </row>
    <row r="139" ht="15" spans="1:17">
      <c r="B139" s="2231">
        <v>6</v>
      </c>
      <c r="C139" s="2232">
        <v>96</v>
      </c>
      <c r="D139" s="2233" t="s">
        <v>1935</v>
      </c>
      <c r="E139" s="2234">
        <v>100</v>
      </c>
      <c r="F139" s="2235">
        <v>102.5</v>
      </c>
      <c r="G139" s="2233" t="s">
        <v>1935</v>
      </c>
      <c r="H139" s="2236">
        <v>105</v>
      </c>
      <c r="I139" s="2237" t="s">
        <v>1936</v>
      </c>
      <c r="J139" s="2232">
        <v>20</v>
      </c>
      <c r="K139" s="2238">
        <f>C145/(J139-2)</f>
        <v>0.00405555555555556</v>
      </c>
    </row>
    <row r="140" ht="15" spans="1:17">
      <c r="B140" s="2239">
        <v>5</v>
      </c>
      <c r="C140" s="2240">
        <v>100</v>
      </c>
      <c r="D140" s="2240"/>
      <c r="E140" s="2241"/>
      <c r="F140" s="2242">
        <v>102</v>
      </c>
      <c r="G140" s="2240"/>
      <c r="H140" s="2243"/>
      <c r="I140" s="2244" t="s">
        <v>1937</v>
      </c>
      <c r="J140" s="494">
        <f>ROUNDUP((J139-1)/2,0)</f>
        <v>10</v>
      </c>
      <c r="K140" s="2245">
        <v>100</v>
      </c>
    </row>
    <row r="141" ht="15" spans="1:17">
      <c r="B141" s="2239">
        <v>4</v>
      </c>
      <c r="C141" s="2240">
        <v>102</v>
      </c>
      <c r="D141" s="2240"/>
      <c r="E141" s="2241"/>
      <c r="F141" s="2242">
        <v>101.5</v>
      </c>
      <c r="G141" s="2240"/>
      <c r="H141" s="2243"/>
      <c r="I141" s="2244" t="s">
        <v>1938</v>
      </c>
      <c r="J141" s="494">
        <v>1</v>
      </c>
      <c r="K141" s="2246">
        <f>ROUND(100+(J141-J140)*K139*100,1)</f>
        <v>96.4</v>
      </c>
    </row>
    <row r="142" ht="15" spans="1:17">
      <c r="B142" s="2239">
        <v>3</v>
      </c>
      <c r="C142" s="2240">
        <v>103</v>
      </c>
      <c r="D142" s="2240"/>
      <c r="E142" s="2241"/>
      <c r="F142" s="2242">
        <v>101</v>
      </c>
      <c r="G142" s="2240"/>
      <c r="H142" s="2243"/>
      <c r="I142" s="2244" t="s">
        <v>1939</v>
      </c>
      <c r="J142" s="494">
        <f>J139</f>
        <v>20</v>
      </c>
      <c r="K142" s="2247">
        <v>95</v>
      </c>
    </row>
    <row r="143" ht="15" spans="1:17">
      <c r="B143" s="2239">
        <v>2</v>
      </c>
      <c r="C143" s="2240">
        <v>100</v>
      </c>
      <c r="D143" s="2240"/>
      <c r="E143" s="2241"/>
      <c r="F143" s="2242">
        <v>100.5</v>
      </c>
      <c r="G143" s="2240"/>
      <c r="H143" s="2243"/>
      <c r="I143" s="2244" t="s">
        <v>1940</v>
      </c>
      <c r="J143" s="2240">
        <v>15</v>
      </c>
      <c r="K143" s="2246">
        <f>ROUND(100+(J143-J140)*K139*100,1)</f>
        <v>102</v>
      </c>
    </row>
    <row r="144" ht="15" spans="1:17">
      <c r="B144" s="2239">
        <v>1</v>
      </c>
      <c r="C144" s="2240">
        <v>98</v>
      </c>
      <c r="D144" s="2248" t="s">
        <v>1941</v>
      </c>
      <c r="E144" s="2241">
        <v>102</v>
      </c>
      <c r="F144" s="2249">
        <v>100</v>
      </c>
      <c r="G144" s="2248" t="s">
        <v>1941</v>
      </c>
      <c r="H144" s="2243">
        <v>105</v>
      </c>
      <c r="I144" s="2244" t="s">
        <v>1940</v>
      </c>
      <c r="J144" s="2240">
        <v>18</v>
      </c>
      <c r="K144" s="2246">
        <f>ROUND(100+(J144-J140)*K139*100,1)</f>
        <v>103.2</v>
      </c>
    </row>
    <row r="145" ht="15.75" spans="2:11">
      <c r="B145" s="930" t="s">
        <v>1942</v>
      </c>
      <c r="C145" s="2250">
        <f>ROUND(MAX(C139:C144)/MIN(C139:C144)-1,3)</f>
        <v>0.073</v>
      </c>
      <c r="D145" s="2251"/>
      <c r="E145" s="2251"/>
      <c r="F145" s="2252" t="s">
        <v>1943</v>
      </c>
      <c r="G145" s="2141"/>
      <c r="H145" s="2142"/>
      <c r="I145" s="2253" t="s">
        <v>1940</v>
      </c>
      <c r="J145" s="2254">
        <v>8</v>
      </c>
      <c r="K145" s="2255">
        <f>ROUND(100+(J145-J140)*K139*100,1)</f>
        <v>99.2</v>
      </c>
    </row>
    <row r="147" spans="2:11">
      <c r="B147" s="2218" t="s">
        <v>1944</v>
      </c>
    </row>
    <row r="148" spans="2:11">
      <c r="B148" s="2218" t="s">
        <v>1945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1946</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0</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2102" t="s">
        <v>1519</v>
      </c>
      <c r="Q4" s="2103"/>
      <c r="R4" s="2104" t="s">
        <v>1515</v>
      </c>
      <c r="S4" s="2105"/>
      <c r="T4" s="2104" t="s">
        <v>1516</v>
      </c>
      <c r="U4" s="2105"/>
      <c r="V4" s="2106" t="s">
        <v>1517</v>
      </c>
      <c r="W4" s="2106"/>
      <c r="X4" s="2107"/>
      <c r="Y4" s="2108" t="s">
        <v>1519</v>
      </c>
      <c r="Z4" s="2109"/>
      <c r="AA4" s="2107" t="s">
        <v>1515</v>
      </c>
      <c r="AB4" s="2107" t="s">
        <v>1516</v>
      </c>
      <c r="AC4" s="2110" t="s">
        <v>1517</v>
      </c>
    </row>
    <row r="5" ht="15" spans="1:29">
      <c r="A5" s="1765"/>
      <c r="B5" s="1766"/>
      <c r="C5" s="1873" t="s">
        <v>1520</v>
      </c>
      <c r="D5" s="1874"/>
      <c r="E5" s="1875" t="s">
        <v>1916</v>
      </c>
      <c r="F5" s="1876"/>
      <c r="G5" s="1873" t="s">
        <v>1917</v>
      </c>
      <c r="H5" s="1874"/>
      <c r="I5" s="1873" t="s">
        <v>1918</v>
      </c>
      <c r="J5" s="1874"/>
      <c r="K5" s="1389"/>
      <c r="L5" s="1390"/>
      <c r="M5" s="1391"/>
      <c r="N5" s="1391"/>
      <c r="O5" s="1391"/>
      <c r="P5" s="2111"/>
      <c r="Q5" s="1407"/>
      <c r="R5" s="1408"/>
      <c r="S5" s="1409"/>
      <c r="T5" s="1408"/>
      <c r="U5" s="1409"/>
      <c r="V5" s="801"/>
      <c r="W5" s="801"/>
      <c r="X5" s="1396"/>
      <c r="Y5" s="1410"/>
      <c r="Z5" s="1411"/>
      <c r="AA5" s="1396"/>
      <c r="AB5" s="1396"/>
      <c r="AC5" s="2007"/>
    </row>
    <row r="6" ht="15.75" spans="1:29">
      <c r="A6" s="1767"/>
      <c r="B6" s="1768"/>
      <c r="C6" s="1879" t="s">
        <v>1523</v>
      </c>
      <c r="D6" s="1880"/>
      <c r="E6" s="1881" t="s">
        <v>1523</v>
      </c>
      <c r="F6" s="1882"/>
      <c r="G6" s="1879" t="s">
        <v>1523</v>
      </c>
      <c r="H6" s="1880"/>
      <c r="I6" s="1879" t="s">
        <v>1523</v>
      </c>
      <c r="J6" s="1880"/>
      <c r="K6" s="1389" t="s">
        <v>1524</v>
      </c>
      <c r="L6" s="1390"/>
      <c r="M6" s="1391"/>
      <c r="N6" s="1391"/>
      <c r="O6" s="1391"/>
      <c r="P6" s="2112"/>
      <c r="Q6" s="1419"/>
      <c r="R6" s="1408"/>
      <c r="S6" s="1409"/>
      <c r="T6" s="1420"/>
      <c r="U6" s="1421"/>
      <c r="V6" s="801"/>
      <c r="W6" s="801"/>
      <c r="X6" s="1396"/>
      <c r="Y6" s="1422"/>
      <c r="Z6" s="1423"/>
      <c r="AA6" s="1424"/>
      <c r="AB6" s="1424"/>
      <c r="AC6" s="2113"/>
    </row>
    <row r="7" s="1352" customFormat="1" ht="15.75" spans="1:29">
      <c r="A7" s="1885" t="s">
        <v>1525</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2117" t="e">
        <f>D7/J7</f>
        <v>#DIV/0!</v>
      </c>
    </row>
    <row r="8" s="1352" customFormat="1" ht="15.75" spans="1:29">
      <c r="A8" s="1885" t="s">
        <v>1528</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1531</v>
      </c>
      <c r="Q8" s="1445"/>
      <c r="R8" s="2115" t="s">
        <v>1527</v>
      </c>
      <c r="S8" s="2116">
        <f t="shared" si="0"/>
        <v>100</v>
      </c>
      <c r="T8" s="2115" t="s">
        <v>1527</v>
      </c>
      <c r="U8" s="2116">
        <f t="shared" si="1"/>
        <v>100</v>
      </c>
      <c r="V8" s="2115" t="s">
        <v>1527</v>
      </c>
      <c r="W8" s="2116">
        <f t="shared" si="2"/>
        <v>100</v>
      </c>
      <c r="X8" s="1440"/>
      <c r="Y8" s="1441" t="s">
        <v>1531</v>
      </c>
      <c r="Z8" s="1442"/>
      <c r="AA8" s="1443">
        <f t="shared" ref="AA8:AA47" si="3">D8/F8</f>
        <v>1</v>
      </c>
      <c r="AB8" s="1443">
        <f t="shared" ref="AB8:AB47" si="4">D8/H8</f>
        <v>1</v>
      </c>
      <c r="AC8" s="2117">
        <f t="shared" ref="AC8:AC47" si="5">D8/J8</f>
        <v>1</v>
      </c>
    </row>
    <row r="9" s="1352" customFormat="1" spans="1:29">
      <c r="A9" s="1896" t="s">
        <v>1532</v>
      </c>
      <c r="B9" s="1897" t="s">
        <v>1533</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2117">
        <f t="shared" si="5"/>
        <v>1</v>
      </c>
    </row>
    <row r="10" s="1353" customFormat="1" ht="27" spans="1:29">
      <c r="A10" s="1902"/>
      <c r="B10" s="1903" t="s">
        <v>1536</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1539</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2117">
        <f t="shared" si="5"/>
        <v>1</v>
      </c>
    </row>
    <row r="15" ht="68.25" spans="1:29">
      <c r="A15" s="1669" t="s">
        <v>1540</v>
      </c>
      <c r="B15" s="2006" t="s">
        <v>1947</v>
      </c>
      <c r="C15" s="2120"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1542</v>
      </c>
      <c r="Q15" s="1051" t="str">
        <f t="shared" si="6"/>
        <v>办公集聚程度</v>
      </c>
      <c r="R15" s="2121" t="s">
        <v>1527</v>
      </c>
      <c r="S15" s="2122">
        <f t="shared" si="0"/>
        <v>100</v>
      </c>
      <c r="T15" s="2121" t="s">
        <v>1527</v>
      </c>
      <c r="U15" s="2122">
        <f t="shared" si="1"/>
        <v>100</v>
      </c>
      <c r="V15" s="2121" t="s">
        <v>1527</v>
      </c>
      <c r="W15" s="2122">
        <f t="shared" si="2"/>
        <v>100</v>
      </c>
      <c r="X15" s="1396"/>
      <c r="Y15" s="1490" t="s">
        <v>1542</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67.5" spans="1:29">
      <c r="A17" s="1676"/>
      <c r="B17" s="2008" t="s">
        <v>1544</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40.5" spans="1:29">
      <c r="A19" s="1676"/>
      <c r="B19" s="2008" t="s">
        <v>1546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27" spans="1:29">
      <c r="A21" s="1676"/>
      <c r="B21" s="1948" t="s">
        <v>1547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40.5" spans="1:29">
      <c r="A23" s="1676"/>
      <c r="B23" s="2008" t="s">
        <v>1948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1527</v>
      </c>
      <c r="S23" s="2122">
        <f>F23</f>
        <v>100</v>
      </c>
      <c r="T23" s="2121" t="s">
        <v>1527</v>
      </c>
      <c r="U23" s="2122">
        <f>H23</f>
        <v>100</v>
      </c>
      <c r="V23" s="2121" t="s">
        <v>1527</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7" spans="1:29">
      <c r="A25" s="1765"/>
      <c r="B25" s="2008" t="s">
        <v>1949</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1527</v>
      </c>
      <c r="S25" s="2122">
        <f>F25</f>
        <v>100</v>
      </c>
      <c r="T25" s="2121" t="s">
        <v>1527</v>
      </c>
      <c r="U25" s="2122">
        <f>H25</f>
        <v>100</v>
      </c>
      <c r="V25" s="2121" t="s">
        <v>1527</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1555</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1527</v>
      </c>
      <c r="S27" s="2122">
        <f>F27</f>
        <v>100</v>
      </c>
      <c r="T27" s="2121" t="s">
        <v>1527</v>
      </c>
      <c r="U27" s="2122">
        <f>H27</f>
        <v>100</v>
      </c>
      <c r="V27" s="2121" t="s">
        <v>1527</v>
      </c>
      <c r="W27" s="2122">
        <f>J27</f>
        <v>100</v>
      </c>
      <c r="X27" s="1396"/>
      <c r="Y27" s="1499"/>
      <c r="Z27" s="1491" t="str">
        <f>Q27</f>
        <v>楼层</v>
      </c>
      <c r="AA27" s="1491">
        <f t="shared" si="3"/>
        <v>1</v>
      </c>
      <c r="AB27" s="1491">
        <f t="shared" si="4"/>
        <v>1</v>
      </c>
      <c r="AC27" s="2123">
        <f t="shared" si="5"/>
        <v>1</v>
      </c>
    </row>
    <row r="28" s="1352" customFormat="1" ht="15" spans="1:29">
      <c r="A28" s="1724"/>
      <c r="B28" s="2008" t="s">
        <v>1920</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1527</v>
      </c>
      <c r="S28" s="2116">
        <f>F28</f>
        <v>100</v>
      </c>
      <c r="T28" s="2115" t="s">
        <v>1527</v>
      </c>
      <c r="U28" s="2116">
        <f>H28</f>
        <v>100</v>
      </c>
      <c r="V28" s="2115" t="s">
        <v>1527</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1527</v>
      </c>
      <c r="S29" s="2122">
        <f t="shared" ref="S29:S47" si="12">F29</f>
        <v>100</v>
      </c>
      <c r="T29" s="2121" t="s">
        <v>1527</v>
      </c>
      <c r="U29" s="2122">
        <f t="shared" ref="U29:U47" si="13">H29</f>
        <v>100</v>
      </c>
      <c r="V29" s="2121" t="s">
        <v>1527</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1527</v>
      </c>
      <c r="S32" s="2122">
        <f t="shared" si="12"/>
        <v>100</v>
      </c>
      <c r="T32" s="2121" t="s">
        <v>1527</v>
      </c>
      <c r="U32" s="2122">
        <f t="shared" si="13"/>
        <v>100</v>
      </c>
      <c r="V32" s="2121" t="s">
        <v>1527</v>
      </c>
      <c r="W32" s="2122">
        <f t="shared" si="14"/>
        <v>100</v>
      </c>
      <c r="X32" s="1396"/>
      <c r="Y32" s="1499"/>
      <c r="Z32" s="1491">
        <f t="shared" si="15"/>
        <v>111</v>
      </c>
      <c r="AA32" s="1491">
        <f t="shared" si="3"/>
        <v>1</v>
      </c>
      <c r="AB32" s="1491">
        <f t="shared" si="4"/>
        <v>1</v>
      </c>
      <c r="AC32" s="2123">
        <f t="shared" si="5"/>
        <v>1</v>
      </c>
    </row>
    <row r="33" ht="15" spans="1:29">
      <c r="A33" s="1669" t="s">
        <v>1558</v>
      </c>
      <c r="B33" s="1897" t="s">
        <v>1921</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1562</v>
      </c>
      <c r="Q33" s="1051" t="str">
        <f t="shared" si="11"/>
        <v>建筑类型</v>
      </c>
      <c r="R33" s="2121" t="s">
        <v>1527</v>
      </c>
      <c r="S33" s="2122">
        <f t="shared" si="12"/>
        <v>100</v>
      </c>
      <c r="T33" s="2121" t="s">
        <v>1527</v>
      </c>
      <c r="U33" s="2122">
        <f t="shared" si="13"/>
        <v>100</v>
      </c>
      <c r="V33" s="2121" t="s">
        <v>1527</v>
      </c>
      <c r="W33" s="2122">
        <f t="shared" si="14"/>
        <v>100</v>
      </c>
      <c r="X33" s="1396"/>
      <c r="Y33" s="1526" t="s">
        <v>1562</v>
      </c>
      <c r="Z33" s="1491" t="str">
        <f t="shared" si="15"/>
        <v>建筑类型</v>
      </c>
      <c r="AA33" s="1491">
        <f t="shared" si="3"/>
        <v>1</v>
      </c>
      <c r="AB33" s="1491">
        <f t="shared" si="4"/>
        <v>1</v>
      </c>
      <c r="AC33" s="2123">
        <f t="shared" si="5"/>
        <v>1</v>
      </c>
    </row>
    <row r="34" s="1354" customFormat="1" ht="15" spans="1:29">
      <c r="A34" s="1745"/>
      <c r="B34" s="1903" t="s">
        <v>1563</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1527</v>
      </c>
      <c r="S34" s="2135" t="e">
        <f t="shared" si="12"/>
        <v>#N/A</v>
      </c>
      <c r="T34" s="2134" t="s">
        <v>1527</v>
      </c>
      <c r="U34" s="2135" t="e">
        <f t="shared" si="13"/>
        <v>#N/A</v>
      </c>
      <c r="V34" s="2134" t="s">
        <v>1527</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1564</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1527</v>
      </c>
      <c r="S35" s="2122">
        <f t="shared" si="12"/>
        <v>100</v>
      </c>
      <c r="T35" s="2121" t="s">
        <v>1527</v>
      </c>
      <c r="U35" s="2122">
        <f t="shared" si="13"/>
        <v>100</v>
      </c>
      <c r="V35" s="2121" t="s">
        <v>1527</v>
      </c>
      <c r="W35" s="2122">
        <f t="shared" si="14"/>
        <v>100</v>
      </c>
      <c r="X35" s="1396"/>
      <c r="Y35" s="1526"/>
      <c r="Z35" s="1491" t="str">
        <f t="shared" si="15"/>
        <v>建筑结构</v>
      </c>
      <c r="AA35" s="1491">
        <f t="shared" si="3"/>
        <v>1</v>
      </c>
      <c r="AB35" s="1491">
        <f t="shared" si="4"/>
        <v>1</v>
      </c>
      <c r="AC35" s="2123">
        <f t="shared" si="5"/>
        <v>1</v>
      </c>
    </row>
    <row r="36" ht="15" spans="1:29">
      <c r="A36" s="1754"/>
      <c r="B36" s="1903" t="s">
        <v>1566</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1527</v>
      </c>
      <c r="S37" s="2122" t="e">
        <f t="shared" si="12"/>
        <v>#N/A</v>
      </c>
      <c r="T37" s="2121" t="s">
        <v>1527</v>
      </c>
      <c r="U37" s="2122" t="e">
        <f t="shared" si="13"/>
        <v>#N/A</v>
      </c>
      <c r="V37" s="2121" t="s">
        <v>1527</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1950</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1527</v>
      </c>
      <c r="S38" s="2116">
        <f t="shared" si="12"/>
        <v>100</v>
      </c>
      <c r="T38" s="2115" t="s">
        <v>1527</v>
      </c>
      <c r="U38" s="2116">
        <f t="shared" si="13"/>
        <v>100</v>
      </c>
      <c r="V38" s="2115" t="s">
        <v>1527</v>
      </c>
      <c r="W38" s="2116">
        <f t="shared" si="14"/>
        <v>100</v>
      </c>
      <c r="X38" s="1440"/>
      <c r="Y38" s="1526"/>
      <c r="Z38" s="1443" t="str">
        <f t="shared" si="15"/>
        <v>写字楼等级</v>
      </c>
      <c r="AA38" s="1443">
        <f t="shared" si="3"/>
        <v>1</v>
      </c>
      <c r="AB38" s="1443">
        <f t="shared" si="4"/>
        <v>1</v>
      </c>
      <c r="AC38" s="2117">
        <f t="shared" si="5"/>
        <v>1</v>
      </c>
    </row>
    <row r="39" ht="15" spans="1:29">
      <c r="A39" s="1754"/>
      <c r="B39" s="1903" t="s">
        <v>1923</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1562</v>
      </c>
      <c r="Q39" s="1051" t="str">
        <f t="shared" si="11"/>
        <v>物业管理</v>
      </c>
      <c r="R39" s="2121" t="s">
        <v>1527</v>
      </c>
      <c r="S39" s="2122">
        <f t="shared" si="12"/>
        <v>100</v>
      </c>
      <c r="T39" s="2121" t="s">
        <v>1527</v>
      </c>
      <c r="U39" s="2122">
        <f t="shared" si="13"/>
        <v>100</v>
      </c>
      <c r="V39" s="2121" t="s">
        <v>1527</v>
      </c>
      <c r="W39" s="2122">
        <f t="shared" si="14"/>
        <v>100</v>
      </c>
      <c r="X39" s="1396"/>
      <c r="Y39" s="1526" t="s">
        <v>1562</v>
      </c>
      <c r="Z39" s="1491" t="str">
        <f t="shared" si="15"/>
        <v>物业管理</v>
      </c>
      <c r="AA39" s="1491">
        <f t="shared" si="3"/>
        <v>1</v>
      </c>
      <c r="AB39" s="1491">
        <f t="shared" si="4"/>
        <v>1</v>
      </c>
      <c r="AC39" s="2123">
        <f t="shared" si="5"/>
        <v>1</v>
      </c>
    </row>
    <row r="40" ht="15" spans="1:29">
      <c r="A40" s="1754"/>
      <c r="B40" s="1903" t="s">
        <v>1567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1527</v>
      </c>
      <c r="S40" s="2122">
        <f t="shared" si="12"/>
        <v>100</v>
      </c>
      <c r="T40" s="2121" t="s">
        <v>1527</v>
      </c>
      <c r="U40" s="2122">
        <f t="shared" si="13"/>
        <v>100</v>
      </c>
      <c r="V40" s="2121" t="s">
        <v>1527</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1570</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1527</v>
      </c>
      <c r="S41" s="2122">
        <f t="shared" si="12"/>
        <v>100</v>
      </c>
      <c r="T41" s="2121" t="s">
        <v>1527</v>
      </c>
      <c r="U41" s="2122">
        <f t="shared" si="13"/>
        <v>100</v>
      </c>
      <c r="V41" s="2121" t="s">
        <v>1527</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1951</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1527</v>
      </c>
      <c r="S42" s="2135">
        <f t="shared" si="12"/>
        <v>100</v>
      </c>
      <c r="T42" s="2134" t="s">
        <v>1527</v>
      </c>
      <c r="U42" s="2135">
        <f t="shared" si="13"/>
        <v>100</v>
      </c>
      <c r="V42" s="2134" t="s">
        <v>1527</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1575</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1527</v>
      </c>
      <c r="S43" s="2122">
        <f t="shared" si="12"/>
        <v>100</v>
      </c>
      <c r="T43" s="2121" t="s">
        <v>1527</v>
      </c>
      <c r="U43" s="2122">
        <f t="shared" si="13"/>
        <v>100</v>
      </c>
      <c r="V43" s="2121" t="s">
        <v>1527</v>
      </c>
      <c r="W43" s="2122">
        <f t="shared" si="14"/>
        <v>100</v>
      </c>
      <c r="X43" s="1396"/>
      <c r="Y43" s="1526"/>
      <c r="Z43" s="1491" t="str">
        <f t="shared" si="15"/>
        <v>内部装修</v>
      </c>
      <c r="AA43" s="1491">
        <f t="shared" si="3"/>
        <v>1</v>
      </c>
      <c r="AB43" s="1491">
        <f t="shared" si="4"/>
        <v>1</v>
      </c>
      <c r="AC43" s="2123">
        <f t="shared" si="5"/>
        <v>1</v>
      </c>
    </row>
    <row r="44" ht="15" spans="1:29">
      <c r="A44" s="1754"/>
      <c r="B44" s="1903" t="s">
        <v>1581</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1527</v>
      </c>
      <c r="S44" s="2122">
        <f t="shared" si="12"/>
        <v>100</v>
      </c>
      <c r="T44" s="2121" t="s">
        <v>1527</v>
      </c>
      <c r="U44" s="2122">
        <f t="shared" si="13"/>
        <v>100</v>
      </c>
      <c r="V44" s="2121" t="s">
        <v>1527</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1527</v>
      </c>
      <c r="S45" s="2116">
        <f t="shared" si="12"/>
        <v>100</v>
      </c>
      <c r="T45" s="2115" t="s">
        <v>1527</v>
      </c>
      <c r="U45" s="2116">
        <f t="shared" si="13"/>
        <v>100</v>
      </c>
      <c r="V45" s="2115" t="s">
        <v>1527</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1527</v>
      </c>
      <c r="S46" s="2122">
        <f t="shared" si="12"/>
        <v>100</v>
      </c>
      <c r="T46" s="2121" t="s">
        <v>1527</v>
      </c>
      <c r="U46" s="2122">
        <f t="shared" si="13"/>
        <v>100</v>
      </c>
      <c r="V46" s="2121" t="s">
        <v>1527</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1527</v>
      </c>
      <c r="S47" s="2122">
        <f t="shared" si="12"/>
        <v>100</v>
      </c>
      <c r="T47" s="2121" t="s">
        <v>1527</v>
      </c>
      <c r="U47" s="2122">
        <f t="shared" si="13"/>
        <v>100</v>
      </c>
      <c r="V47" s="2121" t="s">
        <v>1527</v>
      </c>
      <c r="W47" s="2122">
        <f t="shared" si="14"/>
        <v>100</v>
      </c>
      <c r="X47" s="1396"/>
      <c r="Y47" s="2074"/>
      <c r="Z47" s="1491">
        <f t="shared" si="15"/>
        <v>111</v>
      </c>
      <c r="AA47" s="1491">
        <f t="shared" si="3"/>
        <v>1</v>
      </c>
      <c r="AB47" s="1491">
        <f t="shared" si="4"/>
        <v>1</v>
      </c>
      <c r="AC47" s="2123">
        <f t="shared" si="5"/>
        <v>1</v>
      </c>
    </row>
    <row r="48" ht="15" spans="1:29">
      <c r="A48" s="1552" t="s">
        <v>1583</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75" spans="1:29">
      <c r="A49" s="1566" t="s">
        <v>1584</v>
      </c>
      <c r="B49" s="1969"/>
      <c r="C49" s="1571" t="e">
        <f>R50</f>
        <v>#DIV/0!</v>
      </c>
      <c r="D49" s="1799" t="s">
        <v>1585</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75" spans="1:29">
      <c r="A50" s="1573" t="s">
        <v>1586</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1587</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1588</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1589</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1590</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1525</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1591</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1528</v>
      </c>
      <c r="B62" s="1659"/>
      <c r="C62" s="1660" t="s">
        <v>1592</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1593</v>
      </c>
      <c r="B64" s="1670" t="s">
        <v>1533</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1536</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1596</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1539</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1540</v>
      </c>
      <c r="B77" s="1670" t="s">
        <v>1947</v>
      </c>
      <c r="C77" s="1718" t="s">
        <v>1598</v>
      </c>
      <c r="D77" s="1718" t="s">
        <v>1599</v>
      </c>
      <c r="E77" s="1718" t="s">
        <v>1600</v>
      </c>
      <c r="F77" s="1718" t="s">
        <v>1601</v>
      </c>
      <c r="G77" s="1718" t="s">
        <v>1602</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1544</v>
      </c>
      <c r="C79" s="1723" t="s">
        <v>1598</v>
      </c>
      <c r="D79" s="1723" t="s">
        <v>1599</v>
      </c>
      <c r="E79" s="1723" t="s">
        <v>1600</v>
      </c>
      <c r="F79" s="1723" t="s">
        <v>1601</v>
      </c>
      <c r="G79" s="1723" t="s">
        <v>1602</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1546</v>
      </c>
      <c r="C81" s="1723" t="s">
        <v>1598</v>
      </c>
      <c r="D81" s="1723" t="s">
        <v>1599</v>
      </c>
      <c r="E81" s="1723" t="s">
        <v>1600</v>
      </c>
      <c r="F81" s="1723" t="s">
        <v>1601</v>
      </c>
      <c r="G81" s="1723" t="s">
        <v>1602</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1547</v>
      </c>
      <c r="C83" s="1499" t="s">
        <v>1603</v>
      </c>
      <c r="D83" s="1499" t="s">
        <v>1604</v>
      </c>
      <c r="E83" s="1499" t="s">
        <v>1605</v>
      </c>
      <c r="F83" s="1499" t="s">
        <v>1606</v>
      </c>
      <c r="G83" s="1499" t="s">
        <v>1607</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1948</v>
      </c>
      <c r="C85" s="1723" t="s">
        <v>1598</v>
      </c>
      <c r="D85" s="1723" t="s">
        <v>1599</v>
      </c>
      <c r="E85" s="1723" t="s">
        <v>1600</v>
      </c>
      <c r="F85" s="1723" t="s">
        <v>1601</v>
      </c>
      <c r="G85" s="1723" t="s">
        <v>1602</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1949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1558</v>
      </c>
      <c r="B101" s="1670" t="s">
        <v>1921</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1563</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1564</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1566</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1950</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1923</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1952</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1573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1575</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1581</v>
      </c>
      <c r="C125" s="1723" t="s">
        <v>1598</v>
      </c>
      <c r="D125" s="1723" t="s">
        <v>1599</v>
      </c>
      <c r="E125" s="1723" t="s">
        <v>1600</v>
      </c>
      <c r="F125" s="1723" t="s">
        <v>1601</v>
      </c>
      <c r="G125" s="1723" t="s">
        <v>1602</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1953</v>
      </c>
      <c r="C1" s="1847" t="s">
        <v>1507</v>
      </c>
      <c r="D1" s="1848"/>
      <c r="E1" s="1849"/>
      <c r="F1" s="1850"/>
      <c r="G1" s="1851" t="s">
        <v>1510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1512</v>
      </c>
      <c r="D3" s="1864">
        <f>IF(D1="",'数据-汇总表'!E3,SUMIF('数据-汇总表'!$C19:$C33,D1,'数据-汇总表'!$E19:$E33))</f>
        <v>138.87</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2050"/>
      <c r="M4" s="2051"/>
      <c r="N4" s="2051"/>
      <c r="O4" s="2051"/>
      <c r="P4" s="1392" t="s">
        <v>1519</v>
      </c>
      <c r="Q4" s="1393"/>
      <c r="R4" s="1394" t="s">
        <v>1515</v>
      </c>
      <c r="S4" s="1395"/>
      <c r="T4" s="1394" t="s">
        <v>1516</v>
      </c>
      <c r="U4" s="1395"/>
      <c r="V4" s="801" t="s">
        <v>1517</v>
      </c>
      <c r="W4" s="80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1525</v>
      </c>
      <c r="B7" s="1886"/>
      <c r="C7" s="1887">
        <f>'数据-取费表'!B2</f>
        <v>46050</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1526</v>
      </c>
      <c r="Q7" s="1437"/>
      <c r="R7" s="1438" t="s">
        <v>1527</v>
      </c>
      <c r="S7" s="1439">
        <f t="shared" ref="S7:S15" si="0">F7</f>
        <v>0</v>
      </c>
      <c r="T7" s="1438" t="s">
        <v>1527</v>
      </c>
      <c r="U7" s="1439">
        <f t="shared" ref="U7:U15" si="1">H7</f>
        <v>0</v>
      </c>
      <c r="V7" s="1438" t="s">
        <v>1527</v>
      </c>
      <c r="W7" s="1439">
        <f t="shared" ref="W7:W15"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1531</v>
      </c>
      <c r="Q8" s="1445"/>
      <c r="R8" s="1438" t="s">
        <v>1527</v>
      </c>
      <c r="S8" s="1439">
        <f t="shared" si="0"/>
        <v>100</v>
      </c>
      <c r="T8" s="1438" t="s">
        <v>1527</v>
      </c>
      <c r="U8" s="1439">
        <f t="shared" si="1"/>
        <v>100</v>
      </c>
      <c r="V8" s="1438" t="s">
        <v>1527</v>
      </c>
      <c r="W8" s="1439">
        <f t="shared" si="2"/>
        <v>100</v>
      </c>
      <c r="X8" s="1440"/>
      <c r="Y8" s="1441" t="s">
        <v>1531</v>
      </c>
      <c r="Z8" s="1442"/>
      <c r="AA8" s="1443">
        <f t="shared" ref="AA8:AA40" si="3">D8/F8</f>
        <v>1</v>
      </c>
      <c r="AB8" s="1443">
        <f t="shared" ref="AB8:AB40" si="4">D8/H8</f>
        <v>1</v>
      </c>
      <c r="AC8" s="1443">
        <f t="shared" ref="AC8:AC40" si="5">D8/J8</f>
        <v>1</v>
      </c>
    </row>
    <row r="9" s="1352" customFormat="1" spans="1:29">
      <c r="A9" s="1896" t="s">
        <v>1532</v>
      </c>
      <c r="B9" s="1897" t="s">
        <v>1533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1534</v>
      </c>
      <c r="Q9" s="1205" t="str">
        <f t="shared" ref="Q9:Q15" si="6">B9</f>
        <v>用途</v>
      </c>
      <c r="R9" s="1438" t="s">
        <v>1527</v>
      </c>
      <c r="S9" s="1439">
        <f t="shared" si="0"/>
        <v>100</v>
      </c>
      <c r="T9" s="1438" t="s">
        <v>1527</v>
      </c>
      <c r="U9" s="1439">
        <f t="shared" si="1"/>
        <v>100</v>
      </c>
      <c r="V9" s="1438" t="s">
        <v>1527</v>
      </c>
      <c r="W9" s="1439">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903" t="s">
        <v>1536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1527</v>
      </c>
      <c r="S10" s="1439">
        <f t="shared" si="0"/>
        <v>100</v>
      </c>
      <c r="T10" s="1438" t="s">
        <v>1527</v>
      </c>
      <c r="U10" s="1439">
        <f t="shared" si="1"/>
        <v>100</v>
      </c>
      <c r="V10" s="1438" t="s">
        <v>1527</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1539</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1527</v>
      </c>
      <c r="S11" s="1439">
        <f t="shared" si="0"/>
        <v>100</v>
      </c>
      <c r="T11" s="1438" t="s">
        <v>1527</v>
      </c>
      <c r="U11" s="1439">
        <f t="shared" si="1"/>
        <v>100</v>
      </c>
      <c r="V11" s="1438" t="s">
        <v>1527</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1527</v>
      </c>
      <c r="S12" s="1439">
        <f t="shared" si="0"/>
        <v>100</v>
      </c>
      <c r="T12" s="1438" t="s">
        <v>1527</v>
      </c>
      <c r="U12" s="1439">
        <f t="shared" si="1"/>
        <v>100</v>
      </c>
      <c r="V12" s="1438" t="s">
        <v>1527</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1527</v>
      </c>
      <c r="S13" s="1439">
        <f t="shared" si="0"/>
        <v>100</v>
      </c>
      <c r="T13" s="1438" t="s">
        <v>1527</v>
      </c>
      <c r="U13" s="1439">
        <f t="shared" si="1"/>
        <v>100</v>
      </c>
      <c r="V13" s="1438" t="s">
        <v>1527</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56.25" spans="1:29">
      <c r="A15" s="1669" t="s">
        <v>1540</v>
      </c>
      <c r="B15" s="1916" t="s">
        <v>1954</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1542</v>
      </c>
      <c r="Q15" s="1051" t="str">
        <f t="shared" si="6"/>
        <v>产业集聚程度</v>
      </c>
      <c r="R15" s="1488" t="s">
        <v>1527</v>
      </c>
      <c r="S15" s="1489">
        <f t="shared" si="0"/>
        <v>100</v>
      </c>
      <c r="T15" s="1488" t="s">
        <v>1527</v>
      </c>
      <c r="U15" s="1489">
        <f t="shared" si="1"/>
        <v>100</v>
      </c>
      <c r="V15" s="1488" t="s">
        <v>1527</v>
      </c>
      <c r="W15" s="1489">
        <f t="shared" si="2"/>
        <v>100</v>
      </c>
      <c r="X15" s="1396"/>
      <c r="Y15" s="1490" t="s">
        <v>1542</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1544</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1527</v>
      </c>
      <c r="S17" s="1489">
        <f>F17</f>
        <v>100</v>
      </c>
      <c r="T17" s="1488" t="s">
        <v>1527</v>
      </c>
      <c r="U17" s="1489">
        <f>H17</f>
        <v>100</v>
      </c>
      <c r="V17" s="1488" t="s">
        <v>1527</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1546</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1527</v>
      </c>
      <c r="S19" s="1489">
        <f>F19</f>
        <v>100</v>
      </c>
      <c r="T19" s="1488" t="s">
        <v>1527</v>
      </c>
      <c r="U19" s="1489">
        <f>H19</f>
        <v>100</v>
      </c>
      <c r="V19" s="1488" t="s">
        <v>1527</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1547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1527</v>
      </c>
      <c r="S21" s="1489">
        <f>F21</f>
        <v>100</v>
      </c>
      <c r="T21" s="1488" t="s">
        <v>1527</v>
      </c>
      <c r="U21" s="1489">
        <f>H21</f>
        <v>100</v>
      </c>
      <c r="V21" s="1488" t="s">
        <v>1527</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1948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1527</v>
      </c>
      <c r="S23" s="1489">
        <f>F23</f>
        <v>100</v>
      </c>
      <c r="T23" s="1488" t="s">
        <v>1527</v>
      </c>
      <c r="U23" s="1489">
        <f>H23</f>
        <v>100</v>
      </c>
      <c r="V23" s="1488" t="s">
        <v>1527</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1527</v>
      </c>
      <c r="S25" s="1489">
        <f>F25</f>
        <v>100</v>
      </c>
      <c r="T25" s="1488" t="s">
        <v>1527</v>
      </c>
      <c r="U25" s="1489">
        <f>H25</f>
        <v>100</v>
      </c>
      <c r="V25" s="1488" t="s">
        <v>1527</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1527</v>
      </c>
      <c r="S26" s="1489">
        <f>F26</f>
        <v>100</v>
      </c>
      <c r="T26" s="1488" t="s">
        <v>1527</v>
      </c>
      <c r="U26" s="1489">
        <f>H26</f>
        <v>100</v>
      </c>
      <c r="V26" s="1488" t="s">
        <v>1527</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1527</v>
      </c>
      <c r="S27" s="1439">
        <f>F27</f>
        <v>100</v>
      </c>
      <c r="T27" s="1438" t="s">
        <v>1527</v>
      </c>
      <c r="U27" s="1439">
        <f>H27</f>
        <v>100</v>
      </c>
      <c r="V27" s="1438" t="s">
        <v>1527</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1527</v>
      </c>
      <c r="S28" s="1489">
        <f t="shared" ref="S28:S40" si="12">F28</f>
        <v>100</v>
      </c>
      <c r="T28" s="1488" t="s">
        <v>1527</v>
      </c>
      <c r="U28" s="1489">
        <f t="shared" ref="U28:U40" si="13">H28</f>
        <v>100</v>
      </c>
      <c r="V28" s="1488" t="s">
        <v>1527</v>
      </c>
      <c r="W28" s="1489">
        <f t="shared" ref="W28:W40" si="14">J28</f>
        <v>100</v>
      </c>
      <c r="X28" s="1396"/>
      <c r="Y28" s="1499"/>
      <c r="Z28" s="1491">
        <f t="shared" ref="Z28:Z40" si="15">Q28</f>
        <v>111</v>
      </c>
      <c r="AA28" s="1491">
        <f t="shared" si="3"/>
        <v>1</v>
      </c>
      <c r="AB28" s="1491">
        <f t="shared" si="4"/>
        <v>1</v>
      </c>
      <c r="AC28" s="1491">
        <f t="shared" si="5"/>
        <v>1</v>
      </c>
    </row>
    <row r="29" ht="28.5" spans="1:29">
      <c r="A29" s="1949" t="s">
        <v>1558</v>
      </c>
      <c r="B29" s="1897" t="s">
        <v>1921</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1562</v>
      </c>
      <c r="Q29" s="1051" t="str">
        <f t="shared" si="11"/>
        <v>建筑类型</v>
      </c>
      <c r="R29" s="1488" t="s">
        <v>1527</v>
      </c>
      <c r="S29" s="1489">
        <f t="shared" si="12"/>
        <v>100</v>
      </c>
      <c r="T29" s="1488" t="s">
        <v>1527</v>
      </c>
      <c r="U29" s="1489">
        <f t="shared" si="13"/>
        <v>100</v>
      </c>
      <c r="V29" s="1488" t="s">
        <v>1527</v>
      </c>
      <c r="W29" s="1489">
        <f t="shared" si="14"/>
        <v>100</v>
      </c>
      <c r="X29" s="1396"/>
      <c r="Y29" s="1526" t="s">
        <v>1562</v>
      </c>
      <c r="Z29" s="1491" t="str">
        <f t="shared" si="15"/>
        <v>建筑类型</v>
      </c>
      <c r="AA29" s="1491">
        <f t="shared" si="3"/>
        <v>1</v>
      </c>
      <c r="AB29" s="1491">
        <f t="shared" si="4"/>
        <v>1</v>
      </c>
      <c r="AC29" s="1491">
        <f t="shared" si="5"/>
        <v>1</v>
      </c>
    </row>
    <row r="30" s="1354" customFormat="1" ht="15" spans="1:29">
      <c r="A30" s="1745"/>
      <c r="B30" s="1903" t="s">
        <v>1563</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1527</v>
      </c>
      <c r="S30" s="1536" t="e">
        <f t="shared" si="12"/>
        <v>#N/A</v>
      </c>
      <c r="T30" s="1535" t="s">
        <v>1527</v>
      </c>
      <c r="U30" s="1536" t="e">
        <f t="shared" si="13"/>
        <v>#N/A</v>
      </c>
      <c r="V30" s="1535" t="s">
        <v>1527</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1564</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1527</v>
      </c>
      <c r="S31" s="1489">
        <f t="shared" si="12"/>
        <v>100</v>
      </c>
      <c r="T31" s="1488" t="s">
        <v>1527</v>
      </c>
      <c r="U31" s="1489">
        <f t="shared" si="13"/>
        <v>100</v>
      </c>
      <c r="V31" s="1488" t="s">
        <v>1527</v>
      </c>
      <c r="W31" s="1489">
        <f t="shared" si="14"/>
        <v>100</v>
      </c>
      <c r="X31" s="1396"/>
      <c r="Y31" s="1526"/>
      <c r="Z31" s="1491" t="str">
        <f t="shared" si="15"/>
        <v>建筑结构</v>
      </c>
      <c r="AA31" s="1491">
        <f t="shared" si="3"/>
        <v>1</v>
      </c>
      <c r="AB31" s="1491">
        <f t="shared" si="4"/>
        <v>1</v>
      </c>
      <c r="AC31" s="1491">
        <f t="shared" si="5"/>
        <v>1</v>
      </c>
    </row>
    <row r="32" ht="15" spans="1:29">
      <c r="A32" s="1754"/>
      <c r="B32" s="1903" t="s">
        <v>1566</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1527</v>
      </c>
      <c r="S32" s="1489">
        <f t="shared" si="12"/>
        <v>100</v>
      </c>
      <c r="T32" s="1488" t="s">
        <v>1527</v>
      </c>
      <c r="U32" s="1489">
        <f t="shared" si="13"/>
        <v>100</v>
      </c>
      <c r="V32" s="1488" t="s">
        <v>1527</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1527</v>
      </c>
      <c r="S33" s="1489" t="e">
        <f t="shared" si="12"/>
        <v>#N/A</v>
      </c>
      <c r="T33" s="1488" t="s">
        <v>1527</v>
      </c>
      <c r="U33" s="1489" t="e">
        <f t="shared" si="13"/>
        <v>#N/A</v>
      </c>
      <c r="V33" s="1488" t="s">
        <v>1527</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1923</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1527</v>
      </c>
      <c r="S34" s="1439">
        <f t="shared" si="12"/>
        <v>100</v>
      </c>
      <c r="T34" s="1438" t="s">
        <v>1527</v>
      </c>
      <c r="U34" s="1439">
        <f t="shared" si="13"/>
        <v>100</v>
      </c>
      <c r="V34" s="1438" t="s">
        <v>1527</v>
      </c>
      <c r="W34" s="1439">
        <f t="shared" si="14"/>
        <v>100</v>
      </c>
      <c r="X34" s="1440"/>
      <c r="Y34" s="1526"/>
      <c r="Z34" s="1443" t="str">
        <f t="shared" si="15"/>
        <v>物业管理</v>
      </c>
      <c r="AA34" s="1443">
        <f t="shared" si="3"/>
        <v>1</v>
      </c>
      <c r="AB34" s="1443">
        <f t="shared" si="4"/>
        <v>1</v>
      </c>
      <c r="AC34" s="1443">
        <f t="shared" si="5"/>
        <v>1</v>
      </c>
    </row>
    <row r="35" ht="15" spans="1:29">
      <c r="A35" s="1754"/>
      <c r="B35" s="1903" t="s">
        <v>1567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1562</v>
      </c>
      <c r="Q35" s="1051" t="str">
        <f t="shared" si="11"/>
        <v>市政基础设施</v>
      </c>
      <c r="R35" s="1488" t="s">
        <v>1527</v>
      </c>
      <c r="S35" s="1489">
        <f t="shared" si="12"/>
        <v>100</v>
      </c>
      <c r="T35" s="1488" t="s">
        <v>1527</v>
      </c>
      <c r="U35" s="1489">
        <f t="shared" si="13"/>
        <v>100</v>
      </c>
      <c r="V35" s="1488" t="s">
        <v>1527</v>
      </c>
      <c r="W35" s="1489">
        <f t="shared" si="14"/>
        <v>100</v>
      </c>
      <c r="X35" s="1396"/>
      <c r="Y35" s="1526" t="s">
        <v>1562</v>
      </c>
      <c r="Z35" s="1491" t="str">
        <f t="shared" si="15"/>
        <v>市政基础设施</v>
      </c>
      <c r="AA35" s="1491">
        <f t="shared" si="3"/>
        <v>1</v>
      </c>
      <c r="AB35" s="1491">
        <f t="shared" si="4"/>
        <v>1</v>
      </c>
      <c r="AC35" s="1491">
        <f t="shared" si="5"/>
        <v>1</v>
      </c>
    </row>
    <row r="36" ht="15" spans="1:29">
      <c r="A36" s="1754"/>
      <c r="B36" s="1903" t="s">
        <v>1575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1527</v>
      </c>
      <c r="S36" s="1489">
        <f t="shared" si="12"/>
        <v>100</v>
      </c>
      <c r="T36" s="1488" t="s">
        <v>1527</v>
      </c>
      <c r="U36" s="1489">
        <f t="shared" si="13"/>
        <v>100</v>
      </c>
      <c r="V36" s="1488" t="s">
        <v>1527</v>
      </c>
      <c r="W36" s="1489">
        <f t="shared" si="14"/>
        <v>100</v>
      </c>
      <c r="X36" s="1396"/>
      <c r="Y36" s="1526"/>
      <c r="Z36" s="1491" t="str">
        <f t="shared" si="15"/>
        <v>内部装修</v>
      </c>
      <c r="AA36" s="1491">
        <f t="shared" si="3"/>
        <v>1</v>
      </c>
      <c r="AB36" s="1491">
        <f t="shared" si="4"/>
        <v>1</v>
      </c>
      <c r="AC36" s="1491">
        <f t="shared" si="5"/>
        <v>1</v>
      </c>
    </row>
    <row r="37" ht="15" spans="1:29">
      <c r="A37" s="1754"/>
      <c r="B37" s="1903" t="s">
        <v>1955</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1527</v>
      </c>
      <c r="S37" s="1489">
        <f t="shared" si="12"/>
        <v>100</v>
      </c>
      <c r="T37" s="1488" t="s">
        <v>1527</v>
      </c>
      <c r="U37" s="1489">
        <f t="shared" si="13"/>
        <v>100</v>
      </c>
      <c r="V37" s="1488" t="s">
        <v>1527</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1527</v>
      </c>
      <c r="S38" s="1536">
        <f t="shared" si="12"/>
        <v>100</v>
      </c>
      <c r="T38" s="1535" t="s">
        <v>1527</v>
      </c>
      <c r="U38" s="1536">
        <f t="shared" si="13"/>
        <v>100</v>
      </c>
      <c r="V38" s="1535" t="s">
        <v>1527</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1527</v>
      </c>
      <c r="S39" s="1489">
        <f t="shared" si="12"/>
        <v>100</v>
      </c>
      <c r="T39" s="1488" t="s">
        <v>1527</v>
      </c>
      <c r="U39" s="1489">
        <f t="shared" si="13"/>
        <v>100</v>
      </c>
      <c r="V39" s="1488" t="s">
        <v>1527</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1527</v>
      </c>
      <c r="S40" s="1489">
        <f t="shared" si="12"/>
        <v>100</v>
      </c>
      <c r="T40" s="1488" t="s">
        <v>1527</v>
      </c>
      <c r="U40" s="1489">
        <f t="shared" si="13"/>
        <v>100</v>
      </c>
      <c r="V40" s="1488" t="s">
        <v>1527</v>
      </c>
      <c r="W40" s="1489">
        <f t="shared" si="14"/>
        <v>100</v>
      </c>
      <c r="X40" s="1396"/>
      <c r="Y40" s="2074"/>
      <c r="Z40" s="1491">
        <f t="shared" si="15"/>
        <v>111</v>
      </c>
      <c r="AA40" s="1491">
        <f t="shared" si="3"/>
        <v>1</v>
      </c>
      <c r="AB40" s="1491">
        <f t="shared" si="4"/>
        <v>1</v>
      </c>
      <c r="AC40" s="1491">
        <f t="shared" si="5"/>
        <v>1</v>
      </c>
    </row>
    <row r="41" ht="15" spans="1:29">
      <c r="A41" s="1552" t="s">
        <v>1583</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1584</v>
      </c>
      <c r="B42" s="1969"/>
      <c r="C42" s="1571" t="e">
        <f>R43</f>
        <v>#DIV/0!</v>
      </c>
      <c r="D42" s="1799" t="s">
        <v>1585</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1586</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1587</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1588</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1589</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1590</v>
      </c>
      <c r="B51" s="1564"/>
      <c r="C51" s="1634"/>
      <c r="D51" s="1634"/>
      <c r="E51" s="1634"/>
      <c r="F51" s="1635"/>
      <c r="G51" s="1635"/>
      <c r="H51" s="1634"/>
      <c r="I51" s="1634"/>
      <c r="J51" s="1634"/>
      <c r="K51" s="2029"/>
      <c r="L51" s="1826"/>
      <c r="M51" s="1638"/>
      <c r="N51" s="1638"/>
      <c r="O51" s="1638"/>
      <c r="P51" s="2081"/>
      <c r="Q51" s="2082"/>
    </row>
    <row r="52" s="1357" customFormat="1" ht="15" spans="1:23">
      <c r="A52" s="1974" t="s">
        <v>1525</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1591</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1528</v>
      </c>
      <c r="B55" s="1659"/>
      <c r="C55" s="1660" t="s">
        <v>1592</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1593</v>
      </c>
      <c r="B57" s="1670" t="s">
        <v>1533</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1536</v>
      </c>
      <c r="C59" s="1734"/>
      <c r="D59" s="1734"/>
      <c r="E59" s="1734"/>
      <c r="F59" s="1734"/>
      <c r="G59" s="1734"/>
      <c r="H59" s="1734"/>
      <c r="I59" s="1734"/>
      <c r="J59" s="1734"/>
      <c r="K59" s="1735"/>
      <c r="L59" s="1736"/>
      <c r="M59" s="1737"/>
      <c r="N59" s="2090"/>
      <c r="O59" s="2090"/>
      <c r="P59" s="2091"/>
      <c r="Q59" s="2082"/>
    </row>
    <row r="60" ht="15.75" spans="1:23">
      <c r="A60" s="1676"/>
      <c r="B60" s="1686" t="s">
        <v>1596</v>
      </c>
      <c r="C60" s="1678"/>
      <c r="D60" s="1678"/>
      <c r="E60" s="1678"/>
      <c r="F60" s="1678"/>
      <c r="G60" s="1678"/>
      <c r="H60" s="1678"/>
      <c r="I60" s="1678"/>
      <c r="J60" s="1678"/>
      <c r="K60" s="1678"/>
      <c r="L60" s="1678"/>
      <c r="M60" s="1679"/>
      <c r="N60" s="2092"/>
      <c r="O60" s="2092"/>
      <c r="P60" s="2091"/>
      <c r="Q60" s="2082"/>
    </row>
    <row r="61" ht="15.75" spans="1:23">
      <c r="A61" s="1676"/>
      <c r="B61" s="1689" t="s">
        <v>1539</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1540</v>
      </c>
      <c r="B70" s="1670" t="s">
        <v>1954</v>
      </c>
      <c r="C70" s="1718" t="s">
        <v>1598</v>
      </c>
      <c r="D70" s="1718" t="s">
        <v>1599</v>
      </c>
      <c r="E70" s="1718" t="s">
        <v>1600</v>
      </c>
      <c r="F70" s="1718" t="s">
        <v>1601</v>
      </c>
      <c r="G70" s="1718" t="s">
        <v>1602</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1544</v>
      </c>
      <c r="C72" s="1723" t="s">
        <v>1598</v>
      </c>
      <c r="D72" s="1723" t="s">
        <v>1599</v>
      </c>
      <c r="E72" s="1723" t="s">
        <v>1600</v>
      </c>
      <c r="F72" s="1723" t="s">
        <v>1601</v>
      </c>
      <c r="G72" s="1723" t="s">
        <v>1602</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1546</v>
      </c>
      <c r="C74" s="1723" t="s">
        <v>1598</v>
      </c>
      <c r="D74" s="1723" t="s">
        <v>1599</v>
      </c>
      <c r="E74" s="1723" t="s">
        <v>1600</v>
      </c>
      <c r="F74" s="1723" t="s">
        <v>1601</v>
      </c>
      <c r="G74" s="1723" t="s">
        <v>1602</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1547</v>
      </c>
      <c r="C76" s="1499" t="s">
        <v>1603</v>
      </c>
      <c r="D76" s="1499" t="s">
        <v>1604</v>
      </c>
      <c r="E76" s="1499" t="s">
        <v>1605</v>
      </c>
      <c r="F76" s="1499" t="s">
        <v>1606</v>
      </c>
      <c r="G76" s="1499" t="s">
        <v>1607</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1948</v>
      </c>
      <c r="C78" s="1723" t="s">
        <v>1598</v>
      </c>
      <c r="D78" s="1723" t="s">
        <v>1599</v>
      </c>
      <c r="E78" s="1723" t="s">
        <v>1600</v>
      </c>
      <c r="F78" s="1723" t="s">
        <v>1601</v>
      </c>
      <c r="G78" s="1723" t="s">
        <v>1602</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1558</v>
      </c>
      <c r="B88" s="1670" t="s">
        <v>1921</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1563</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1564</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1566</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1923</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1567</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1575</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1956</v>
      </c>
      <c r="C106" s="1723" t="s">
        <v>1598</v>
      </c>
      <c r="D106" s="1723" t="s">
        <v>1599</v>
      </c>
      <c r="E106" s="1723" t="s">
        <v>1600</v>
      </c>
      <c r="F106" s="1723" t="s">
        <v>1601</v>
      </c>
      <c r="G106" s="1723" t="s">
        <v>1602</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1957</v>
      </c>
      <c r="B1" s="1846" t="s">
        <v>1958</v>
      </c>
      <c r="C1" s="1847" t="s">
        <v>1507</v>
      </c>
      <c r="D1" s="1848"/>
      <c r="E1" s="1849"/>
      <c r="F1" s="1850"/>
      <c r="G1" s="1989" t="s">
        <v>1510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1512</v>
      </c>
      <c r="D3" s="1864">
        <f>SUMIF('数据-汇总表'!$C19:$C33,D1,'数据-汇总表'!$E19:$E33)</f>
        <v>0</v>
      </c>
      <c r="E3" s="1865" t="s">
        <v>1959</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6" si="3">D8/F8</f>
        <v>1</v>
      </c>
      <c r="AB8" s="1443">
        <f t="shared" ref="AB8:AB36" si="4">D8/H8</f>
        <v>1</v>
      </c>
      <c r="AC8" s="1443">
        <f t="shared" ref="AC8:AC36" si="5">D8/J8</f>
        <v>1</v>
      </c>
    </row>
    <row r="9" s="1352" customFormat="1"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762" t="s">
        <v>1540</v>
      </c>
      <c r="B14" s="2006" t="s">
        <v>1544</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1542</v>
      </c>
      <c r="Q14" s="1607" t="str">
        <f t="shared" si="6"/>
        <v>交通便捷度</v>
      </c>
      <c r="R14" s="1924" t="s">
        <v>1527</v>
      </c>
      <c r="S14" s="1925">
        <f t="shared" si="0"/>
        <v>100</v>
      </c>
      <c r="T14" s="1924" t="s">
        <v>1527</v>
      </c>
      <c r="U14" s="1925">
        <f t="shared" si="1"/>
        <v>100</v>
      </c>
      <c r="V14" s="1924" t="s">
        <v>1527</v>
      </c>
      <c r="W14" s="1925">
        <f t="shared" si="2"/>
        <v>100</v>
      </c>
      <c r="X14" s="1396"/>
      <c r="Y14" s="1490" t="s">
        <v>1542</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1548</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1555</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2015" t="s">
        <v>1558</v>
      </c>
      <c r="B26" s="1901" t="s">
        <v>1960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1562</v>
      </c>
      <c r="Q26" s="1607" t="str">
        <f t="shared" si="11"/>
        <v>配套类型</v>
      </c>
      <c r="R26" s="1924" t="s">
        <v>1527</v>
      </c>
      <c r="S26" s="1925">
        <f t="shared" ref="S26:S36" si="12">F26</f>
        <v>0</v>
      </c>
      <c r="T26" s="1924" t="s">
        <v>1527</v>
      </c>
      <c r="U26" s="1925">
        <f t="shared" ref="U26:U36" si="13">H26</f>
        <v>0</v>
      </c>
      <c r="V26" s="1924" t="s">
        <v>1527</v>
      </c>
      <c r="W26" s="1925">
        <f t="shared" ref="W26:W36" si="14">J26</f>
        <v>0</v>
      </c>
      <c r="X26" s="1396"/>
      <c r="Y26" s="1526" t="s">
        <v>1562</v>
      </c>
      <c r="Z26" s="1491" t="str">
        <f t="shared" ref="Z26:Z36" si="15">Q26</f>
        <v>配套类型</v>
      </c>
      <c r="AA26" s="1491" t="e">
        <f t="shared" si="3"/>
        <v>#DIV/0!</v>
      </c>
      <c r="AB26" s="1491" t="e">
        <f t="shared" si="4"/>
        <v>#DIV/0!</v>
      </c>
      <c r="AC26" s="1491" t="e">
        <f t="shared" si="5"/>
        <v>#DIV/0!</v>
      </c>
    </row>
    <row r="27" s="1354" customFormat="1" ht="15" spans="1:29">
      <c r="A27" s="2017"/>
      <c r="B27" s="1906" t="s">
        <v>1961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1527</v>
      </c>
      <c r="S27" s="1958">
        <f t="shared" si="12"/>
        <v>100</v>
      </c>
      <c r="T27" s="1957" t="s">
        <v>1527</v>
      </c>
      <c r="U27" s="1958">
        <f t="shared" si="13"/>
        <v>100</v>
      </c>
      <c r="V27" s="1957" t="s">
        <v>1527</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1566</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1527</v>
      </c>
      <c r="S28" s="1925">
        <f t="shared" si="12"/>
        <v>100</v>
      </c>
      <c r="T28" s="1924" t="s">
        <v>1527</v>
      </c>
      <c r="U28" s="1925">
        <f t="shared" si="13"/>
        <v>100</v>
      </c>
      <c r="V28" s="1924" t="s">
        <v>1527</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1527</v>
      </c>
      <c r="S29" s="1925" t="e">
        <f t="shared" si="12"/>
        <v>#N/A</v>
      </c>
      <c r="T29" s="1924" t="s">
        <v>1527</v>
      </c>
      <c r="U29" s="1925" t="e">
        <f t="shared" si="13"/>
        <v>#N/A</v>
      </c>
      <c r="V29" s="1924" t="s">
        <v>1527</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1527</v>
      </c>
      <c r="S30" s="1925">
        <f t="shared" si="12"/>
        <v>100</v>
      </c>
      <c r="T30" s="1924" t="s">
        <v>1527</v>
      </c>
      <c r="U30" s="1925">
        <f t="shared" si="13"/>
        <v>100</v>
      </c>
      <c r="V30" s="1924" t="s">
        <v>1527</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1527</v>
      </c>
      <c r="S31" s="1442" t="e">
        <f t="shared" si="12"/>
        <v>#N/A</v>
      </c>
      <c r="T31" s="1894" t="s">
        <v>1527</v>
      </c>
      <c r="U31" s="1442" t="e">
        <f t="shared" si="13"/>
        <v>#N/A</v>
      </c>
      <c r="V31" s="1894" t="s">
        <v>1527</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1562</v>
      </c>
      <c r="Q32" s="1607" t="str">
        <f t="shared" si="11"/>
        <v>车位类型</v>
      </c>
      <c r="R32" s="1924" t="s">
        <v>1527</v>
      </c>
      <c r="S32" s="1925">
        <f t="shared" si="12"/>
        <v>100</v>
      </c>
      <c r="T32" s="1924" t="s">
        <v>1527</v>
      </c>
      <c r="U32" s="1925">
        <f t="shared" si="13"/>
        <v>100</v>
      </c>
      <c r="V32" s="1924" t="s">
        <v>1527</v>
      </c>
      <c r="W32" s="1925">
        <f t="shared" si="14"/>
        <v>100</v>
      </c>
      <c r="X32" s="1396"/>
      <c r="Y32" s="1526" t="s">
        <v>1562</v>
      </c>
      <c r="Z32" s="1491" t="str">
        <f t="shared" si="15"/>
        <v>车位类型</v>
      </c>
      <c r="AA32" s="1491">
        <f t="shared" si="3"/>
        <v>1</v>
      </c>
      <c r="AB32" s="1491">
        <f t="shared" si="4"/>
        <v>1</v>
      </c>
      <c r="AC32" s="1491">
        <f t="shared" si="5"/>
        <v>1</v>
      </c>
    </row>
    <row r="33" ht="15" spans="1:29">
      <c r="A33" s="2019"/>
      <c r="B33" s="1906" t="s">
        <v>1966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1527</v>
      </c>
      <c r="S33" s="1925">
        <f t="shared" si="12"/>
        <v>100</v>
      </c>
      <c r="T33" s="1924" t="s">
        <v>1527</v>
      </c>
      <c r="U33" s="1925">
        <f t="shared" si="13"/>
        <v>100</v>
      </c>
      <c r="V33" s="1924" t="s">
        <v>1527</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1527</v>
      </c>
      <c r="S35" s="1958">
        <f t="shared" si="12"/>
        <v>100</v>
      </c>
      <c r="T35" s="1957" t="s">
        <v>1527</v>
      </c>
      <c r="U35" s="1958">
        <f t="shared" si="13"/>
        <v>100</v>
      </c>
      <c r="V35" s="1957" t="s">
        <v>1527</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1527</v>
      </c>
      <c r="S36" s="1925">
        <f t="shared" si="12"/>
        <v>100</v>
      </c>
      <c r="T36" s="1924" t="s">
        <v>1527</v>
      </c>
      <c r="U36" s="1925">
        <f t="shared" si="13"/>
        <v>100</v>
      </c>
      <c r="V36" s="1924" t="s">
        <v>1527</v>
      </c>
      <c r="W36" s="1925">
        <f t="shared" si="14"/>
        <v>100</v>
      </c>
      <c r="X36" s="1396"/>
      <c r="Y36" s="1526"/>
      <c r="Z36" s="1491">
        <f t="shared" si="15"/>
        <v>111</v>
      </c>
      <c r="AA36" s="1491">
        <f t="shared" si="3"/>
        <v>1</v>
      </c>
      <c r="AB36" s="1491">
        <f t="shared" si="4"/>
        <v>1</v>
      </c>
      <c r="AC36" s="1491">
        <f t="shared" si="5"/>
        <v>1</v>
      </c>
    </row>
    <row r="37" ht="15" spans="1:29">
      <c r="A37" s="1552" t="s">
        <v>1967</v>
      </c>
      <c r="B37" s="2022" t="s">
        <v>1968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1584</v>
      </c>
      <c r="B38" s="1969" t="str">
        <f>B37</f>
        <v>元/平方米</v>
      </c>
      <c r="C38" s="1571" t="e">
        <f>R39</f>
        <v>#DIV/0!</v>
      </c>
      <c r="D38" s="1799" t="s">
        <v>1585</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1587</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1588</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1589</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1590</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1525</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1591</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1528</v>
      </c>
      <c r="B51" s="1659"/>
      <c r="C51" s="1660" t="s">
        <v>1592</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1593</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1596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1540</v>
      </c>
      <c r="B63" s="1670" t="s">
        <v>1544</v>
      </c>
      <c r="C63" s="1718" t="s">
        <v>1598</v>
      </c>
      <c r="D63" s="1718" t="s">
        <v>1599</v>
      </c>
      <c r="E63" s="1718" t="s">
        <v>1600</v>
      </c>
      <c r="F63" s="1718" t="s">
        <v>1601</v>
      </c>
      <c r="G63" s="1718" t="s">
        <v>1602</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1546</v>
      </c>
      <c r="C65" s="1723" t="s">
        <v>1598</v>
      </c>
      <c r="D65" s="1723" t="s">
        <v>1599</v>
      </c>
      <c r="E65" s="1723" t="s">
        <v>1600</v>
      </c>
      <c r="F65" s="1723" t="s">
        <v>1601</v>
      </c>
      <c r="G65" s="1723" t="s">
        <v>1602</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1547</v>
      </c>
      <c r="C67" s="1499" t="s">
        <v>1603</v>
      </c>
      <c r="D67" s="1499" t="s">
        <v>1604</v>
      </c>
      <c r="E67" s="1499" t="s">
        <v>1605</v>
      </c>
      <c r="F67" s="1499" t="s">
        <v>1606</v>
      </c>
      <c r="G67" s="1499" t="s">
        <v>1607</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1548</v>
      </c>
      <c r="C69" s="1723" t="s">
        <v>1598</v>
      </c>
      <c r="D69" s="1723" t="s">
        <v>1599</v>
      </c>
      <c r="E69" s="1723" t="s">
        <v>1600</v>
      </c>
      <c r="F69" s="1723" t="s">
        <v>1601</v>
      </c>
      <c r="G69" s="1723" t="s">
        <v>1602</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1555</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1558</v>
      </c>
      <c r="B79" s="1670" t="s">
        <v>1970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1566</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1957</v>
      </c>
      <c r="B1" s="1846" t="s">
        <v>1971</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1512</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4" si="3">D8/F8</f>
        <v>1</v>
      </c>
      <c r="AB8" s="1443">
        <f t="shared" ref="AB8:AB34" si="4">D8/H8</f>
        <v>1</v>
      </c>
      <c r="AC8" s="1443">
        <f t="shared" ref="AC8:AC34" si="5">D8/J8</f>
        <v>1</v>
      </c>
    </row>
    <row r="9" s="1352" customFormat="1"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669" t="s">
        <v>1540</v>
      </c>
      <c r="B14" s="1916" t="s">
        <v>1544</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1542</v>
      </c>
      <c r="Q14" s="1607" t="str">
        <f t="shared" si="6"/>
        <v>交通便捷度</v>
      </c>
      <c r="R14" s="1924" t="s">
        <v>1527</v>
      </c>
      <c r="S14" s="1925">
        <f t="shared" si="0"/>
        <v>100</v>
      </c>
      <c r="T14" s="1924" t="s">
        <v>1527</v>
      </c>
      <c r="U14" s="1925">
        <f t="shared" si="1"/>
        <v>100</v>
      </c>
      <c r="V14" s="1924" t="s">
        <v>1527</v>
      </c>
      <c r="W14" s="1925">
        <f t="shared" si="2"/>
        <v>100</v>
      </c>
      <c r="X14" s="1396"/>
      <c r="Y14" s="1490" t="s">
        <v>1542</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1548</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1555</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1949" t="s">
        <v>1558</v>
      </c>
      <c r="B26" s="1897" t="s">
        <v>1566</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1562</v>
      </c>
      <c r="Q26" s="1607" t="str">
        <f t="shared" si="11"/>
        <v>公共部分装修</v>
      </c>
      <c r="R26" s="1924" t="s">
        <v>1527</v>
      </c>
      <c r="S26" s="1925">
        <f t="shared" ref="S26:S34" si="12">F26</f>
        <v>100</v>
      </c>
      <c r="T26" s="1924" t="s">
        <v>1527</v>
      </c>
      <c r="U26" s="1925">
        <f t="shared" ref="U26:U34" si="13">H26</f>
        <v>100</v>
      </c>
      <c r="V26" s="1924" t="s">
        <v>1527</v>
      </c>
      <c r="W26" s="1925">
        <f t="shared" ref="W26:W34" si="14">J26</f>
        <v>100</v>
      </c>
      <c r="X26" s="1396"/>
      <c r="Y26" s="1526" t="s">
        <v>1562</v>
      </c>
      <c r="Z26" s="1491" t="str">
        <f t="shared" ref="Z26:Z34" si="15">Q26</f>
        <v>公共部分装修</v>
      </c>
      <c r="AA26" s="1491">
        <f t="shared" si="3"/>
        <v>1</v>
      </c>
      <c r="AB26" s="1491">
        <f t="shared" si="4"/>
        <v>1</v>
      </c>
      <c r="AC26" s="1491">
        <f t="shared" si="5"/>
        <v>1</v>
      </c>
    </row>
    <row r="27" s="1354" customFormat="1" ht="15" spans="1:29">
      <c r="A27" s="1745"/>
      <c r="B27" s="1903" t="s">
        <v>1962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1527</v>
      </c>
      <c r="S27" s="1958" t="e">
        <f t="shared" si="12"/>
        <v>#N/A</v>
      </c>
      <c r="T27" s="1957" t="s">
        <v>1527</v>
      </c>
      <c r="U27" s="1958" t="e">
        <f t="shared" si="13"/>
        <v>#N/A</v>
      </c>
      <c r="V27" s="1957" t="s">
        <v>1527</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1527</v>
      </c>
      <c r="S28" s="1925">
        <f t="shared" si="12"/>
        <v>100</v>
      </c>
      <c r="T28" s="1924" t="s">
        <v>1527</v>
      </c>
      <c r="U28" s="1925">
        <f t="shared" si="13"/>
        <v>100</v>
      </c>
      <c r="V28" s="1924" t="s">
        <v>1527</v>
      </c>
      <c r="W28" s="1925">
        <f t="shared" si="14"/>
        <v>100</v>
      </c>
      <c r="X28" s="1396"/>
      <c r="Y28" s="1526"/>
      <c r="Z28" s="1491" t="str">
        <f t="shared" si="15"/>
        <v>物业等级</v>
      </c>
      <c r="AA28" s="1491">
        <f t="shared" si="3"/>
        <v>1</v>
      </c>
      <c r="AB28" s="1491">
        <f t="shared" si="4"/>
        <v>1</v>
      </c>
      <c r="AC28" s="1491">
        <f t="shared" si="5"/>
        <v>1</v>
      </c>
    </row>
    <row r="29" ht="15" spans="1:29">
      <c r="A29" s="1754"/>
      <c r="B29" s="1903" t="s">
        <v>1972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1527</v>
      </c>
      <c r="S29" s="1925">
        <f t="shared" si="12"/>
        <v>100</v>
      </c>
      <c r="T29" s="1924" t="s">
        <v>1527</v>
      </c>
      <c r="U29" s="1925">
        <f t="shared" si="13"/>
        <v>100</v>
      </c>
      <c r="V29" s="1924" t="s">
        <v>1527</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1527</v>
      </c>
      <c r="S30" s="1925" t="e">
        <f t="shared" si="12"/>
        <v>#N/A</v>
      </c>
      <c r="T30" s="1924" t="s">
        <v>1527</v>
      </c>
      <c r="U30" s="1925" t="e">
        <f t="shared" si="13"/>
        <v>#N/A</v>
      </c>
      <c r="V30" s="1924" t="s">
        <v>1527</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1527</v>
      </c>
      <c r="S31" s="1442">
        <f t="shared" si="12"/>
        <v>100</v>
      </c>
      <c r="T31" s="1894" t="s">
        <v>1527</v>
      </c>
      <c r="U31" s="1442">
        <f t="shared" si="13"/>
        <v>100</v>
      </c>
      <c r="V31" s="1894" t="s">
        <v>1527</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1562</v>
      </c>
      <c r="Q32" s="1607">
        <f t="shared" si="11"/>
        <v>111</v>
      </c>
      <c r="R32" s="1924" t="s">
        <v>1527</v>
      </c>
      <c r="S32" s="1925">
        <f t="shared" si="12"/>
        <v>100</v>
      </c>
      <c r="T32" s="1924" t="s">
        <v>1527</v>
      </c>
      <c r="U32" s="1925">
        <f t="shared" si="13"/>
        <v>100</v>
      </c>
      <c r="V32" s="1924" t="s">
        <v>1527</v>
      </c>
      <c r="W32" s="1925">
        <f t="shared" si="14"/>
        <v>100</v>
      </c>
      <c r="X32" s="1396"/>
      <c r="Y32" s="1526" t="s">
        <v>1562</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1527</v>
      </c>
      <c r="S33" s="1925">
        <f t="shared" si="12"/>
        <v>100</v>
      </c>
      <c r="T33" s="1924" t="s">
        <v>1527</v>
      </c>
      <c r="U33" s="1925">
        <f t="shared" si="13"/>
        <v>100</v>
      </c>
      <c r="V33" s="1924" t="s">
        <v>1527</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ht="15" spans="1:30">
      <c r="A35" s="1552" t="s">
        <v>1583</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1584</v>
      </c>
      <c r="B36" s="1969"/>
      <c r="C36" s="1571" t="e">
        <f>R37</f>
        <v>#DIV/0!</v>
      </c>
      <c r="D36" s="1799" t="s">
        <v>1585</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1586</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1587</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1588</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1589</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1590</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1525</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1591</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1528</v>
      </c>
      <c r="B49" s="1659"/>
      <c r="C49" s="1660" t="s">
        <v>1592</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1593</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1596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1540</v>
      </c>
      <c r="B61" s="1670" t="s">
        <v>1544</v>
      </c>
      <c r="C61" s="1718" t="s">
        <v>1598</v>
      </c>
      <c r="D61" s="1718" t="s">
        <v>1599</v>
      </c>
      <c r="E61" s="1718" t="s">
        <v>1600</v>
      </c>
      <c r="F61" s="1718" t="s">
        <v>1601</v>
      </c>
      <c r="G61" s="1718" t="s">
        <v>1602</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1974</v>
      </c>
      <c r="C63" s="1723" t="s">
        <v>1598</v>
      </c>
      <c r="D63" s="1723" t="s">
        <v>1599</v>
      </c>
      <c r="E63" s="1723" t="s">
        <v>1600</v>
      </c>
      <c r="F63" s="1723" t="s">
        <v>1601</v>
      </c>
      <c r="G63" s="1723" t="s">
        <v>1602</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1547</v>
      </c>
      <c r="C65" s="1499" t="s">
        <v>1603</v>
      </c>
      <c r="D65" s="1499" t="s">
        <v>1604</v>
      </c>
      <c r="E65" s="1499" t="s">
        <v>1605</v>
      </c>
      <c r="F65" s="1499" t="s">
        <v>1606</v>
      </c>
      <c r="G65" s="1499" t="s">
        <v>1607</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1548</v>
      </c>
      <c r="C67" s="1723" t="s">
        <v>1598</v>
      </c>
      <c r="D67" s="1723" t="s">
        <v>1599</v>
      </c>
      <c r="E67" s="1723" t="s">
        <v>1600</v>
      </c>
      <c r="F67" s="1723" t="s">
        <v>1601</v>
      </c>
      <c r="G67" s="1723" t="s">
        <v>1602</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1555</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1558</v>
      </c>
      <c r="B77" s="1670" t="s">
        <v>1566</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1975</v>
      </c>
      <c r="B1" s="1362"/>
      <c r="C1" s="1363" t="s">
        <v>1976</v>
      </c>
      <c r="D1" s="1364"/>
      <c r="E1" s="1364"/>
      <c r="F1" s="1365" t="s">
        <v>1510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1512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1977</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1513</v>
      </c>
      <c r="B6" s="1763"/>
      <c r="C6" s="1385" t="s">
        <v>1514</v>
      </c>
      <c r="D6" s="1386"/>
      <c r="E6" s="1387" t="s">
        <v>1515</v>
      </c>
      <c r="F6" s="1388"/>
      <c r="G6" s="1385" t="s">
        <v>1516</v>
      </c>
      <c r="H6" s="1386"/>
      <c r="I6" s="1385" t="s">
        <v>1517</v>
      </c>
      <c r="J6" s="1386"/>
      <c r="K6" s="1764"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30">
      <c r="A7" s="1765"/>
      <c r="B7" s="1766"/>
      <c r="C7" s="1402" t="s">
        <v>1520</v>
      </c>
      <c r="D7" s="1403"/>
      <c r="E7" s="1404" t="s">
        <v>1916</v>
      </c>
      <c r="F7" s="1405"/>
      <c r="G7" s="1402" t="s">
        <v>1917</v>
      </c>
      <c r="H7" s="1403"/>
      <c r="I7" s="1402" t="s">
        <v>1918</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1523</v>
      </c>
      <c r="D8" s="1770"/>
      <c r="E8" s="1771" t="s">
        <v>1523</v>
      </c>
      <c r="F8" s="1772"/>
      <c r="G8" s="1769" t="s">
        <v>1523</v>
      </c>
      <c r="H8" s="1770"/>
      <c r="I8" s="1769" t="s">
        <v>1523</v>
      </c>
      <c r="J8" s="1770"/>
      <c r="K8" s="1764" t="s">
        <v>1524</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1525</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30">
      <c r="A10" s="1425" t="s">
        <v>1528</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1527</v>
      </c>
      <c r="S10" s="1439">
        <f t="shared" si="0"/>
        <v>100</v>
      </c>
      <c r="T10" s="1438" t="s">
        <v>1527</v>
      </c>
      <c r="U10" s="1439">
        <f t="shared" si="1"/>
        <v>100</v>
      </c>
      <c r="V10" s="1438" t="s">
        <v>1527</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30">
      <c r="A12" s="1452"/>
      <c r="B12" s="1453" t="s">
        <v>1536</v>
      </c>
      <c r="C12" s="1454"/>
      <c r="D12" s="1455">
        <v>100</v>
      </c>
      <c r="E12" s="1774"/>
      <c r="F12" s="1456">
        <f>ROUND(100/'数据-取费表'!G16,1)</f>
        <v>117.2</v>
      </c>
      <c r="G12" s="1775"/>
      <c r="H12" s="1456">
        <f>ROUND(100/'数据-取费表'!G16,1)</f>
        <v>117.2</v>
      </c>
      <c r="I12" s="1775"/>
      <c r="J12" s="1456">
        <f>ROUND(100/'数据-取费表'!G16,1)</f>
        <v>117.2</v>
      </c>
      <c r="K12" s="1776"/>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30">
      <c r="A13" s="1461"/>
      <c r="B13" s="1453" t="s">
        <v>1539</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1527</v>
      </c>
      <c r="S13" s="1439">
        <f t="shared" si="0"/>
        <v>100</v>
      </c>
      <c r="T13" s="1438" t="s">
        <v>1527</v>
      </c>
      <c r="U13" s="1439">
        <f t="shared" si="1"/>
        <v>100</v>
      </c>
      <c r="V13" s="1438" t="s">
        <v>1527</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1527</v>
      </c>
      <c r="S14" s="1439">
        <f t="shared" si="0"/>
        <v>100</v>
      </c>
      <c r="T14" s="1438" t="s">
        <v>1527</v>
      </c>
      <c r="U14" s="1439">
        <f t="shared" si="1"/>
        <v>100</v>
      </c>
      <c r="V14" s="1438" t="s">
        <v>1527</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81" spans="1:29">
      <c r="A17" s="1481" t="s">
        <v>1540</v>
      </c>
      <c r="B17" s="1779" t="s">
        <v>1597</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1542</v>
      </c>
      <c r="Q17" s="1051" t="str">
        <f t="shared" si="6"/>
        <v>居住社区成熟度</v>
      </c>
      <c r="R17" s="1488" t="s">
        <v>1527</v>
      </c>
      <c r="S17" s="1489">
        <f t="shared" si="0"/>
        <v>100</v>
      </c>
      <c r="T17" s="1488" t="s">
        <v>1527</v>
      </c>
      <c r="U17" s="1489">
        <f t="shared" si="1"/>
        <v>100</v>
      </c>
      <c r="V17" s="1488" t="s">
        <v>1527</v>
      </c>
      <c r="W17" s="1489">
        <f t="shared" si="2"/>
        <v>100</v>
      </c>
      <c r="X17" s="1396"/>
      <c r="Y17" s="1490" t="s">
        <v>1542</v>
      </c>
      <c r="Z17" s="1491" t="str">
        <f t="shared" si="7"/>
        <v>居住社区成熟度</v>
      </c>
      <c r="AA17" s="1491">
        <f t="shared" si="3"/>
        <v>1</v>
      </c>
      <c r="AB17" s="1491">
        <f t="shared" si="4"/>
        <v>1</v>
      </c>
      <c r="AC17" s="1491">
        <f t="shared" si="5"/>
        <v>1</v>
      </c>
    </row>
    <row r="18" ht="15" spans="1:29">
      <c r="A18" s="1461"/>
      <c r="B18" s="1781"/>
      <c r="C18" s="1493" t="s">
        <v>1545</v>
      </c>
      <c r="D18" s="1494"/>
      <c r="E18" s="1507" t="s">
        <v>1543</v>
      </c>
      <c r="F18" s="1496"/>
      <c r="G18" s="1507" t="s">
        <v>1545</v>
      </c>
      <c r="H18" s="1497"/>
      <c r="I18" s="1508" t="s">
        <v>1545</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1541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1527</v>
      </c>
      <c r="S19" s="1489">
        <f>F19</f>
        <v>100</v>
      </c>
      <c r="T19" s="1488" t="s">
        <v>1527</v>
      </c>
      <c r="U19" s="1489">
        <f>H19</f>
        <v>100</v>
      </c>
      <c r="V19" s="1488" t="s">
        <v>1527</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1947</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1527</v>
      </c>
      <c r="S21" s="1489">
        <f>F21</f>
        <v>100</v>
      </c>
      <c r="T21" s="1488" t="s">
        <v>1527</v>
      </c>
      <c r="U21" s="1489">
        <f>H21</f>
        <v>100</v>
      </c>
      <c r="V21" s="1488" t="s">
        <v>1527</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1544</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1527</v>
      </c>
      <c r="S23" s="1489">
        <f>F23</f>
        <v>100</v>
      </c>
      <c r="T23" s="1488" t="s">
        <v>1527</v>
      </c>
      <c r="U23" s="1489">
        <f>H23</f>
        <v>100</v>
      </c>
      <c r="V23" s="1488" t="s">
        <v>1527</v>
      </c>
      <c r="W23" s="1489">
        <f>J23</f>
        <v>100</v>
      </c>
      <c r="X23" s="1396"/>
      <c r="Y23" s="1499"/>
      <c r="Z23" s="1491" t="str">
        <f>Q23</f>
        <v>交通便捷度</v>
      </c>
      <c r="AA23" s="1491">
        <f t="shared" si="3"/>
        <v>1</v>
      </c>
      <c r="AB23" s="1491">
        <f t="shared" si="4"/>
        <v>1</v>
      </c>
      <c r="AC23" s="1491">
        <f t="shared" si="5"/>
        <v>1</v>
      </c>
    </row>
    <row r="24" ht="15" spans="1:29">
      <c r="A24" s="1461"/>
      <c r="B24" s="1790"/>
      <c r="C24" s="1493" t="s">
        <v>1545</v>
      </c>
      <c r="D24" s="1502"/>
      <c r="E24" s="1507" t="s">
        <v>1543</v>
      </c>
      <c r="F24" s="1496"/>
      <c r="G24" s="1507" t="s">
        <v>1545</v>
      </c>
      <c r="H24" s="1496"/>
      <c r="I24" s="1508" t="s">
        <v>1545</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1527</v>
      </c>
      <c r="S25" s="1489">
        <f>F25</f>
        <v>100</v>
      </c>
      <c r="T25" s="1488" t="s">
        <v>1527</v>
      </c>
      <c r="U25" s="1489">
        <f>H25</f>
        <v>100</v>
      </c>
      <c r="V25" s="1488" t="s">
        <v>1527</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1527</v>
      </c>
      <c r="S27" s="1489">
        <f>F27</f>
        <v>100</v>
      </c>
      <c r="T27" s="1488" t="s">
        <v>1527</v>
      </c>
      <c r="U27" s="1489">
        <f>H27</f>
        <v>100</v>
      </c>
      <c r="V27" s="1488" t="s">
        <v>1527</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1527</v>
      </c>
      <c r="S29" s="1439">
        <f>F29</f>
        <v>100</v>
      </c>
      <c r="T29" s="1438" t="s">
        <v>1527</v>
      </c>
      <c r="U29" s="1439">
        <f>H29</f>
        <v>100</v>
      </c>
      <c r="V29" s="1438" t="s">
        <v>1527</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1545</v>
      </c>
      <c r="D30" s="1494"/>
      <c r="E30" s="1495" t="s">
        <v>1543</v>
      </c>
      <c r="F30" s="1496"/>
      <c r="G30" s="1495" t="s">
        <v>1545</v>
      </c>
      <c r="H30" s="1496"/>
      <c r="I30" s="1493" t="s">
        <v>1545</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1527</v>
      </c>
      <c r="S31" s="1439">
        <f>F31</f>
        <v>100</v>
      </c>
      <c r="T31" s="1438" t="s">
        <v>1527</v>
      </c>
      <c r="U31" s="1439">
        <f>H31</f>
        <v>100</v>
      </c>
      <c r="V31" s="1438" t="s">
        <v>1527</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1549</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1527</v>
      </c>
      <c r="S33" s="1489">
        <f t="shared" ref="S33:S47" si="10">F33</f>
        <v>100</v>
      </c>
      <c r="T33" s="1488" t="s">
        <v>1527</v>
      </c>
      <c r="U33" s="1489">
        <f t="shared" ref="U33:U47" si="11">H33</f>
        <v>100</v>
      </c>
      <c r="V33" s="1488" t="s">
        <v>1527</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1949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1527</v>
      </c>
      <c r="S34" s="1489">
        <f t="shared" si="10"/>
        <v>100</v>
      </c>
      <c r="T34" s="1488" t="s">
        <v>1527</v>
      </c>
      <c r="U34" s="1489">
        <f t="shared" si="11"/>
        <v>100</v>
      </c>
      <c r="V34" s="1488" t="s">
        <v>1527</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1527</v>
      </c>
      <c r="S36" s="1489">
        <f t="shared" si="10"/>
        <v>100</v>
      </c>
      <c r="T36" s="1488" t="s">
        <v>1527</v>
      </c>
      <c r="U36" s="1489">
        <f t="shared" si="11"/>
        <v>100</v>
      </c>
      <c r="V36" s="1488" t="s">
        <v>1527</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1527</v>
      </c>
      <c r="S37" s="1489">
        <f t="shared" si="10"/>
        <v>100</v>
      </c>
      <c r="T37" s="1488" t="s">
        <v>1527</v>
      </c>
      <c r="U37" s="1489">
        <f t="shared" si="11"/>
        <v>100</v>
      </c>
      <c r="V37" s="1488" t="s">
        <v>1527</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1562</v>
      </c>
      <c r="Q38" s="1051">
        <f t="shared" si="8"/>
        <v>111</v>
      </c>
      <c r="R38" s="1488" t="s">
        <v>1527</v>
      </c>
      <c r="S38" s="1489">
        <f t="shared" si="10"/>
        <v>100</v>
      </c>
      <c r="T38" s="1488" t="s">
        <v>1527</v>
      </c>
      <c r="U38" s="1489">
        <f t="shared" si="11"/>
        <v>100</v>
      </c>
      <c r="V38" s="1488" t="s">
        <v>1527</v>
      </c>
      <c r="W38" s="1489">
        <f t="shared" si="12"/>
        <v>100</v>
      </c>
      <c r="X38" s="1396"/>
      <c r="Y38" s="1526" t="s">
        <v>1562</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1527</v>
      </c>
      <c r="S39" s="1536">
        <f t="shared" si="10"/>
        <v>100</v>
      </c>
      <c r="T39" s="1535" t="s">
        <v>1527</v>
      </c>
      <c r="U39" s="1536">
        <f t="shared" si="11"/>
        <v>100</v>
      </c>
      <c r="V39" s="1535" t="s">
        <v>1527</v>
      </c>
      <c r="W39" s="1536">
        <f t="shared" si="12"/>
        <v>100</v>
      </c>
      <c r="X39" s="1537"/>
      <c r="Y39" s="1526"/>
      <c r="Z39" s="1538">
        <f t="shared" si="13"/>
        <v>111</v>
      </c>
      <c r="AA39" s="1491">
        <f t="shared" si="3"/>
        <v>1</v>
      </c>
      <c r="AB39" s="1491">
        <f t="shared" si="4"/>
        <v>1</v>
      </c>
      <c r="AC39" s="1491">
        <f t="shared" si="5"/>
        <v>1</v>
      </c>
    </row>
    <row r="40" ht="15" spans="1:29">
      <c r="A40" s="1544" t="s">
        <v>1558</v>
      </c>
      <c r="B40" s="1539" t="s">
        <v>1983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1527</v>
      </c>
      <c r="S40" s="1489" t="e">
        <f t="shared" si="10"/>
        <v>#N/A</v>
      </c>
      <c r="T40" s="1488" t="s">
        <v>1527</v>
      </c>
      <c r="U40" s="1489" t="e">
        <f t="shared" si="11"/>
        <v>#N/A</v>
      </c>
      <c r="V40" s="1488" t="s">
        <v>1527</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1527</v>
      </c>
      <c r="S41" s="1489">
        <f t="shared" si="10"/>
        <v>100</v>
      </c>
      <c r="T41" s="1488" t="s">
        <v>1527</v>
      </c>
      <c r="U41" s="1489">
        <f t="shared" si="11"/>
        <v>100</v>
      </c>
      <c r="V41" s="1488" t="s">
        <v>1527</v>
      </c>
      <c r="W41" s="1489">
        <f t="shared" si="12"/>
        <v>100</v>
      </c>
      <c r="X41" s="1396"/>
      <c r="Y41" s="1526"/>
      <c r="Z41" s="1491" t="str">
        <f t="shared" si="13"/>
        <v>宗地形状</v>
      </c>
      <c r="AA41" s="1491">
        <f t="shared" si="3"/>
        <v>1</v>
      </c>
      <c r="AB41" s="1491">
        <f t="shared" si="4"/>
        <v>1</v>
      </c>
      <c r="AC41" s="1491">
        <f t="shared" si="5"/>
        <v>1</v>
      </c>
    </row>
    <row r="42" ht="15" spans="1:29">
      <c r="A42" s="1544"/>
      <c r="B42" s="1453" t="s">
        <v>1985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1527</v>
      </c>
      <c r="S42" s="1489">
        <f t="shared" si="10"/>
        <v>100</v>
      </c>
      <c r="T42" s="1488" t="s">
        <v>1527</v>
      </c>
      <c r="U42" s="1489">
        <f t="shared" si="11"/>
        <v>100</v>
      </c>
      <c r="V42" s="1488" t="s">
        <v>1527</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1527</v>
      </c>
      <c r="S43" s="1439">
        <f t="shared" si="10"/>
        <v>100</v>
      </c>
      <c r="T43" s="1438" t="s">
        <v>1527</v>
      </c>
      <c r="U43" s="1439">
        <f t="shared" si="11"/>
        <v>100</v>
      </c>
      <c r="V43" s="1438" t="s">
        <v>1527</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1562</v>
      </c>
      <c r="Q44" s="1051" t="str">
        <f t="shared" si="14"/>
        <v>工程地质条件</v>
      </c>
      <c r="R44" s="1488" t="s">
        <v>1527</v>
      </c>
      <c r="S44" s="1489">
        <f t="shared" si="10"/>
        <v>100</v>
      </c>
      <c r="T44" s="1488" t="s">
        <v>1527</v>
      </c>
      <c r="U44" s="1489">
        <f t="shared" si="11"/>
        <v>100</v>
      </c>
      <c r="V44" s="1488" t="s">
        <v>1527</v>
      </c>
      <c r="W44" s="1489">
        <f t="shared" si="12"/>
        <v>100</v>
      </c>
      <c r="X44" s="1396"/>
      <c r="Y44" s="1526" t="s">
        <v>1562</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1527</v>
      </c>
      <c r="S45" s="1489">
        <f t="shared" si="10"/>
        <v>100</v>
      </c>
      <c r="T45" s="1488" t="s">
        <v>1527</v>
      </c>
      <c r="U45" s="1489">
        <f t="shared" si="11"/>
        <v>100</v>
      </c>
      <c r="V45" s="1488" t="s">
        <v>1527</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1527</v>
      </c>
      <c r="S46" s="1489">
        <f t="shared" si="10"/>
        <v>100</v>
      </c>
      <c r="T46" s="1488" t="s">
        <v>1527</v>
      </c>
      <c r="U46" s="1489">
        <f t="shared" si="11"/>
        <v>100</v>
      </c>
      <c r="V46" s="1488" t="s">
        <v>1527</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1527</v>
      </c>
      <c r="S47" s="1536">
        <f t="shared" si="10"/>
        <v>100</v>
      </c>
      <c r="T47" s="1535" t="s">
        <v>1527</v>
      </c>
      <c r="U47" s="1536">
        <f t="shared" si="11"/>
        <v>100</v>
      </c>
      <c r="V47" s="1535" t="s">
        <v>1527</v>
      </c>
      <c r="W47" s="1536">
        <f t="shared" si="12"/>
        <v>100</v>
      </c>
      <c r="X47" s="1537"/>
      <c r="Y47" s="1526"/>
      <c r="Z47" s="1538">
        <f t="shared" si="13"/>
        <v>111</v>
      </c>
      <c r="AA47" s="1491">
        <f t="shared" si="3"/>
        <v>1</v>
      </c>
      <c r="AB47" s="1491">
        <f t="shared" si="4"/>
        <v>1</v>
      </c>
      <c r="AC47" s="1491">
        <f t="shared" si="5"/>
        <v>1</v>
      </c>
    </row>
    <row r="48" ht="15" spans="1:29">
      <c r="A48" s="1552" t="s">
        <v>1967</v>
      </c>
      <c r="B48" s="1553" t="s">
        <v>1988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1584</v>
      </c>
      <c r="B49" s="1567"/>
      <c r="C49" s="1568" t="e">
        <f>R50</f>
        <v>#DIV/0!</v>
      </c>
      <c r="D49" s="1799" t="s">
        <v>1585</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1587</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1588</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1589</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1990</v>
      </c>
      <c r="B57" s="1593" t="s">
        <v>1991</v>
      </c>
      <c r="C57" s="1594" t="s">
        <v>1992</v>
      </c>
      <c r="D57" s="1595" t="s">
        <v>1993</v>
      </c>
      <c r="E57" s="1596" t="s">
        <v>1994</v>
      </c>
      <c r="F57" s="1804" t="s">
        <v>1995</v>
      </c>
      <c r="G57" s="1598" t="s">
        <v>1996</v>
      </c>
      <c r="H57" s="1599"/>
      <c r="I57" s="1805" t="s">
        <v>1997</v>
      </c>
      <c r="J57" s="1806">
        <f>项目基本情况!F35</f>
        <v>0</v>
      </c>
      <c r="K57" s="1600" t="s">
        <v>1998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1999</v>
      </c>
      <c r="B58" s="1602" t="e">
        <f>C50</f>
        <v>#DIV/0!</v>
      </c>
      <c r="C58" s="1807">
        <v>1</v>
      </c>
      <c r="D58" s="1603">
        <v>1</v>
      </c>
      <c r="E58" s="1604">
        <f>'数据-汇总表'!E8+'数据-汇总表'!E9</f>
        <v>138.87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2000</v>
      </c>
      <c r="B59" s="1602" t="e">
        <f>ROUND($C$50*C59*D59,0)</f>
        <v>#DIV/0!</v>
      </c>
      <c r="C59" s="911">
        <f t="shared" ref="C59:C66" si="16">IF($C$57="北京市系数",I59,J59)</f>
        <v>0</v>
      </c>
      <c r="D59" s="1610">
        <v>0.25</v>
      </c>
      <c r="E59" s="1611"/>
      <c r="F59" s="1808" t="e">
        <f t="shared" si="15"/>
        <v>#DIV/0!</v>
      </c>
      <c r="G59" s="1812" t="s">
        <v>2001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2004</v>
      </c>
      <c r="B62" s="1602" t="e">
        <f t="shared" si="17"/>
        <v>#DIV/0!</v>
      </c>
      <c r="C62" s="911">
        <f t="shared" si="16"/>
        <v>0</v>
      </c>
      <c r="D62" s="1610">
        <v>0.25</v>
      </c>
      <c r="E62" s="1617">
        <f>'数据-汇总表'!E11</f>
        <v>0</v>
      </c>
      <c r="F62" s="1808" t="e">
        <f t="shared" si="15"/>
        <v>#DIV/0!</v>
      </c>
      <c r="G62" s="1618" t="s">
        <v>2005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2006</v>
      </c>
      <c r="B63" s="1602" t="e">
        <f t="shared" si="17"/>
        <v>#DIV/0!</v>
      </c>
      <c r="C63" s="911">
        <f t="shared" si="16"/>
        <v>0</v>
      </c>
      <c r="D63" s="1610">
        <v>0.25</v>
      </c>
      <c r="E63" s="1617">
        <f>'数据-汇总表'!E12</f>
        <v>0</v>
      </c>
      <c r="F63" s="1808" t="e">
        <f t="shared" si="15"/>
        <v>#DIV/0!</v>
      </c>
      <c r="G63" s="1619" t="s">
        <v>2007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2008</v>
      </c>
      <c r="B64" s="1602" t="e">
        <f t="shared" si="17"/>
        <v>#DIV/0!</v>
      </c>
      <c r="C64" s="911">
        <f t="shared" si="16"/>
        <v>0</v>
      </c>
      <c r="D64" s="1610">
        <v>0.25</v>
      </c>
      <c r="E64" s="1617">
        <f>'数据-汇总表'!E13</f>
        <v>0</v>
      </c>
      <c r="F64" s="1808" t="e">
        <f t="shared" si="15"/>
        <v>#DIV/0!</v>
      </c>
      <c r="G64" s="1619" t="s">
        <v>2009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2010</v>
      </c>
      <c r="B65" s="1602" t="e">
        <f t="shared" si="17"/>
        <v>#DIV/0!</v>
      </c>
      <c r="C65" s="911">
        <f t="shared" si="16"/>
        <v>0</v>
      </c>
      <c r="D65" s="1610">
        <v>0.25</v>
      </c>
      <c r="E65" s="1617">
        <f>'数据-汇总表'!E14</f>
        <v>0</v>
      </c>
      <c r="F65" s="1808" t="e">
        <f t="shared" si="15"/>
        <v>#DIV/0!</v>
      </c>
      <c r="G65" s="1618" t="s">
        <v>2001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2011</v>
      </c>
      <c r="B66" s="1602" t="e">
        <f t="shared" si="17"/>
        <v>#DIV/0!</v>
      </c>
      <c r="C66" s="911">
        <f t="shared" si="16"/>
        <v>0</v>
      </c>
      <c r="D66" s="1610">
        <v>0.25</v>
      </c>
      <c r="E66" s="1617">
        <f>'数据-汇总表'!E15</f>
        <v>0</v>
      </c>
      <c r="F66" s="1808" t="e">
        <f t="shared" si="15"/>
        <v>#DIV/0!</v>
      </c>
      <c r="G66" s="1620" t="s">
        <v>2005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2012</v>
      </c>
      <c r="B67" s="1623" t="s">
        <v>2013</v>
      </c>
      <c r="C67" s="1623" t="s">
        <v>2013</v>
      </c>
      <c r="D67" s="1820" t="s">
        <v>2013</v>
      </c>
      <c r="E67" s="1624">
        <f>IF(B48="楼面地价",SUM(E58:E66),'数据-汇总表'!D3)</f>
        <v>138.87</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1590</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2014</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1591</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1528</v>
      </c>
      <c r="B74" s="1659"/>
      <c r="C74" s="1660" t="s">
        <v>1592</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1593</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1539</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1540</v>
      </c>
      <c r="B89" s="1670" t="s">
        <v>1597</v>
      </c>
      <c r="C89" s="1718" t="s">
        <v>1598</v>
      </c>
      <c r="D89" s="1718" t="s">
        <v>1599</v>
      </c>
      <c r="E89" s="1718" t="s">
        <v>1600</v>
      </c>
      <c r="F89" s="1718" t="s">
        <v>1601</v>
      </c>
      <c r="G89" s="1718" t="s">
        <v>1602</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1541</v>
      </c>
      <c r="C91" s="1723" t="s">
        <v>1598</v>
      </c>
      <c r="D91" s="1723" t="s">
        <v>1599</v>
      </c>
      <c r="E91" s="1723" t="s">
        <v>1600</v>
      </c>
      <c r="F91" s="1723" t="s">
        <v>1601</v>
      </c>
      <c r="G91" s="1723" t="s">
        <v>1602</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1947</v>
      </c>
      <c r="C93" s="1723" t="s">
        <v>1598</v>
      </c>
      <c r="D93" s="1723" t="s">
        <v>1599</v>
      </c>
      <c r="E93" s="1723" t="s">
        <v>1600</v>
      </c>
      <c r="F93" s="1723" t="s">
        <v>1601</v>
      </c>
      <c r="G93" s="1723" t="s">
        <v>1602</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1544</v>
      </c>
      <c r="C95" s="1723" t="s">
        <v>1598</v>
      </c>
      <c r="D95" s="1723" t="s">
        <v>1599</v>
      </c>
      <c r="E95" s="1723" t="s">
        <v>1600</v>
      </c>
      <c r="F95" s="1723" t="s">
        <v>1601</v>
      </c>
      <c r="G95" s="1723" t="s">
        <v>1602</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1980</v>
      </c>
      <c r="C97" s="1723" t="s">
        <v>1598</v>
      </c>
      <c r="D97" s="1723" t="s">
        <v>1599</v>
      </c>
      <c r="E97" s="1723" t="s">
        <v>1600</v>
      </c>
      <c r="F97" s="1723" t="s">
        <v>1601</v>
      </c>
      <c r="G97" s="1723" t="s">
        <v>1602</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1981</v>
      </c>
      <c r="C99" s="1718" t="s">
        <v>1598</v>
      </c>
      <c r="D99" s="1718" t="s">
        <v>1599</v>
      </c>
      <c r="E99" s="1718" t="s">
        <v>1600</v>
      </c>
      <c r="F99" s="1718" t="s">
        <v>1601</v>
      </c>
      <c r="G99" s="1718" t="s">
        <v>1602</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1546</v>
      </c>
      <c r="C101" s="1718" t="s">
        <v>1598</v>
      </c>
      <c r="D101" s="1718" t="s">
        <v>1599</v>
      </c>
      <c r="E101" s="1718" t="s">
        <v>1600</v>
      </c>
      <c r="F101" s="1718" t="s">
        <v>1601</v>
      </c>
      <c r="G101" s="1718" t="s">
        <v>1602</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1547</v>
      </c>
      <c r="C103" s="1499" t="s">
        <v>1603</v>
      </c>
      <c r="D103" s="1499" t="s">
        <v>1604</v>
      </c>
      <c r="E103" s="1499" t="s">
        <v>1605</v>
      </c>
      <c r="F103" s="1499" t="s">
        <v>1606</v>
      </c>
      <c r="G103" s="1499" t="s">
        <v>1607</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2016</v>
      </c>
      <c r="D105" s="1682" t="s">
        <v>2017</v>
      </c>
      <c r="E105" s="1682" t="s">
        <v>2018</v>
      </c>
      <c r="F105" s="1682" t="s">
        <v>2019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1949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1558</v>
      </c>
      <c r="B117" s="1670" t="s">
        <v>1983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1984</v>
      </c>
      <c r="C120" s="1734" t="s">
        <v>2020</v>
      </c>
      <c r="D120" s="1734" t="s">
        <v>2021</v>
      </c>
      <c r="E120" s="1734" t="s">
        <v>2022</v>
      </c>
      <c r="F120" s="1734" t="s">
        <v>2023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1975</v>
      </c>
      <c r="B1" s="1362"/>
      <c r="C1" s="1363" t="s">
        <v>1953</v>
      </c>
      <c r="D1" s="1364"/>
      <c r="E1" s="1364"/>
      <c r="F1" s="1365" t="s">
        <v>1510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1512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1977</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1513</v>
      </c>
      <c r="B6" s="1384"/>
      <c r="C6" s="1385" t="s">
        <v>1514</v>
      </c>
      <c r="D6" s="1386"/>
      <c r="E6" s="1387" t="s">
        <v>1515</v>
      </c>
      <c r="F6" s="1388"/>
      <c r="G6" s="1385" t="s">
        <v>1516</v>
      </c>
      <c r="H6" s="1386"/>
      <c r="I6" s="1385" t="s">
        <v>1517</v>
      </c>
      <c r="J6" s="1386"/>
      <c r="K6" s="1389"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29">
      <c r="A7" s="1400"/>
      <c r="B7" s="1401"/>
      <c r="C7" s="1402" t="s">
        <v>1520</v>
      </c>
      <c r="D7" s="1403"/>
      <c r="E7" s="1404" t="s">
        <v>1916</v>
      </c>
      <c r="F7" s="1405"/>
      <c r="G7" s="1402" t="s">
        <v>1917</v>
      </c>
      <c r="H7" s="1403"/>
      <c r="I7" s="1402" t="s">
        <v>1918</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2024</v>
      </c>
      <c r="D8" s="1415"/>
      <c r="E8" s="1416" t="s">
        <v>2024</v>
      </c>
      <c r="F8" s="1417"/>
      <c r="G8" s="1414" t="s">
        <v>2024</v>
      </c>
      <c r="H8" s="1415"/>
      <c r="I8" s="1414" t="s">
        <v>2024</v>
      </c>
      <c r="J8" s="1415"/>
      <c r="K8" s="1389" t="s">
        <v>1524</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1525</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29">
      <c r="A10" s="1425" t="s">
        <v>1528</v>
      </c>
      <c r="B10" s="1426"/>
      <c r="C10" s="1444" t="s">
        <v>1592</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1527</v>
      </c>
      <c r="S10" s="1439">
        <f t="shared" si="0"/>
        <v>0</v>
      </c>
      <c r="T10" s="1438" t="s">
        <v>1527</v>
      </c>
      <c r="U10" s="1439">
        <f t="shared" si="1"/>
        <v>0</v>
      </c>
      <c r="V10" s="1438" t="s">
        <v>1527</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29">
      <c r="A12" s="1452"/>
      <c r="B12" s="1453" t="s">
        <v>1536</v>
      </c>
      <c r="C12" s="1454"/>
      <c r="D12" s="1455">
        <v>100</v>
      </c>
      <c r="E12" s="1454"/>
      <c r="F12" s="1456">
        <f>ROUND(100/'数据-取费表'!G16,1)</f>
        <v>117.2</v>
      </c>
      <c r="G12" s="1454"/>
      <c r="H12" s="1456">
        <f>ROUND(100/'数据-取费表'!G16,1)</f>
        <v>117.2</v>
      </c>
      <c r="I12" s="1454"/>
      <c r="J12" s="1456">
        <f>ROUND(100/'数据-取费表'!G16,1)</f>
        <v>117.2</v>
      </c>
      <c r="K12" s="1457"/>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29">
      <c r="A13" s="1461"/>
      <c r="B13" s="1453" t="s">
        <v>1539</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1527</v>
      </c>
      <c r="S13" s="1439" t="e">
        <f t="shared" si="0"/>
        <v>#N/A</v>
      </c>
      <c r="T13" s="1438" t="s">
        <v>1527</v>
      </c>
      <c r="U13" s="1439" t="e">
        <f t="shared" si="1"/>
        <v>#N/A</v>
      </c>
      <c r="V13" s="1438" t="s">
        <v>1527</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56.25" spans="1:29">
      <c r="A17" s="1481" t="s">
        <v>1540</v>
      </c>
      <c r="B17" s="1482" t="s">
        <v>1954</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1542</v>
      </c>
      <c r="Q17" s="1051" t="str">
        <f t="shared" si="6"/>
        <v>产业集聚程度</v>
      </c>
      <c r="R17" s="1488" t="s">
        <v>1527</v>
      </c>
      <c r="S17" s="1489">
        <f t="shared" si="0"/>
        <v>100</v>
      </c>
      <c r="T17" s="1488" t="s">
        <v>1527</v>
      </c>
      <c r="U17" s="1489">
        <f t="shared" si="1"/>
        <v>100</v>
      </c>
      <c r="V17" s="1488" t="s">
        <v>1527</v>
      </c>
      <c r="W17" s="1489">
        <f t="shared" si="2"/>
        <v>100</v>
      </c>
      <c r="X17" s="1396"/>
      <c r="Y17" s="1490" t="s">
        <v>1542</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1544</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1527</v>
      </c>
      <c r="S19" s="1489">
        <f>F19</f>
        <v>100</v>
      </c>
      <c r="T19" s="1488" t="s">
        <v>1527</v>
      </c>
      <c r="U19" s="1489">
        <f>H19</f>
        <v>100</v>
      </c>
      <c r="V19" s="1488" t="s">
        <v>1527</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1527</v>
      </c>
      <c r="S21" s="1489">
        <f>F21</f>
        <v>100</v>
      </c>
      <c r="T21" s="1488" t="s">
        <v>1527</v>
      </c>
      <c r="U21" s="1489">
        <f>H21</f>
        <v>100</v>
      </c>
      <c r="V21" s="1488" t="s">
        <v>1527</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2025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1527</v>
      </c>
      <c r="S23" s="1489">
        <f>F23</f>
        <v>100</v>
      </c>
      <c r="T23" s="1488" t="s">
        <v>1527</v>
      </c>
      <c r="U23" s="1489">
        <f>H23</f>
        <v>100</v>
      </c>
      <c r="V23" s="1488" t="s">
        <v>1527</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1527</v>
      </c>
      <c r="S25" s="1439">
        <f>F25</f>
        <v>100</v>
      </c>
      <c r="T25" s="1438" t="s">
        <v>1527</v>
      </c>
      <c r="U25" s="1439">
        <f>H25</f>
        <v>100</v>
      </c>
      <c r="V25" s="1438" t="s">
        <v>1527</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1527</v>
      </c>
      <c r="S27" s="1439">
        <f>F27</f>
        <v>100</v>
      </c>
      <c r="T27" s="1438" t="s">
        <v>1527</v>
      </c>
      <c r="U27" s="1439">
        <f>H27</f>
        <v>100</v>
      </c>
      <c r="V27" s="1438" t="s">
        <v>1527</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1549</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1527</v>
      </c>
      <c r="S29" s="1489">
        <f t="shared" ref="S29:S42" si="10">F29</f>
        <v>100</v>
      </c>
      <c r="T29" s="1488" t="s">
        <v>1527</v>
      </c>
      <c r="U29" s="1489">
        <f t="shared" ref="U29:U42" si="11">H29</f>
        <v>100</v>
      </c>
      <c r="V29" s="1488" t="s">
        <v>1527</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1949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1527</v>
      </c>
      <c r="S30" s="1489">
        <f t="shared" si="10"/>
        <v>100</v>
      </c>
      <c r="T30" s="1488" t="s">
        <v>1527</v>
      </c>
      <c r="U30" s="1489">
        <f t="shared" si="11"/>
        <v>100</v>
      </c>
      <c r="V30" s="1488" t="s">
        <v>1527</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1527</v>
      </c>
      <c r="S32" s="1489">
        <f t="shared" si="10"/>
        <v>100</v>
      </c>
      <c r="T32" s="1488" t="s">
        <v>1527</v>
      </c>
      <c r="U32" s="1489">
        <f t="shared" si="11"/>
        <v>100</v>
      </c>
      <c r="V32" s="1488" t="s">
        <v>1527</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1527</v>
      </c>
      <c r="S33" s="1489">
        <f t="shared" si="10"/>
        <v>100</v>
      </c>
      <c r="T33" s="1488" t="s">
        <v>1527</v>
      </c>
      <c r="U33" s="1489">
        <f t="shared" si="11"/>
        <v>100</v>
      </c>
      <c r="V33" s="1488" t="s">
        <v>1527</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1562</v>
      </c>
      <c r="Q34" s="1051">
        <f t="shared" si="8"/>
        <v>111</v>
      </c>
      <c r="R34" s="1488" t="s">
        <v>1527</v>
      </c>
      <c r="S34" s="1489">
        <f t="shared" si="10"/>
        <v>100</v>
      </c>
      <c r="T34" s="1488" t="s">
        <v>1527</v>
      </c>
      <c r="U34" s="1489">
        <f t="shared" si="11"/>
        <v>100</v>
      </c>
      <c r="V34" s="1488" t="s">
        <v>1527</v>
      </c>
      <c r="W34" s="1489">
        <f t="shared" si="12"/>
        <v>100</v>
      </c>
      <c r="X34" s="1396"/>
      <c r="Y34" s="1526" t="s">
        <v>1562</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1527</v>
      </c>
      <c r="S35" s="1536">
        <f t="shared" si="10"/>
        <v>100</v>
      </c>
      <c r="T35" s="1535" t="s">
        <v>1527</v>
      </c>
      <c r="U35" s="1536">
        <f t="shared" si="11"/>
        <v>100</v>
      </c>
      <c r="V35" s="1535" t="s">
        <v>1527</v>
      </c>
      <c r="W35" s="1536">
        <f t="shared" si="12"/>
        <v>100</v>
      </c>
      <c r="X35" s="1537"/>
      <c r="Y35" s="1526"/>
      <c r="Z35" s="1538">
        <f t="shared" si="13"/>
        <v>111</v>
      </c>
      <c r="AA35" s="1491">
        <f t="shared" si="3"/>
        <v>1</v>
      </c>
      <c r="AB35" s="1491">
        <f t="shared" si="4"/>
        <v>1</v>
      </c>
      <c r="AC35" s="1491">
        <f t="shared" si="5"/>
        <v>1</v>
      </c>
    </row>
    <row r="36" ht="15" spans="1:31">
      <c r="A36" s="1481" t="s">
        <v>1558</v>
      </c>
      <c r="B36" s="1539" t="s">
        <v>1983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1527</v>
      </c>
      <c r="S36" s="1489" t="e">
        <f t="shared" si="10"/>
        <v>#N/A</v>
      </c>
      <c r="T36" s="1488" t="s">
        <v>1527</v>
      </c>
      <c r="U36" s="1489" t="e">
        <f t="shared" si="11"/>
        <v>#N/A</v>
      </c>
      <c r="V36" s="1488" t="s">
        <v>1527</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1527</v>
      </c>
      <c r="S37" s="1489">
        <f t="shared" si="10"/>
        <v>100</v>
      </c>
      <c r="T37" s="1488" t="s">
        <v>1527</v>
      </c>
      <c r="U37" s="1489">
        <f t="shared" si="11"/>
        <v>100</v>
      </c>
      <c r="V37" s="1488" t="s">
        <v>1527</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1527</v>
      </c>
      <c r="S38" s="1439">
        <f t="shared" si="10"/>
        <v>100</v>
      </c>
      <c r="T38" s="1438" t="s">
        <v>1527</v>
      </c>
      <c r="U38" s="1439">
        <f t="shared" si="11"/>
        <v>100</v>
      </c>
      <c r="V38" s="1438" t="s">
        <v>1527</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1562</v>
      </c>
      <c r="Q39" s="1051" t="str">
        <f t="shared" si="14"/>
        <v>工程地质条件</v>
      </c>
      <c r="R39" s="1488" t="s">
        <v>1527</v>
      </c>
      <c r="S39" s="1489">
        <f t="shared" si="10"/>
        <v>100</v>
      </c>
      <c r="T39" s="1488" t="s">
        <v>1527</v>
      </c>
      <c r="U39" s="1489">
        <f t="shared" si="11"/>
        <v>100</v>
      </c>
      <c r="V39" s="1488" t="s">
        <v>1527</v>
      </c>
      <c r="W39" s="1489">
        <f t="shared" si="12"/>
        <v>100</v>
      </c>
      <c r="X39" s="1396"/>
      <c r="Y39" s="1526" t="s">
        <v>1562</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1527</v>
      </c>
      <c r="S40" s="1489">
        <f t="shared" si="10"/>
        <v>100</v>
      </c>
      <c r="T40" s="1488" t="s">
        <v>1527</v>
      </c>
      <c r="U40" s="1489">
        <f t="shared" si="11"/>
        <v>100</v>
      </c>
      <c r="V40" s="1488" t="s">
        <v>1527</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1527</v>
      </c>
      <c r="S41" s="1489">
        <f t="shared" si="10"/>
        <v>100</v>
      </c>
      <c r="T41" s="1488" t="s">
        <v>1527</v>
      </c>
      <c r="U41" s="1489">
        <f t="shared" si="11"/>
        <v>100</v>
      </c>
      <c r="V41" s="1488" t="s">
        <v>1527</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1527</v>
      </c>
      <c r="S42" s="1536">
        <f t="shared" si="10"/>
        <v>100</v>
      </c>
      <c r="T42" s="1535" t="s">
        <v>1527</v>
      </c>
      <c r="U42" s="1536">
        <f t="shared" si="11"/>
        <v>100</v>
      </c>
      <c r="V42" s="1535" t="s">
        <v>1527</v>
      </c>
      <c r="W42" s="1536">
        <f t="shared" si="12"/>
        <v>100</v>
      </c>
      <c r="X42" s="1537"/>
      <c r="Y42" s="1526"/>
      <c r="Z42" s="1538">
        <f t="shared" si="13"/>
        <v>111</v>
      </c>
      <c r="AA42" s="1491">
        <f t="shared" si="3"/>
        <v>1</v>
      </c>
      <c r="AB42" s="1491">
        <f t="shared" si="4"/>
        <v>1</v>
      </c>
      <c r="AC42" s="1491">
        <f t="shared" si="5"/>
        <v>1</v>
      </c>
    </row>
    <row r="43" ht="15" spans="1:31">
      <c r="A43" s="1552" t="s">
        <v>1967</v>
      </c>
      <c r="B43" s="1553" t="s">
        <v>2026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1584</v>
      </c>
      <c r="B44" s="1567"/>
      <c r="C44" s="1568" t="e">
        <f>R45</f>
        <v>#DIV/0!</v>
      </c>
      <c r="D44" s="1569" t="s">
        <v>1585</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1586</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1587</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1588</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1589</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1990</v>
      </c>
      <c r="B52" s="1593" t="s">
        <v>1991</v>
      </c>
      <c r="C52" s="1594" t="s">
        <v>1992</v>
      </c>
      <c r="D52" s="1595" t="s">
        <v>1993</v>
      </c>
      <c r="E52" s="1596" t="s">
        <v>1994</v>
      </c>
      <c r="F52" s="1597" t="s">
        <v>1995</v>
      </c>
      <c r="G52" s="1598" t="s">
        <v>1996</v>
      </c>
      <c r="H52" s="1599"/>
      <c r="I52" s="801" t="s">
        <v>2027</v>
      </c>
      <c r="J52" s="801">
        <f>项目基本情况!F35</f>
        <v>0</v>
      </c>
      <c r="K52" s="1600" t="s">
        <v>1998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1999</v>
      </c>
      <c r="B53" s="1602" t="e">
        <f>C45</f>
        <v>#DIV/0!</v>
      </c>
      <c r="C53" s="1130">
        <v>1</v>
      </c>
      <c r="D53" s="1603">
        <v>1</v>
      </c>
      <c r="E53" s="1604">
        <f>'数据-汇总表'!E8+'数据-汇总表'!E9</f>
        <v>138.87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2000</v>
      </c>
      <c r="B54" s="1602" t="e">
        <f>ROUND($C$45*C54*D54,0)</f>
        <v>#DIV/0!</v>
      </c>
      <c r="C54" s="911">
        <f t="shared" ref="C54:C62" si="16">IF($C$52="北京市系数",I54,J54)</f>
        <v>0</v>
      </c>
      <c r="D54" s="1610">
        <v>0.25</v>
      </c>
      <c r="E54" s="1611"/>
      <c r="F54" s="1605" t="e">
        <f t="shared" si="15"/>
        <v>#DIV/0!</v>
      </c>
      <c r="G54" s="1612" t="s">
        <v>2001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2004</v>
      </c>
      <c r="B58" s="1602" t="e">
        <f t="shared" si="17"/>
        <v>#DIV/0!</v>
      </c>
      <c r="C58" s="911">
        <f t="shared" si="16"/>
        <v>0</v>
      </c>
      <c r="D58" s="1610">
        <v>0.25</v>
      </c>
      <c r="E58" s="1617">
        <f>'数据-汇总表'!E11</f>
        <v>0</v>
      </c>
      <c r="F58" s="1605" t="e">
        <f t="shared" si="15"/>
        <v>#DIV/0!</v>
      </c>
      <c r="G58" s="1618" t="s">
        <v>2005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2006</v>
      </c>
      <c r="B59" s="1602" t="e">
        <f t="shared" si="17"/>
        <v>#DIV/0!</v>
      </c>
      <c r="C59" s="911">
        <f t="shared" si="16"/>
        <v>0</v>
      </c>
      <c r="D59" s="1610">
        <v>0.25</v>
      </c>
      <c r="E59" s="1617">
        <f>'数据-汇总表'!E12</f>
        <v>0</v>
      </c>
      <c r="F59" s="1605" t="e">
        <f t="shared" si="15"/>
        <v>#DIV/0!</v>
      </c>
      <c r="G59" s="1619" t="s">
        <v>2007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2008</v>
      </c>
      <c r="B60" s="1602" t="e">
        <f t="shared" si="17"/>
        <v>#DIV/0!</v>
      </c>
      <c r="C60" s="911">
        <f t="shared" si="16"/>
        <v>0</v>
      </c>
      <c r="D60" s="1610">
        <v>0.25</v>
      </c>
      <c r="E60" s="1617">
        <f>'数据-汇总表'!E13</f>
        <v>0</v>
      </c>
      <c r="F60" s="1605" t="e">
        <f t="shared" si="15"/>
        <v>#DIV/0!</v>
      </c>
      <c r="G60" s="1619" t="s">
        <v>2009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2010</v>
      </c>
      <c r="B61" s="1602" t="e">
        <f t="shared" si="17"/>
        <v>#DIV/0!</v>
      </c>
      <c r="C61" s="911">
        <f t="shared" si="16"/>
        <v>0</v>
      </c>
      <c r="D61" s="1610">
        <v>0.25</v>
      </c>
      <c r="E61" s="1617">
        <f>'数据-汇总表'!E14</f>
        <v>0</v>
      </c>
      <c r="F61" s="1605" t="e">
        <f t="shared" si="15"/>
        <v>#DIV/0!</v>
      </c>
      <c r="G61" s="1618" t="s">
        <v>2001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2011</v>
      </c>
      <c r="B62" s="1602" t="e">
        <f t="shared" si="17"/>
        <v>#DIV/0!</v>
      </c>
      <c r="C62" s="911">
        <f t="shared" si="16"/>
        <v>0</v>
      </c>
      <c r="D62" s="1610">
        <v>0.25</v>
      </c>
      <c r="E62" s="1617">
        <f>'数据-汇总表'!E15</f>
        <v>0</v>
      </c>
      <c r="F62" s="1605" t="e">
        <f t="shared" si="15"/>
        <v>#DIV/0!</v>
      </c>
      <c r="G62" s="1620" t="s">
        <v>2005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2012</v>
      </c>
      <c r="B63" s="1623" t="s">
        <v>2013</v>
      </c>
      <c r="C63" s="1623" t="s">
        <v>2013</v>
      </c>
      <c r="D63" s="1623" t="s">
        <v>2013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1590</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2014</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1591</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1528</v>
      </c>
      <c r="B70" s="1659"/>
      <c r="C70" s="1660" t="s">
        <v>1592</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1593</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1539</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1540</v>
      </c>
      <c r="B85" s="1670" t="s">
        <v>1954</v>
      </c>
      <c r="C85" s="1718" t="s">
        <v>1598</v>
      </c>
      <c r="D85" s="1718" t="s">
        <v>1599</v>
      </c>
      <c r="E85" s="1718" t="s">
        <v>1600</v>
      </c>
      <c r="F85" s="1718" t="s">
        <v>1601</v>
      </c>
      <c r="G85" s="1718" t="s">
        <v>1602</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1544</v>
      </c>
      <c r="C87" s="1723" t="s">
        <v>1598</v>
      </c>
      <c r="D87" s="1723" t="s">
        <v>1599</v>
      </c>
      <c r="E87" s="1723" t="s">
        <v>1600</v>
      </c>
      <c r="F87" s="1723" t="s">
        <v>1601</v>
      </c>
      <c r="G87" s="1723" t="s">
        <v>1602</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1980</v>
      </c>
      <c r="C89" s="1718" t="s">
        <v>1598</v>
      </c>
      <c r="D89" s="1718" t="s">
        <v>1599</v>
      </c>
      <c r="E89" s="1718" t="s">
        <v>1600</v>
      </c>
      <c r="F89" s="1718" t="s">
        <v>1601</v>
      </c>
      <c r="G89" s="1718" t="s">
        <v>1602</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1981</v>
      </c>
      <c r="C91" s="1718" t="s">
        <v>1598</v>
      </c>
      <c r="D91" s="1718" t="s">
        <v>1599</v>
      </c>
      <c r="E91" s="1718" t="s">
        <v>1600</v>
      </c>
      <c r="F91" s="1718" t="s">
        <v>1601</v>
      </c>
      <c r="G91" s="1718" t="s">
        <v>1602</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1546</v>
      </c>
      <c r="C93" s="1718" t="s">
        <v>1598</v>
      </c>
      <c r="D93" s="1718" t="s">
        <v>1599</v>
      </c>
      <c r="E93" s="1718" t="s">
        <v>1600</v>
      </c>
      <c r="F93" s="1718" t="s">
        <v>1601</v>
      </c>
      <c r="G93" s="1718" t="s">
        <v>1602</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1547</v>
      </c>
      <c r="C95" s="1499" t="s">
        <v>1603</v>
      </c>
      <c r="D95" s="1499" t="s">
        <v>1604</v>
      </c>
      <c r="E95" s="1499" t="s">
        <v>1605</v>
      </c>
      <c r="F95" s="1499" t="s">
        <v>1606</v>
      </c>
      <c r="G95" s="1499" t="s">
        <v>1607</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2016</v>
      </c>
      <c r="D97" s="1682" t="s">
        <v>2017</v>
      </c>
      <c r="E97" s="1682" t="s">
        <v>2018</v>
      </c>
      <c r="F97" s="1682" t="s">
        <v>2019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1949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1558</v>
      </c>
      <c r="B109" s="1670" t="s">
        <v>1983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2029</v>
      </c>
      <c r="B1" s="713"/>
      <c r="C1" s="714"/>
      <c r="D1" s="715"/>
      <c r="E1" s="716"/>
      <c r="F1" s="716"/>
      <c r="G1" s="717"/>
      <c r="H1" s="716"/>
      <c r="I1" s="716"/>
      <c r="J1" s="716"/>
      <c r="K1" s="718">
        <f>MATCH(C1,'数据-取费表'!A6:A16,0)+5</f>
        <v>7</v>
      </c>
    </row>
    <row r="2" ht="18" customHeight="1" spans="1:33">
      <c r="A2" s="417" t="s">
        <v>1112</v>
      </c>
      <c r="B2" s="606">
        <f ca="1">IF(D2="含税",C37,C36)</f>
        <v>-4</v>
      </c>
      <c r="C2" s="719" t="s">
        <v>2030</v>
      </c>
      <c r="D2" s="1260"/>
      <c r="E2" s="716"/>
      <c r="G2" s="716"/>
      <c r="H2" s="716"/>
      <c r="I2" s="716"/>
      <c r="J2" s="716"/>
      <c r="K2" s="716"/>
    </row>
    <row r="3" ht="18" customHeight="1" spans="1:33">
      <c r="A3" s="420" t="s">
        <v>1114</v>
      </c>
      <c r="B3" s="606">
        <f ca="1">ROUND(B2*10000/IF(C1="",'数据-汇总表'!E3,INDIRECT("'数据-取费表'!K"&amp;$K$1)),0)</f>
        <v>-288</v>
      </c>
      <c r="C3" s="719" t="s">
        <v>2031</v>
      </c>
      <c r="E3" s="711"/>
      <c r="I3" s="716"/>
      <c r="J3" s="716"/>
      <c r="K3" s="716"/>
    </row>
    <row r="4" ht="18" customHeight="1" spans="1:33">
      <c r="A4" s="1261" t="s">
        <v>2032</v>
      </c>
      <c r="B4" s="1262" t="e">
        <f ca="1">ROUND(B2*10000/IF(C1="",'数据-汇总表'!D3,INDIRECT("'数据-取费表'!R"&amp;$K$1)),0)</f>
        <v>#DIV/0!</v>
      </c>
      <c r="C4" s="1263" t="s">
        <v>2031</v>
      </c>
      <c r="E4" s="711"/>
      <c r="I4" s="716"/>
      <c r="J4" s="716"/>
      <c r="K4" s="716"/>
    </row>
    <row r="5" ht="18" customHeight="1" spans="1:33">
      <c r="A5" s="416"/>
      <c r="B5" s="1264" t="e">
        <f ca="1">ROUND(B2/(IF(C1="",'数据-汇总表'!D3,INDIRECT("'数据-取费表'!R"&amp;$K$1))/666.67),0)</f>
        <v>#DIV/0!</v>
      </c>
      <c r="C5" s="1265" t="s">
        <v>2033</v>
      </c>
      <c r="E5" s="711"/>
      <c r="I5" s="716"/>
      <c r="J5" s="716"/>
      <c r="K5" s="716"/>
    </row>
    <row r="6" s="700" customFormat="1" ht="16.5" customHeight="1" spans="1:33">
      <c r="A6" s="722" t="s">
        <v>2034</v>
      </c>
      <c r="B6" s="723"/>
      <c r="C6" s="724" t="s">
        <v>2035</v>
      </c>
      <c r="D6" s="724"/>
      <c r="E6" s="724"/>
      <c r="F6" s="724"/>
      <c r="G6" s="724"/>
      <c r="H6" s="724"/>
      <c r="I6" s="724"/>
      <c r="J6" s="724"/>
      <c r="K6" s="725"/>
    </row>
    <row r="7" s="701" customFormat="1" ht="15" spans="1:33">
      <c r="A7" s="726" t="s">
        <v>2036</v>
      </c>
      <c r="B7" s="727" t="s">
        <v>2037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2040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2041</v>
      </c>
      <c r="B11" s="1267"/>
      <c r="C11" s="1267"/>
      <c r="D11" s="1267"/>
      <c r="E11" s="1267"/>
      <c r="F11" s="1267"/>
      <c r="G11" s="1267"/>
      <c r="H11" s="1267"/>
      <c r="I11" s="1267"/>
      <c r="J11" s="1267"/>
      <c r="K11" s="1268"/>
    </row>
    <row r="12" s="704" customFormat="1" ht="13.5" customHeight="1" spans="1:33">
      <c r="A12" s="747" t="s">
        <v>999</v>
      </c>
      <c r="B12" s="748" t="s">
        <v>2037</v>
      </c>
      <c r="C12" s="749" t="s">
        <v>1116</v>
      </c>
      <c r="D12" s="748" t="s">
        <v>2042</v>
      </c>
      <c r="E12" s="748" t="s">
        <v>2043</v>
      </c>
      <c r="F12" s="748" t="s">
        <v>2044</v>
      </c>
      <c r="G12" s="1269" t="s">
        <v>1120</v>
      </c>
      <c r="H12" s="748"/>
      <c r="I12" s="748"/>
      <c r="J12" s="748"/>
      <c r="K12" s="1270"/>
    </row>
    <row r="13" s="705" customFormat="1" ht="13.5" customHeight="1" spans="1:33">
      <c r="A13" s="726">
        <v>1</v>
      </c>
      <c r="B13" s="753" t="s">
        <v>2034</v>
      </c>
      <c r="C13" s="754">
        <f>SUM(C10:K10)</f>
        <v>0</v>
      </c>
      <c r="D13" s="755"/>
      <c r="E13" s="755"/>
      <c r="F13" s="755"/>
      <c r="G13" s="760"/>
      <c r="H13" s="760"/>
      <c r="I13" s="760"/>
      <c r="J13" s="760"/>
      <c r="K13" s="1271"/>
    </row>
    <row r="14" s="706" customFormat="1" ht="13.5" customHeight="1" spans="1:33">
      <c r="A14" s="726">
        <v>2</v>
      </c>
      <c r="B14" s="763" t="s">
        <v>2045</v>
      </c>
      <c r="C14" s="1272" t="str">
        <f>F14&amp;"V"</f>
        <v>0.0305V</v>
      </c>
      <c r="D14" s="764"/>
      <c r="E14" s="764"/>
      <c r="F14" s="1273">
        <f>IF(项目基本情况!B8="出让",0,'数据-取费表'!B49+'数据-取费表'!B50)</f>
        <v>0.0305</v>
      </c>
      <c r="G14" s="1274" t="s">
        <v>2046</v>
      </c>
      <c r="H14" s="1275"/>
      <c r="I14" s="1275"/>
      <c r="J14" s="1275"/>
      <c r="K14" s="1276"/>
    </row>
    <row r="15" s="706" customFormat="1" ht="13.5" customHeight="1" spans="1:33">
      <c r="A15" s="726">
        <v>3</v>
      </c>
      <c r="B15" s="1277" t="s">
        <v>2047</v>
      </c>
      <c r="C15" s="1278">
        <f ca="1">SUM(C16:C19)+C25+C26</f>
        <v>3</v>
      </c>
      <c r="D15" s="763"/>
      <c r="E15" s="764"/>
      <c r="F15" s="1278"/>
      <c r="G15" s="1279" t="s">
        <v>2048</v>
      </c>
      <c r="H15" s="1280"/>
      <c r="I15" s="1280"/>
      <c r="J15" s="1280"/>
      <c r="K15" s="1281"/>
    </row>
    <row r="16" s="706" customFormat="1" ht="13.5" customHeight="1" spans="1:33">
      <c r="A16" s="1282" t="s">
        <v>1009</v>
      </c>
      <c r="B16" s="1283" t="s">
        <v>2049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2050</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2051</v>
      </c>
      <c r="H18" s="760"/>
      <c r="I18" s="760"/>
      <c r="J18" s="760"/>
      <c r="K18" s="1271"/>
    </row>
    <row r="19" s="706" customFormat="1" ht="13.5" customHeight="1" spans="1:33">
      <c r="A19" s="1282" t="s">
        <v>2052</v>
      </c>
      <c r="B19" s="1283" t="s">
        <v>1140</v>
      </c>
      <c r="C19" s="1287">
        <f ca="1">C20+C23+C24</f>
        <v>3</v>
      </c>
      <c r="D19" s="1288"/>
      <c r="E19" s="1280"/>
      <c r="F19" s="1286"/>
      <c r="G19" s="760"/>
      <c r="H19" s="760"/>
      <c r="I19" s="760"/>
      <c r="J19" s="760"/>
      <c r="K19" s="1271"/>
    </row>
    <row r="20" s="706" customFormat="1" ht="13.5" customHeight="1" spans="1:33">
      <c r="A20" s="1289" t="s">
        <v>2053</v>
      </c>
      <c r="B20" s="1290" t="s">
        <v>2054</v>
      </c>
      <c r="C20" s="1287">
        <f ca="1">C21+C22-IF(C1="",'数据-取费表'!B29,IF(G20="已全部缴纳",C21+C22,H20))</f>
        <v>3</v>
      </c>
      <c r="D20" s="1288"/>
      <c r="E20" s="1291"/>
      <c r="F20" s="1292"/>
      <c r="G20" s="1293"/>
      <c r="H20" s="1294"/>
      <c r="I20" s="1295" t="s">
        <v>2055</v>
      </c>
      <c r="J20" s="1280"/>
      <c r="K20" s="1281"/>
    </row>
    <row r="21" s="706" customFormat="1" ht="13.5" customHeight="1" spans="1:33">
      <c r="A21" s="1296" t="s">
        <v>1141</v>
      </c>
      <c r="B21" s="1297" t="s">
        <v>2056</v>
      </c>
      <c r="C21" s="1298">
        <f ca="1">ROUND(D21*E21/10000,0)</f>
        <v>0</v>
      </c>
      <c r="D21" s="1299">
        <f ca="1">IF(C1="",'数据-汇总表'!E5,IF(INDIRECT("'数据-取费表'!c"&amp;$K$1)="住宅",INDIRECT("'数据-取费表'!k"&amp;$K$1),0))</f>
        <v>0</v>
      </c>
      <c r="E21" s="1298">
        <f>'数据-取费表'!B27</f>
        <v>160</v>
      </c>
      <c r="F21" s="1300"/>
      <c r="G21" s="1301"/>
      <c r="H21" s="1301"/>
      <c r="I21" s="1301"/>
      <c r="J21" s="1301"/>
      <c r="K21" s="1302"/>
    </row>
    <row r="22" s="706" customFormat="1" ht="13.5" customHeight="1" spans="1:33">
      <c r="A22" s="1296" t="s">
        <v>1148</v>
      </c>
      <c r="B22" s="1297" t="s">
        <v>2057</v>
      </c>
      <c r="C22" s="1298">
        <f ca="1">ROUND(D22*E22/10000,0)</f>
        <v>3</v>
      </c>
      <c r="D22" s="1299">
        <f ca="1">IF(C1="",'数据-汇总表'!E6,IF(INDIRECT("'数据-取费表'!c"&amp;$K$1)="住宅",INDIRECT("'数据-取费表'!s"&amp;$K$1),INDIRECT("'数据-取费表'!k"&amp;$K$1)+INDIRECT("'数据-取费表'!s"&amp;$K$1)))</f>
        <v>138.87</v>
      </c>
      <c r="E22" s="1298">
        <f>'数据-取费表'!B28</f>
        <v>200</v>
      </c>
      <c r="F22" s="1300"/>
      <c r="G22" s="1301"/>
      <c r="H22" s="1301"/>
      <c r="I22" s="1301"/>
      <c r="J22" s="1301"/>
      <c r="K22" s="1302"/>
    </row>
    <row r="23" s="707" customFormat="1" ht="13.5" customHeight="1" spans="1:33">
      <c r="A23" s="1289" t="s">
        <v>2058</v>
      </c>
      <c r="B23" s="1290" t="s">
        <v>2059</v>
      </c>
      <c r="C23" s="1287">
        <f ca="1">ROUND(D23*E23*F16/10000,0)</f>
        <v>0</v>
      </c>
      <c r="D23" s="1303">
        <f ca="1">IF(C1="",'数据-汇总表'!E3,INDIRECT("'数据-取费表'!K"&amp;$K$1)+INDIRECT("'数据-取费表'!S"&amp;$K$1))</f>
        <v>138.87</v>
      </c>
      <c r="E23" s="1287">
        <f>'数据-取费表'!B35</f>
        <v>300</v>
      </c>
      <c r="F23" s="1292"/>
      <c r="G23" s="753" t="s">
        <v>2060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2061</v>
      </c>
      <c r="B24" s="1290" t="s">
        <v>2062</v>
      </c>
      <c r="C24" s="1287">
        <f ca="1">ROUND(D24*E24/10000,0)</f>
        <v>0</v>
      </c>
      <c r="D24" s="1303">
        <f ca="1">D23</f>
        <v>138.87</v>
      </c>
      <c r="E24" s="1287">
        <f>'数据-取费表'!B32</f>
        <v>0</v>
      </c>
      <c r="F24" s="1304"/>
      <c r="G24" s="1280" t="s">
        <v>2063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2064</v>
      </c>
      <c r="B25" s="1306" t="s">
        <v>1153</v>
      </c>
      <c r="C25" s="1307">
        <f ca="1">ROUND(C16*F25,0)</f>
        <v>0</v>
      </c>
      <c r="D25" s="1308"/>
      <c r="E25" s="1309"/>
      <c r="F25" s="1286">
        <f>'数据-取费表'!B36</f>
        <v>0.01</v>
      </c>
      <c r="G25" s="1308"/>
      <c r="H25" s="1308"/>
      <c r="I25" s="1308"/>
      <c r="J25" s="1308"/>
      <c r="K25" s="1310"/>
    </row>
    <row r="26" s="707" customFormat="1" ht="13.5" customHeight="1" spans="1:33">
      <c r="A26" s="1305" t="s">
        <v>2065</v>
      </c>
      <c r="B26" s="1283" t="s">
        <v>2066</v>
      </c>
      <c r="C26" s="1304">
        <f ca="1">ROUND(C16*F26,0)</f>
        <v>0</v>
      </c>
      <c r="D26" s="1311"/>
      <c r="E26" s="1312"/>
      <c r="F26" s="1286">
        <f>'数据-取费表'!B37</f>
        <v>0</v>
      </c>
      <c r="G26" s="1280" t="s">
        <v>2067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2068</v>
      </c>
      <c r="C27" s="1278">
        <f ca="1">ROUND(C15*F27,0)</f>
        <v>0</v>
      </c>
      <c r="D27" s="764"/>
      <c r="E27" s="764"/>
      <c r="F27" s="1273">
        <f>'数据-取费表'!B38</f>
        <v>0.02</v>
      </c>
      <c r="G27" s="760" t="s">
        <v>2069</v>
      </c>
      <c r="H27" s="760"/>
      <c r="I27" s="760"/>
      <c r="J27" s="760"/>
      <c r="K27" s="1271"/>
    </row>
    <row r="28" s="706" customFormat="1" ht="13.5" customHeight="1" spans="1:33">
      <c r="A28" s="726">
        <v>5</v>
      </c>
      <c r="B28" s="763" t="s">
        <v>2070</v>
      </c>
      <c r="C28" s="1278">
        <f ca="1">ROUND(C13*F28*F16,0)</f>
        <v>0</v>
      </c>
      <c r="D28" s="764"/>
      <c r="E28" s="764"/>
      <c r="F28" s="1273">
        <f>'数据-取费表'!B39</f>
        <v>0.02</v>
      </c>
      <c r="G28" s="760" t="s">
        <v>2071</v>
      </c>
      <c r="H28" s="760"/>
      <c r="I28" s="760"/>
      <c r="J28" s="760"/>
      <c r="K28" s="1271"/>
    </row>
    <row r="29" s="706" customFormat="1" ht="13.5" customHeight="1" spans="1:33">
      <c r="A29" s="726">
        <v>6</v>
      </c>
      <c r="B29" s="1277" t="s">
        <v>1164</v>
      </c>
      <c r="C29" s="1272" t="str">
        <f ca="1">C31&amp;"+"&amp;C30&amp;"V"</f>
        <v>0+0V</v>
      </c>
      <c r="D29" s="1313"/>
      <c r="E29" s="764"/>
      <c r="F29" s="1314">
        <f ca="1">'数据-取费表'!B41</f>
        <v>0.03</v>
      </c>
      <c r="G29" s="1280" t="str">
        <f>IF('数据-取费表'!B22&lt;=1,"单利计息。","复利计息。")&amp;"后续开发成本、管理费用及销售费用产生的利息。"</f>
        <v>单利计息。后续开发成本、管理费用及销售费用产生的利息。</v>
      </c>
      <c r="H29" s="1275"/>
      <c r="I29" s="1275"/>
      <c r="J29" s="1275"/>
      <c r="K29" s="1276"/>
    </row>
    <row r="30" s="708" customFormat="1" ht="13.5" customHeight="1" spans="1:33">
      <c r="A30" s="1315" t="s">
        <v>1009</v>
      </c>
      <c r="B30" s="1290" t="s">
        <v>2072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（(1)+取得税费率/(1+5%)）×年利率×建设期</v>
      </c>
      <c r="H30" s="1280"/>
      <c r="I30" s="1280"/>
      <c r="J30" s="1280"/>
      <c r="K30" s="1281"/>
    </row>
    <row r="31" s="708" customFormat="1" ht="13.5" customHeight="1" spans="1:33">
      <c r="A31" s="1315" t="s">
        <v>1014</v>
      </c>
      <c r="B31" s="1290" t="s">
        <v>2073</v>
      </c>
      <c r="C31" s="1284">
        <f ca="1">ROUND(IF('数据-取费表'!B22&lt;=1,(C15+C27+C28)*F29*'数据-取费表'!B24/2,(C15+C27+C28)*(POWER((1+F29),'数据-取费表'!B24/2)-1)),0)</f>
        <v>0</v>
      </c>
      <c r="D31" s="1317"/>
      <c r="E31" s="1311"/>
      <c r="F31" s="1318"/>
      <c r="G31" s="495" t="str">
        <f>IF('数据-取费表'!B22&lt;=1,"（1）-（3）项×年利率×建设期÷2","（1）-（3）项×((1+年利率)^(建设期÷2)-1)")</f>
        <v>（1）-（3）项×年利率×建设期÷2</v>
      </c>
      <c r="H31" s="1280"/>
      <c r="I31" s="1280"/>
      <c r="J31" s="1280"/>
      <c r="K31" s="1281"/>
    </row>
    <row r="32" s="706" customFormat="1" ht="13.5" customHeight="1" spans="1:33">
      <c r="A32" s="726">
        <v>7</v>
      </c>
      <c r="B32" s="1319" t="s">
        <v>2074</v>
      </c>
      <c r="C32" s="1320">
        <f>ROUND(C13*F32/(1+'数据-取费表'!C43),0)</f>
        <v>0</v>
      </c>
      <c r="D32" s="760"/>
      <c r="E32" s="1321"/>
      <c r="F32" s="1314"/>
      <c r="G32" s="1322" t="s">
        <v>2075</v>
      </c>
      <c r="H32" s="1322"/>
      <c r="I32" s="1322"/>
      <c r="J32" s="1322"/>
      <c r="K32" s="1323"/>
    </row>
    <row r="33" s="709" customFormat="1" ht="13.5" customHeight="1" spans="1:11">
      <c r="A33" s="726">
        <v>8</v>
      </c>
      <c r="B33" s="1324" t="s">
        <v>2076</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1009</v>
      </c>
      <c r="B34" s="1290" t="s">
        <v>2077</v>
      </c>
      <c r="C34" s="1316">
        <f ca="1">ROUND((1+F14)*F33*'数据-取费表'!B24/'数据-取费表'!B22,4)</f>
        <v>0</v>
      </c>
      <c r="D34" s="1317"/>
      <c r="E34" s="1311"/>
      <c r="F34" s="1327"/>
      <c r="G34" s="1280" t="s">
        <v>2078</v>
      </c>
      <c r="H34" s="1280"/>
      <c r="I34" s="1280"/>
      <c r="J34" s="1280"/>
      <c r="K34" s="1281"/>
    </row>
    <row r="35" s="1257" customFormat="1" ht="13.5" customHeight="1" spans="1:11">
      <c r="A35" s="1315" t="s">
        <v>1014</v>
      </c>
      <c r="B35" s="1290" t="s">
        <v>2073</v>
      </c>
      <c r="C35" s="1328">
        <f ca="1">ROUND((C15+C27+C28)*F33,0)</f>
        <v>1</v>
      </c>
      <c r="D35" s="1317"/>
      <c r="E35" s="1311"/>
      <c r="F35" s="1327"/>
      <c r="G35" s="1280"/>
      <c r="H35" s="1280"/>
      <c r="I35" s="1280"/>
      <c r="J35" s="1280"/>
      <c r="K35" s="1281"/>
    </row>
    <row r="36" s="705" customFormat="1" ht="15" spans="1:11">
      <c r="A36" s="726">
        <v>9</v>
      </c>
      <c r="B36" s="753" t="s">
        <v>2079</v>
      </c>
      <c r="C36" s="754">
        <f ca="1">ROUND((C13-C15-C27-C28-C31-C35-C32)/(1+F14+C30+C34),0)</f>
        <v>-4</v>
      </c>
      <c r="D36" s="760"/>
      <c r="E36" s="760"/>
      <c r="F36" s="1313"/>
      <c r="G36" s="1329" t="s">
        <v>2080</v>
      </c>
      <c r="H36" s="760"/>
      <c r="I36" s="760"/>
      <c r="J36" s="760"/>
      <c r="K36" s="1271"/>
    </row>
    <row r="37" s="1258" customFormat="1" ht="15.75" spans="1:11">
      <c r="A37" s="1330">
        <v>10</v>
      </c>
      <c r="B37" s="1331" t="s">
        <v>2081</v>
      </c>
      <c r="C37" s="1332">
        <f ca="1">ROUND(C36*(1+F37),0)</f>
        <v>-4</v>
      </c>
      <c r="D37" s="1333"/>
      <c r="E37" s="1334"/>
      <c r="F37" s="1335">
        <v>0.09</v>
      </c>
      <c r="G37" s="753" t="s">
        <v>2082</v>
      </c>
      <c r="H37" s="760"/>
      <c r="I37" s="760"/>
      <c r="J37" s="760"/>
      <c r="K37" s="1271"/>
    </row>
    <row r="38" customHeight="1"/>
    <row r="44" s="1259" customFormat="1" ht="19.5" spans="1:11">
      <c r="A44" s="1336" t="s">
        <v>2083</v>
      </c>
      <c r="B44" s="1337"/>
      <c r="C44" s="1338"/>
      <c r="D44" s="1337"/>
      <c r="E44" s="1337"/>
      <c r="F44" s="1337"/>
      <c r="G44" s="1337"/>
    </row>
    <row r="45" s="1259" customFormat="1" ht="13.5" spans="1:11">
      <c r="A45" s="747" t="s">
        <v>999</v>
      </c>
      <c r="B45" s="1339" t="s">
        <v>2037</v>
      </c>
      <c r="C45" s="1340" t="s">
        <v>2084</v>
      </c>
      <c r="D45" s="1341" t="s">
        <v>2042</v>
      </c>
      <c r="E45" s="1341" t="s">
        <v>2043</v>
      </c>
      <c r="F45" s="1341" t="s">
        <v>2044</v>
      </c>
      <c r="G45" s="1342" t="s">
        <v>1120</v>
      </c>
    </row>
    <row r="46" s="1259" customFormat="1" spans="1:11">
      <c r="A46" s="1343">
        <v>1</v>
      </c>
      <c r="B46" s="1306" t="s">
        <v>2085</v>
      </c>
      <c r="C46" s="1307">
        <f>C13</f>
        <v>0</v>
      </c>
      <c r="D46" s="1343"/>
      <c r="E46" s="1343"/>
      <c r="F46" s="1343"/>
      <c r="G46" s="1343"/>
    </row>
    <row r="47" s="1259" customFormat="1" spans="1:11">
      <c r="A47" s="1343">
        <v>2</v>
      </c>
      <c r="B47" s="1306" t="s">
        <v>2086</v>
      </c>
      <c r="C47" s="1307" t="str">
        <f>C14</f>
        <v>0.0305V</v>
      </c>
      <c r="D47" s="1343"/>
      <c r="E47" s="1343"/>
      <c r="F47" s="1343"/>
      <c r="G47" s="1343"/>
    </row>
    <row r="48" s="1259" customFormat="1" spans="1:11">
      <c r="A48" s="1343">
        <v>3</v>
      </c>
      <c r="B48" s="1306" t="s">
        <v>2087</v>
      </c>
      <c r="C48" s="1307" t="e">
        <f ca="1">C49+C59+C60+C63</f>
        <v>#VALUE!</v>
      </c>
      <c r="D48" s="1343"/>
      <c r="E48" s="1343"/>
      <c r="F48" s="1343"/>
      <c r="G48" s="1343"/>
    </row>
    <row r="49" s="1259" customFormat="1" spans="1:7">
      <c r="A49" s="1344" t="s">
        <v>1009</v>
      </c>
      <c r="B49" s="1306" t="s">
        <v>2088</v>
      </c>
      <c r="C49" s="1307">
        <f ca="1">C50+C51+C52+C53+C57+C58</f>
        <v>3</v>
      </c>
      <c r="D49" s="1343"/>
      <c r="E49" s="1343"/>
      <c r="F49" s="1343"/>
      <c r="G49" s="1343"/>
    </row>
    <row r="50" s="1259" customFormat="1" spans="1:7">
      <c r="A50" s="1345" t="s">
        <v>1038</v>
      </c>
      <c r="B50" s="1306" t="s">
        <v>2089</v>
      </c>
      <c r="C50" s="1307">
        <f ca="1">C16</f>
        <v>0</v>
      </c>
      <c r="D50" s="1343"/>
      <c r="E50" s="1343"/>
      <c r="F50" s="1343"/>
      <c r="G50" s="1343"/>
    </row>
    <row r="51" s="1259" customFormat="1" spans="1:7">
      <c r="A51" s="1345" t="s">
        <v>2090</v>
      </c>
      <c r="B51" s="1343" t="s">
        <v>1134</v>
      </c>
      <c r="C51" s="1307">
        <f ca="1" t="shared" ref="C51:C54" si="0">C17</f>
        <v>0</v>
      </c>
      <c r="D51" s="1343"/>
      <c r="E51" s="1343"/>
      <c r="F51" s="1343"/>
      <c r="G51" s="1343"/>
    </row>
    <row r="52" s="1259" customFormat="1" spans="1:7">
      <c r="A52" s="1345" t="s">
        <v>2091</v>
      </c>
      <c r="B52" s="1343" t="s">
        <v>1137</v>
      </c>
      <c r="C52" s="1307">
        <f ca="1" t="shared" si="0"/>
        <v>0</v>
      </c>
      <c r="D52" s="1343"/>
      <c r="E52" s="1343"/>
      <c r="F52" s="1343"/>
      <c r="G52" s="1343"/>
    </row>
    <row r="53" s="1259" customFormat="1" spans="1:7">
      <c r="A53" s="1345" t="s">
        <v>2092</v>
      </c>
      <c r="B53" s="1343" t="s">
        <v>1140</v>
      </c>
      <c r="C53" s="1307">
        <f ca="1" t="shared" si="0"/>
        <v>3</v>
      </c>
      <c r="D53" s="1343"/>
      <c r="E53" s="1343"/>
      <c r="F53" s="1343"/>
      <c r="G53" s="1343"/>
    </row>
    <row r="54" s="1259" customFormat="1" spans="1:7">
      <c r="A54" s="1346" t="s">
        <v>1141</v>
      </c>
      <c r="B54" s="1347" t="s">
        <v>1142</v>
      </c>
      <c r="C54" s="1348">
        <f ca="1" t="shared" si="0"/>
        <v>3</v>
      </c>
      <c r="D54" s="1343"/>
      <c r="E54" s="1343"/>
      <c r="F54" s="1343"/>
      <c r="G54" s="1343"/>
    </row>
    <row r="55" s="1259" customFormat="1" spans="1:7">
      <c r="A55" s="1346" t="s">
        <v>1148</v>
      </c>
      <c r="B55" s="1347" t="s">
        <v>2093</v>
      </c>
      <c r="C55" s="1348">
        <f ca="1">C23</f>
        <v>0</v>
      </c>
      <c r="D55" s="1343"/>
      <c r="E55" s="1343"/>
      <c r="F55" s="1343"/>
      <c r="G55" s="1343"/>
    </row>
    <row r="56" s="1259" customFormat="1" spans="1:7">
      <c r="A56" s="1346" t="s">
        <v>1150</v>
      </c>
      <c r="B56" s="1347" t="s">
        <v>2094</v>
      </c>
      <c r="C56" s="1348">
        <f ca="1">C24</f>
        <v>0</v>
      </c>
      <c r="D56" s="1343"/>
      <c r="E56" s="1343"/>
      <c r="F56" s="1343"/>
      <c r="G56" s="1343"/>
    </row>
    <row r="57" s="1259" customFormat="1" spans="1:7">
      <c r="A57" s="1345" t="s">
        <v>1384</v>
      </c>
      <c r="B57" s="1343" t="s">
        <v>1153</v>
      </c>
      <c r="C57" s="1307">
        <f ca="1">C25</f>
        <v>0</v>
      </c>
      <c r="D57" s="1343"/>
      <c r="E57" s="1343"/>
      <c r="F57" s="1343"/>
      <c r="G57" s="1343"/>
    </row>
    <row r="58" s="1259" customFormat="1" spans="1:7">
      <c r="A58" s="1345" t="s">
        <v>2095</v>
      </c>
      <c r="B58" s="1343" t="s">
        <v>2066</v>
      </c>
      <c r="C58" s="1307">
        <f ca="1">C26</f>
        <v>0</v>
      </c>
      <c r="D58" s="1343"/>
      <c r="E58" s="1343"/>
      <c r="F58" s="1343"/>
      <c r="G58" s="1343"/>
    </row>
    <row r="59" s="1259" customFormat="1" spans="1:7">
      <c r="A59" s="1344" t="s">
        <v>2096</v>
      </c>
      <c r="B59" s="1306" t="s">
        <v>2097</v>
      </c>
      <c r="C59" s="1307">
        <f ca="1">C27</f>
        <v>0</v>
      </c>
      <c r="D59" s="1343"/>
      <c r="E59" s="1343"/>
      <c r="F59" s="1343"/>
      <c r="G59" s="1343"/>
    </row>
    <row r="60" s="1259" customFormat="1" spans="1:7">
      <c r="A60" s="1344" t="s">
        <v>2098</v>
      </c>
      <c r="B60" s="1306" t="s">
        <v>2099</v>
      </c>
      <c r="C60" s="1307">
        <f ca="1">C61+C62</f>
        <v>0</v>
      </c>
      <c r="D60" s="1343"/>
      <c r="E60" s="1343"/>
      <c r="F60" s="1343"/>
      <c r="G60" s="1343"/>
    </row>
    <row r="61" s="1259" customFormat="1" spans="1:7">
      <c r="A61" s="1345" t="s">
        <v>1038</v>
      </c>
      <c r="B61" s="1306" t="s">
        <v>2100</v>
      </c>
      <c r="C61" s="1307">
        <f ca="1">C28</f>
        <v>0</v>
      </c>
      <c r="D61" s="1343"/>
      <c r="E61" s="1343"/>
      <c r="F61" s="1343"/>
      <c r="G61" s="1343"/>
    </row>
    <row r="62" s="1259" customFormat="1" spans="1:7">
      <c r="A62" s="1345" t="s">
        <v>1042</v>
      </c>
      <c r="B62" s="1306" t="s">
        <v>2099</v>
      </c>
      <c r="C62" s="1307">
        <f>C32</f>
        <v>0</v>
      </c>
      <c r="D62" s="1343"/>
      <c r="E62" s="1343"/>
      <c r="F62" s="1343"/>
      <c r="G62" s="1343"/>
    </row>
    <row r="63" s="1259" customFormat="1" spans="1:7">
      <c r="A63" s="1344" t="s">
        <v>2101</v>
      </c>
      <c r="B63" s="1306" t="s">
        <v>1164</v>
      </c>
      <c r="C63" s="1307" t="str">
        <f ca="1">C29</f>
        <v>0+0V</v>
      </c>
      <c r="D63" s="1343"/>
      <c r="E63" s="1343"/>
      <c r="F63" s="1343"/>
      <c r="G63" s="1343"/>
    </row>
    <row r="64" s="1259" customFormat="1" spans="1:7">
      <c r="A64" s="1343">
        <v>4</v>
      </c>
      <c r="B64" s="1306" t="s">
        <v>2102</v>
      </c>
      <c r="C64" s="1307" t="str">
        <f ca="1">C33</f>
        <v>1+0V</v>
      </c>
      <c r="D64" s="1343"/>
      <c r="E64" s="1343"/>
      <c r="F64" s="1343"/>
      <c r="G64" s="1343"/>
    </row>
    <row r="65" s="1259" customFormat="1" spans="1:7">
      <c r="A65" s="1343">
        <v>5</v>
      </c>
      <c r="B65" s="1306" t="s">
        <v>2103</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2104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2105</v>
      </c>
      <c r="D2" s="1248" t="s">
        <v>2106</v>
      </c>
      <c r="E2" s="1250">
        <f ca="1">SUMIF(E6:E13,"&lt;&gt;#ref!",E6:E13)</f>
        <v>0</v>
      </c>
      <c r="F2" s="1247"/>
      <c r="G2" s="1247"/>
      <c r="H2" s="1247"/>
      <c r="I2" s="1247"/>
      <c r="J2" s="1247"/>
      <c r="K2" s="1247"/>
      <c r="L2" s="1247"/>
      <c r="M2" s="1247"/>
      <c r="N2" s="1247"/>
      <c r="O2" s="1247"/>
      <c r="P2" s="1247"/>
    </row>
    <row r="3" ht="15.75" spans="1:16">
      <c r="A3" s="1248" t="s">
        <v>2107</v>
      </c>
      <c r="B3" s="1249" t="e">
        <f ca="1">ROUND(B2*10000/E2,0)</f>
        <v>#DIV/0!</v>
      </c>
      <c r="C3" s="1248" t="s">
        <v>2108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2109</v>
      </c>
      <c r="B5" s="1253" t="s">
        <v>2110</v>
      </c>
      <c r="C5" s="1254"/>
      <c r="D5" s="1247"/>
      <c r="E5" s="1255" t="s">
        <v>2111</v>
      </c>
      <c r="F5" s="1247"/>
      <c r="G5" s="1247"/>
      <c r="H5" s="1247"/>
      <c r="I5" s="1247"/>
      <c r="J5" s="1247"/>
      <c r="K5" s="1247"/>
      <c r="L5" s="1247"/>
      <c r="M5" s="1247"/>
      <c r="N5" s="1247"/>
      <c r="O5" s="1247"/>
      <c r="P5" s="1247"/>
    </row>
    <row r="6" spans="1:16">
      <c r="A6" s="1256" t="s">
        <v>2112</v>
      </c>
      <c r="B6" s="1249" t="e">
        <f ca="1">SUMIF(INDIRECT("'"&amp;A6&amp;"'"&amp;"!A:A"),"总价",INDIRECT("'"&amp;A6&amp;"'"&amp;"!B:B"))</f>
        <v>#DIV/0!</v>
      </c>
      <c r="C6" s="1248" t="s">
        <v>2105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2105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2105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2105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2105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2105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2105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2105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0" customWidth="1"/>
    <col min="2" max="2" width="37.25" style="4690" customWidth="1"/>
    <col min="3" max="3" width="11.375" style="4690" customWidth="1"/>
    <col min="4" max="4" width="31.75" style="4690" customWidth="1"/>
    <col min="5" max="5" width="0.5" style="4690" customWidth="1"/>
    <col min="6" max="7" width="13" style="4690" customWidth="1"/>
    <col min="8" max="16384" width="9" style="4690"/>
  </cols>
  <sheetData>
    <row r="1" ht="18.75"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8" spans="1:5">
      <c r="A3" s="4694" t="str">
        <f>IF(项目基本情况!B9="房地产市场价值","估价结果一览表（市场价值不需“结果表-1”）","估价结果一览表")</f>
        <v>估价结果一览表</v>
      </c>
      <c r="B3" s="4694"/>
      <c r="C3" s="4694"/>
      <c r="D3" s="4694"/>
      <c r="E3" s="4694"/>
    </row>
    <row r="4" ht="19.5" spans="1:5">
      <c r="A4" s="4694"/>
      <c r="B4" s="4695" t="s">
        <v>95</v>
      </c>
      <c r="C4" s="4695"/>
      <c r="D4" s="4695"/>
      <c r="E4" s="4694"/>
    </row>
    <row r="5" ht="16.5" spans="1:5">
      <c r="A5" s="4692"/>
      <c r="B5" s="4696" t="s">
        <v>96</v>
      </c>
      <c r="C5" s="4697" t="s">
        <v>97</v>
      </c>
      <c r="D5" s="4698">
        <f ca="1">结果表!H101</f>
        <v>740.2049</v>
      </c>
      <c r="E5" s="4692"/>
    </row>
    <row r="6" ht="28.5" spans="1:5">
      <c r="A6" s="4692"/>
      <c r="B6" s="4696"/>
      <c r="C6" s="4697" t="s">
        <v>98</v>
      </c>
      <c r="D6" s="4698" t="str">
        <f ca="1">NUMBERSTRING(INT(D5*10000),2)&amp;"元整"</f>
        <v>柒佰肆拾万贰仟零肆拾玖元整</v>
      </c>
      <c r="E6" s="4692"/>
    </row>
    <row r="7" ht="15.75" spans="1:5">
      <c r="A7" s="4692"/>
      <c r="B7" s="4699"/>
      <c r="C7" s="4700" t="s">
        <v>99</v>
      </c>
      <c r="D7" s="4701">
        <f ca="1">结果表!H102</f>
        <v>53302</v>
      </c>
      <c r="E7" s="4692"/>
    </row>
    <row r="8" ht="15.75" spans="1:5">
      <c r="A8" s="4692"/>
      <c r="B8" s="4702" t="str">
        <f>结果表!E103</f>
        <v>2.估价师知悉的法定优先受偿款</v>
      </c>
      <c r="C8" s="4703" t="s">
        <v>100</v>
      </c>
      <c r="D8" s="4701">
        <f>结果表!H103</f>
        <v>0</v>
      </c>
      <c r="E8" s="4692"/>
    </row>
    <row r="9" spans="1:5">
      <c r="A9" s="4692"/>
      <c r="B9" s="4704"/>
      <c r="C9" s="4697" t="s">
        <v>98</v>
      </c>
      <c r="D9" s="4698" t="str">
        <f>NUMBERSTRING(INT(D8*10000),2)&amp;"元整"</f>
        <v>零元整</v>
      </c>
      <c r="E9" s="4692"/>
    </row>
    <row r="10" ht="15" spans="1:5">
      <c r="A10" s="4692"/>
      <c r="B10" s="4705" t="s">
        <v>101</v>
      </c>
      <c r="C10" s="4706" t="s">
        <v>102</v>
      </c>
      <c r="D10" s="4707">
        <f>结果表!H104</f>
        <v>0</v>
      </c>
      <c r="E10" s="4692"/>
    </row>
    <row r="11" ht="15" spans="1:5">
      <c r="A11" s="4692"/>
      <c r="B11" s="4705" t="s">
        <v>103</v>
      </c>
      <c r="C11" s="4706" t="s">
        <v>102</v>
      </c>
      <c r="D11" s="4707">
        <f>结果表!H105</f>
        <v>0</v>
      </c>
      <c r="E11" s="4692"/>
    </row>
    <row r="12" ht="15" spans="1:5">
      <c r="A12" s="4692"/>
      <c r="B12" s="4705" t="s">
        <v>104</v>
      </c>
      <c r="C12" s="4706" t="s">
        <v>102</v>
      </c>
      <c r="D12" s="4707">
        <f>结果表!H106</f>
        <v>0</v>
      </c>
      <c r="E12" s="4692"/>
    </row>
    <row r="13" ht="15.75" spans="1:5">
      <c r="A13" s="4692"/>
      <c r="B13" s="4708" t="str">
        <f>结果表!E107</f>
        <v>3.房地产抵押价值</v>
      </c>
      <c r="C13" s="4709" t="s">
        <v>97</v>
      </c>
      <c r="D13" s="4710">
        <f ca="1">结果表!H107</f>
        <v>740.2049</v>
      </c>
      <c r="E13" s="4692"/>
    </row>
    <row r="14" ht="28.5" spans="1:5">
      <c r="A14" s="4692"/>
      <c r="B14" s="4696"/>
      <c r="C14" s="4697" t="s">
        <v>98</v>
      </c>
      <c r="D14" s="4698" t="str">
        <f ca="1">NUMBERSTRING(INT(D13*10000),2)&amp;"元整"</f>
        <v>柒佰肆拾万贰仟零肆拾玖元整</v>
      </c>
      <c r="E14" s="4692"/>
    </row>
    <row r="15" ht="15" spans="1:5">
      <c r="A15" s="4692"/>
      <c r="B15" s="4699"/>
      <c r="C15" s="4700" t="s">
        <v>99</v>
      </c>
      <c r="D15" s="4711">
        <f ca="1">结果表!H108</f>
        <v>53302</v>
      </c>
      <c r="E15" s="4692"/>
    </row>
    <row r="16" ht="15" spans="1:5">
      <c r="A16" s="4692"/>
      <c r="B16" s="4702" t="str">
        <f>结果表!E109</f>
        <v>——</v>
      </c>
      <c r="C16" s="4709" t="s">
        <v>97</v>
      </c>
      <c r="D16" s="4712" t="str">
        <f ca="1">结果表!H109</f>
        <v>——</v>
      </c>
      <c r="E16" s="4692"/>
    </row>
    <row r="17" ht="15.75" spans="1:5">
      <c r="A17" s="4692"/>
      <c r="B17" s="4713"/>
      <c r="C17" s="4697" t="s">
        <v>98</v>
      </c>
      <c r="D17" s="4698" t="e">
        <f ca="1">NUMBERSTRING(INT(D16*10000),2)&amp;"元整"</f>
        <v>#VALUE!</v>
      </c>
      <c r="E17" s="4692"/>
    </row>
    <row r="18" ht="15" spans="1:5">
      <c r="A18" s="4692"/>
      <c r="B18" s="4704"/>
      <c r="C18" s="4700" t="s">
        <v>99</v>
      </c>
      <c r="D18" s="4711" t="str">
        <f ca="1">结果表!H110</f>
        <v>——</v>
      </c>
      <c r="E18" s="4692"/>
    </row>
    <row r="19" ht="15.75" spans="1:5">
      <c r="A19" s="4692"/>
      <c r="B19" s="4708" t="str">
        <f>结果表!E111</f>
        <v>——</v>
      </c>
      <c r="C19" s="4709" t="s">
        <v>97</v>
      </c>
      <c r="D19" s="4701" t="str">
        <f ca="1">结果表!H111</f>
        <v>——</v>
      </c>
      <c r="E19" s="4692"/>
    </row>
    <row r="20" ht="15.75" spans="1:5">
      <c r="A20" s="4692"/>
      <c r="B20" s="4696"/>
      <c r="C20" s="4697" t="s">
        <v>98</v>
      </c>
      <c r="D20" s="4698" t="e">
        <f ca="1">NUMBERSTRING(INT(D19*10000),2)&amp;"元整"</f>
        <v>#VALUE!</v>
      </c>
      <c r="E20" s="4692"/>
    </row>
    <row r="21" ht="15.75" spans="1:5">
      <c r="A21" s="4692"/>
      <c r="B21" s="4714"/>
      <c r="C21" s="4715" t="s">
        <v>99</v>
      </c>
      <c r="D21" s="4716" t="str">
        <f ca="1">结果表!H112</f>
        <v>——</v>
      </c>
      <c r="E21" s="4692"/>
    </row>
    <row r="22" ht="15" spans="1:5">
      <c r="A22" s="4692"/>
      <c r="B22" s="4717" t="s">
        <v>105</v>
      </c>
      <c r="C22" s="4692"/>
      <c r="D22" s="4692"/>
      <c r="E22" s="4692"/>
    </row>
    <row r="23" spans="1:5">
      <c r="A23" s="4692"/>
      <c r="B23" s="4692"/>
      <c r="C23" s="4692"/>
      <c r="D23" s="4692"/>
      <c r="E23" s="4692"/>
    </row>
    <row r="24" ht="18.75"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2113</v>
      </c>
      <c r="B1" s="414"/>
      <c r="C1" s="417" t="s">
        <v>1512</v>
      </c>
      <c r="D1" s="837">
        <f>SUM(D33:D34,D37:D42)</f>
        <v>0</v>
      </c>
      <c r="E1" s="838"/>
      <c r="F1" s="838"/>
      <c r="G1" s="838"/>
      <c r="H1" s="838"/>
      <c r="I1" s="838"/>
      <c r="J1" s="838"/>
      <c r="K1" s="830"/>
      <c r="L1" s="839" t="s">
        <v>2114</v>
      </c>
      <c r="M1" s="840">
        <f>SUMPRODUCT((区片价!B5:B9=I2)*(区片价!C3:G3=E2)*(区片价!C5:G9))</f>
        <v>0</v>
      </c>
      <c r="N1" s="841">
        <f>SUMPRODUCT((因素修正幅度!B5:B9=I2)*(因素修正幅度!C3:G3=E2)*(因素修正幅度!C5:G9))</f>
        <v>0</v>
      </c>
      <c r="O1" s="831"/>
      <c r="P1" s="831"/>
      <c r="Q1" s="830"/>
      <c r="R1" s="842" t="s">
        <v>2115</v>
      </c>
      <c r="S1" s="842" t="s">
        <v>2116</v>
      </c>
      <c r="T1" s="842" t="s">
        <v>2117</v>
      </c>
      <c r="U1" s="842" t="s">
        <v>2118</v>
      </c>
      <c r="V1" s="842" t="s">
        <v>2119</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2120</v>
      </c>
      <c r="E2" s="849"/>
      <c r="F2" s="848" t="s">
        <v>2121</v>
      </c>
      <c r="G2" s="850">
        <f>IF(E2="商业",项目基本情况!B37,IF(E2="办公",项目基本情况!C37,IF(E2="住宅",项目基本情况!D37,IF(E2="工业",项目基本情况!E37,项目基本情况!F37))))</f>
        <v>0</v>
      </c>
      <c r="H2" s="848" t="s">
        <v>2122</v>
      </c>
      <c r="I2" s="850">
        <f>IF(E2="商业",项目基本情况!B38,IF(E2="办公",项目基本情况!C38,IF(E2="住宅",项目基本情况!D38,IF(E2="工业",项目基本情况!E38,项目基本情况!F38))))</f>
        <v>0</v>
      </c>
      <c r="J2" s="838"/>
      <c r="K2" s="830"/>
      <c r="L2" s="851" t="s">
        <v>2123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2124</v>
      </c>
      <c r="E3" s="855"/>
      <c r="F3" s="856"/>
      <c r="G3" s="857">
        <f>IF(F3="宗地容积率",'数据-汇总表'!I4,IF(F3="估价对象容积率",'数据-汇总表'!I6,'数据-汇总表'!I7))</f>
        <v>0</v>
      </c>
      <c r="H3" s="848" t="s">
        <v>2125</v>
      </c>
      <c r="I3" s="858"/>
      <c r="J3" s="838" t="s">
        <v>2126</v>
      </c>
      <c r="K3" s="830"/>
      <c r="L3" s="851" t="s">
        <v>2127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891</v>
      </c>
      <c r="B4" s="860" t="e">
        <f>ROUND(B2*10000/F1,0)</f>
        <v>#DIV/0!</v>
      </c>
      <c r="C4" s="861" t="s">
        <v>1968</v>
      </c>
      <c r="D4" s="860" t="e">
        <f>ROUND(B2/(F1/666.67),0)</f>
        <v>#DIV/0!</v>
      </c>
      <c r="E4" s="861" t="s">
        <v>2128</v>
      </c>
      <c r="F4" s="862"/>
      <c r="G4" s="862"/>
      <c r="H4" s="862"/>
      <c r="I4" s="862"/>
      <c r="J4" s="863"/>
      <c r="K4" s="830"/>
      <c r="L4" s="851" t="s">
        <v>2129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2130</v>
      </c>
      <c r="C5" s="866" t="e">
        <f>ROUND(IF(E2="商业",C6*C7*C17+C20,(IF(E2="住宅",C6*C13*C17+C20,IF(E2="办公",C6*C12*C17+C20,C6+C20)))),0)</f>
        <v>#DIV/0!</v>
      </c>
      <c r="D5" s="867" t="e">
        <f>ROUND(C6*C17+C20,0)</f>
        <v>#DIV/0!</v>
      </c>
      <c r="E5" s="868"/>
      <c r="F5" s="869"/>
      <c r="G5" s="870"/>
      <c r="H5" s="870"/>
      <c r="I5" s="870"/>
      <c r="J5" s="871"/>
      <c r="K5" s="872"/>
      <c r="L5" s="851" t="s">
        <v>2131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1221</v>
      </c>
      <c r="B6" s="877" t="s">
        <v>2132</v>
      </c>
      <c r="C6" s="878">
        <f>SUMIF(L1:L12,G2,M1:M12)</f>
        <v>0</v>
      </c>
      <c r="D6" s="879"/>
      <c r="E6" s="880"/>
      <c r="F6" s="880"/>
      <c r="G6" s="881"/>
      <c r="H6" s="881"/>
      <c r="I6" s="881"/>
      <c r="J6" s="882"/>
      <c r="K6" s="883"/>
      <c r="L6" s="851" t="s">
        <v>2133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2134</v>
      </c>
      <c r="C7" s="886" t="e">
        <f>IF(C8="不临65条商业街",1,ROUND(1+(1.6*E8+1.2*E9+0.8*E10+0.4*E11)*C9,4))</f>
        <v>#DIV/0!</v>
      </c>
      <c r="D7" s="887" t="s">
        <v>2135</v>
      </c>
      <c r="E7" s="888"/>
      <c r="F7" s="889"/>
      <c r="G7" s="890"/>
      <c r="H7" s="890"/>
      <c r="I7" s="890"/>
      <c r="J7" s="891"/>
      <c r="K7" s="883"/>
      <c r="L7" s="851" t="s">
        <v>2136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2137</v>
      </c>
      <c r="X7" s="894">
        <f>G2</f>
        <v>0</v>
      </c>
      <c r="Y7" s="895" t="s">
        <v>2138</v>
      </c>
      <c r="Z7" s="896">
        <f>G3</f>
        <v>0</v>
      </c>
      <c r="AA7" s="843"/>
      <c r="AB7" s="843"/>
      <c r="AC7" s="844"/>
      <c r="AD7" s="845"/>
      <c r="AE7" s="845"/>
      <c r="AF7" s="845"/>
      <c r="AG7" s="845"/>
      <c r="AH7" s="845"/>
      <c r="AI7" s="845"/>
      <c r="AJ7" s="846"/>
    </row>
    <row r="8" ht="15" spans="1:36">
      <c r="A8" s="897"/>
      <c r="B8" s="848" t="s">
        <v>2139</v>
      </c>
      <c r="C8" s="898"/>
      <c r="D8" s="899" t="s">
        <v>2140</v>
      </c>
      <c r="E8" s="900" t="e">
        <f>ROUND(C11/E7,4)</f>
        <v>#DIV/0!</v>
      </c>
      <c r="F8" s="901" t="s">
        <v>2141</v>
      </c>
      <c r="G8" s="902"/>
      <c r="H8" s="902"/>
      <c r="I8" s="902"/>
      <c r="J8" s="903"/>
      <c r="K8" s="830"/>
      <c r="L8" s="851" t="s">
        <v>2142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2143</v>
      </c>
      <c r="X8" s="905"/>
      <c r="Y8" s="906" t="s">
        <v>2144</v>
      </c>
      <c r="Z8" s="906" t="s">
        <v>2145</v>
      </c>
      <c r="AA8" s="906" t="s">
        <v>2146</v>
      </c>
      <c r="AB8" s="906" t="s">
        <v>2147</v>
      </c>
      <c r="AC8" s="906" t="s">
        <v>2148</v>
      </c>
      <c r="AD8" s="906" t="s">
        <v>2149</v>
      </c>
      <c r="AE8" s="906" t="s">
        <v>2150</v>
      </c>
      <c r="AF8" s="906" t="s">
        <v>2151</v>
      </c>
      <c r="AG8" s="906" t="s">
        <v>2152</v>
      </c>
      <c r="AH8" s="906" t="s">
        <v>2153</v>
      </c>
      <c r="AI8" s="906" t="s">
        <v>2154</v>
      </c>
      <c r="AJ8" s="906" t="s">
        <v>2155</v>
      </c>
    </row>
    <row r="9" ht="15" spans="1:36">
      <c r="A9" s="897"/>
      <c r="B9" s="848" t="s">
        <v>2156</v>
      </c>
      <c r="C9" s="907">
        <f>SUMIF(修正!C73:C140,C8,修正!E73:E140)</f>
        <v>0</v>
      </c>
      <c r="D9" s="850" t="s">
        <v>2157</v>
      </c>
      <c r="E9" s="850" t="e">
        <f>ROUND(C11/E7,4)</f>
        <v>#DIV/0!</v>
      </c>
      <c r="F9" s="901" t="s">
        <v>2158</v>
      </c>
      <c r="G9" s="902"/>
      <c r="H9" s="902"/>
      <c r="I9" s="902"/>
      <c r="J9" s="903"/>
      <c r="K9" s="830"/>
      <c r="L9" s="851" t="s">
        <v>2159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2161</v>
      </c>
      <c r="C10" s="911">
        <f>SUMIF(修正!C73:C140,C8,修正!F73:F140)</f>
        <v>0</v>
      </c>
      <c r="D10" s="850" t="s">
        <v>2162</v>
      </c>
      <c r="E10" s="850" t="e">
        <f>ROUND(C11/E7,4)</f>
        <v>#DIV/0!</v>
      </c>
      <c r="F10" s="901" t="s">
        <v>2163</v>
      </c>
      <c r="G10" s="902"/>
      <c r="H10" s="902"/>
      <c r="I10" s="902"/>
      <c r="J10" s="903"/>
      <c r="K10" s="830"/>
      <c r="L10" s="851" t="s">
        <v>2164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2165</v>
      </c>
      <c r="C11" s="916">
        <f>C10/4</f>
        <v>0</v>
      </c>
      <c r="D11" s="917" t="s">
        <v>2166</v>
      </c>
      <c r="E11" s="917" t="e">
        <f>ROUND(C11/E7,4)</f>
        <v>#DIV/0!</v>
      </c>
      <c r="F11" s="918" t="s">
        <v>2167</v>
      </c>
      <c r="G11" s="919"/>
      <c r="H11" s="919"/>
      <c r="I11" s="919"/>
      <c r="J11" s="920"/>
      <c r="K11" s="830"/>
      <c r="L11" s="851" t="s">
        <v>2168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2169</v>
      </c>
      <c r="B12" s="923" t="s">
        <v>2170</v>
      </c>
      <c r="C12" s="924"/>
      <c r="D12" s="925" t="s">
        <v>2171</v>
      </c>
      <c r="E12" s="926" t="s">
        <v>2172</v>
      </c>
      <c r="F12" s="927"/>
      <c r="G12" s="928"/>
      <c r="H12" s="928"/>
      <c r="I12" s="928"/>
      <c r="J12" s="929"/>
      <c r="K12" s="830"/>
      <c r="L12" s="930" t="s">
        <v>2173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2101</v>
      </c>
      <c r="B13" s="932" t="s">
        <v>2174</v>
      </c>
      <c r="C13" s="933">
        <f>ROUND(C16*D16*E16*F16*G16*H16*I16*J16,4)</f>
        <v>0</v>
      </c>
      <c r="D13" s="934" t="s">
        <v>2175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2176</v>
      </c>
      <c r="C14" s="943" t="s">
        <v>2177</v>
      </c>
      <c r="D14" s="944" t="s">
        <v>2178</v>
      </c>
      <c r="E14" s="945" t="s">
        <v>2179</v>
      </c>
      <c r="F14" s="946" t="s">
        <v>2180</v>
      </c>
      <c r="G14" s="946" t="s">
        <v>2180</v>
      </c>
      <c r="H14" s="946" t="s">
        <v>2180</v>
      </c>
      <c r="I14" s="946" t="s">
        <v>2180</v>
      </c>
      <c r="J14" s="946" t="s">
        <v>2180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2064</v>
      </c>
      <c r="B17" s="960" t="s">
        <v>2182</v>
      </c>
      <c r="C17" s="961">
        <f>ROUND(IF(OR(E2="工业",E2="公共服务"),1,IF(AND(E18=0,E19=0),1,IF(AND(E18=J24,E19=G19),0.8,IF(E19=0,1+E17*(-0.2),1+E17*G17*(-0.2))))),4)</f>
        <v>1</v>
      </c>
      <c r="D17" s="962" t="s">
        <v>2183</v>
      </c>
      <c r="E17" s="963" t="e">
        <f>ROUND(G18/I18,2)</f>
        <v>#DIV/0!</v>
      </c>
      <c r="F17" s="962" t="s">
        <v>2184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2185</v>
      </c>
      <c r="E18" s="970"/>
      <c r="F18" s="971" t="s">
        <v>2186</v>
      </c>
      <c r="G18" s="972">
        <f>ROUND(1-(1/(POWER(1+G24,E18))),4)</f>
        <v>0</v>
      </c>
      <c r="H18" s="971" t="s">
        <v>2187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2188</v>
      </c>
      <c r="E19" s="982"/>
      <c r="F19" s="983" t="s">
        <v>2189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2065</v>
      </c>
      <c r="B20" s="989" t="s">
        <v>2190</v>
      </c>
      <c r="C20" s="990" t="e">
        <f>ROUND(IF(F21="与级别开发程度一致",0,(G21-E21)/C21),0)</f>
        <v>#DIV/0!</v>
      </c>
      <c r="D20" s="991" t="s">
        <v>2191</v>
      </c>
      <c r="E20" s="992"/>
      <c r="F20" s="993" t="s">
        <v>2192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2196</v>
      </c>
      <c r="E23" s="1020">
        <v>44197</v>
      </c>
      <c r="F23" s="1019" t="s">
        <v>2197</v>
      </c>
      <c r="G23" s="1021">
        <f>'数据-取费表'!B2</f>
        <v>46050</v>
      </c>
      <c r="H23" s="1022"/>
      <c r="I23" s="1023" t="str">
        <f>IF(H23="季度增幅（自定义）",SUMIF(N25:N28,E2,O25:O28),"")</f>
        <v/>
      </c>
      <c r="J23" s="1024"/>
      <c r="K23" s="975"/>
      <c r="L23" s="1025" t="s">
        <v>2198</v>
      </c>
      <c r="M23" s="1026">
        <f>ROUND(SUMIF(地价!B2:G2,E2,地价!B16:G16),0)</f>
        <v>0</v>
      </c>
      <c r="N23" s="1027" t="s">
        <v>2199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2200</v>
      </c>
      <c r="C24" s="1031" t="e">
        <f>ROUND(POWER(1+G24,J24-I24)*(POWER(1+G24,I24)-1)/(POWER(1+G24,J24)-1),4)</f>
        <v>#DIV/0!</v>
      </c>
      <c r="D24" s="1032" t="s">
        <v>2201</v>
      </c>
      <c r="E24" s="1033">
        <f>存贷款利率!E28/100</f>
        <v>0.0435</v>
      </c>
      <c r="F24" s="1032" t="s">
        <v>2202</v>
      </c>
      <c r="G24" s="1034">
        <f>SUMIF(M30:Q30,E2,M33:Q33)</f>
        <v>0</v>
      </c>
      <c r="H24" s="1032" t="s">
        <v>2203</v>
      </c>
      <c r="I24" s="1035" t="e">
        <f>SUMIF('数据-取费表'!C6:C15,E2,'数据-取费表'!F6:F15)/COUNTIF('数据-取费表'!C6:C15,E2)</f>
        <v>#DIV/0!</v>
      </c>
      <c r="J24" s="1036">
        <f>IF(E2="住宅",70,IF(E2="商业",40,50))</f>
        <v>50</v>
      </c>
      <c r="K24" s="975"/>
      <c r="L24" s="1037" t="s">
        <v>2204</v>
      </c>
      <c r="M24" s="1038">
        <f>ROUND(SUMPRODUCT((地价!A4:A16=YEAR(G23)&amp;"-"&amp;ROUNDUP(MONTH(G23)/3,0))*(地价!B2:G2=E2)*(地价!B4:G16)),0)</f>
        <v>0</v>
      </c>
      <c r="N24" s="1039" t="s">
        <v>2205</v>
      </c>
      <c r="O24" s="1040" t="s">
        <v>2206</v>
      </c>
      <c r="P24" s="1041" t="s">
        <v>2207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2208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2209</v>
      </c>
      <c r="B26" s="1051" t="s">
        <v>2210</v>
      </c>
      <c r="C26" s="1051" t="s">
        <v>2211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2212</v>
      </c>
      <c r="J26" s="1053" t="str">
        <f>IF(G3&gt;=10,D115,"——")</f>
        <v>——</v>
      </c>
      <c r="K26" s="975"/>
      <c r="L26" s="977"/>
      <c r="M26" s="977"/>
      <c r="N26" s="1047" t="s">
        <v>2213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2214</v>
      </c>
      <c r="B27" s="1054" t="s">
        <v>2215</v>
      </c>
      <c r="C27" s="1055">
        <f>ROUND(IF(I3&lt;6,SUMPRODUCT((B106:B110=I3)*(C105:N105=G2)*(C106:N110)),SUMIF(C105:N105,G2,C112:N112)),4)</f>
        <v>0</v>
      </c>
      <c r="D27" s="1056"/>
      <c r="E27" s="1056"/>
      <c r="F27" s="1057"/>
      <c r="G27" s="1058"/>
      <c r="H27" s="1059"/>
      <c r="I27" s="1060"/>
      <c r="J27" s="1061"/>
      <c r="K27" s="830"/>
      <c r="L27" s="831"/>
      <c r="M27" s="831"/>
      <c r="N27" s="1047" t="s">
        <v>2216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2217</v>
      </c>
      <c r="B28" s="1017" t="s">
        <v>2218</v>
      </c>
      <c r="C28" s="1062">
        <f>SUMIF(A47:A101,E2,B47:B101)</f>
        <v>0</v>
      </c>
      <c r="D28" s="1063"/>
      <c r="E28" s="1064"/>
      <c r="F28" s="1064"/>
      <c r="G28" s="1064"/>
      <c r="H28" s="1064"/>
      <c r="I28" s="1064"/>
      <c r="J28" s="1065"/>
      <c r="K28" s="975"/>
      <c r="L28" s="977"/>
      <c r="M28" s="977"/>
      <c r="N28" s="1066" t="s">
        <v>2219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2220</v>
      </c>
      <c r="B29" s="1069" t="s">
        <v>2221</v>
      </c>
      <c r="C29" s="1070"/>
      <c r="D29" s="890"/>
      <c r="E29" s="890"/>
      <c r="F29" s="1071"/>
      <c r="G29" s="890"/>
      <c r="H29" s="890"/>
      <c r="I29" s="890"/>
      <c r="J29" s="891"/>
      <c r="K29" s="830"/>
      <c r="L29" s="831"/>
      <c r="M29" s="831"/>
      <c r="N29" s="1072" t="s">
        <v>2222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2223</v>
      </c>
      <c r="C30" s="1076" t="e">
        <f>IF(B25="容积率修正",E33+SUM(I37:I42),SUM(V2:V16)+SUM(I37:I42))</f>
        <v>#DIV/0!</v>
      </c>
      <c r="D30" s="1077" t="s">
        <v>2224</v>
      </c>
      <c r="E30" s="1056"/>
      <c r="F30" s="1078"/>
      <c r="G30" s="1056"/>
      <c r="H30" s="1056"/>
      <c r="I30" s="1056"/>
      <c r="J30" s="1079"/>
      <c r="K30" s="830"/>
      <c r="L30" s="1080" t="s">
        <v>2120</v>
      </c>
      <c r="M30" s="1081" t="s">
        <v>2225</v>
      </c>
      <c r="N30" s="1081" t="s">
        <v>2226</v>
      </c>
      <c r="O30" s="1081" t="s">
        <v>2227</v>
      </c>
      <c r="P30" s="1081" t="s">
        <v>2228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2229</v>
      </c>
      <c r="C31" s="1084" t="e">
        <f>E34+SUM(I37:I42)</f>
        <v>#DIV/0!</v>
      </c>
      <c r="D31" s="1085"/>
      <c r="E31" s="1086"/>
      <c r="F31" s="1087"/>
      <c r="G31" s="1086"/>
      <c r="H31" s="1086"/>
      <c r="I31" s="1086"/>
      <c r="J31" s="1088"/>
      <c r="K31" s="830"/>
      <c r="L31" s="1089" t="s">
        <v>2230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2231</v>
      </c>
      <c r="C32" s="1094" t="s">
        <v>1188</v>
      </c>
      <c r="D32" s="1094" t="s">
        <v>641</v>
      </c>
      <c r="E32" s="1095" t="s">
        <v>2232</v>
      </c>
      <c r="F32" s="1096"/>
      <c r="G32" s="936"/>
      <c r="H32" s="936"/>
      <c r="I32" s="936"/>
      <c r="J32" s="937"/>
      <c r="K32" s="830"/>
      <c r="L32" s="1097" t="s">
        <v>2202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2233</v>
      </c>
      <c r="C33" s="1076" t="e">
        <f>ROUND(C5*C22*C23*C24*C25*C28,0)</f>
        <v>#DIV/0!</v>
      </c>
      <c r="D33" s="1102"/>
      <c r="E33" s="1103" t="e">
        <f>ROUND(C33*D33/10000,0)</f>
        <v>#DIV/0!</v>
      </c>
      <c r="F33" s="1104" t="s">
        <v>2234</v>
      </c>
      <c r="G33" s="1105"/>
      <c r="H33" s="1105"/>
      <c r="I33" s="1105"/>
      <c r="J33" s="1106"/>
      <c r="K33" s="830"/>
      <c r="L33" s="1107" t="s">
        <v>2235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2236</v>
      </c>
      <c r="C34" s="1111" t="e">
        <f>ROUND(IF(E2="工业",C33*M42,IF(B25="楼层修正",SUM(V2:V16)*M41*10000/D34,C33*M41)),0)</f>
        <v>#DIV/0!</v>
      </c>
      <c r="D34" s="1112"/>
      <c r="E34" s="1103" t="e">
        <f>ROUND(IF(B25="楼层修正",SUM(V2:V16)*M40,C34*D34/10000),0)</f>
        <v>#DIV/0!</v>
      </c>
      <c r="F34" s="1113" t="s">
        <v>2237</v>
      </c>
      <c r="G34" s="1114"/>
      <c r="H34" s="1114"/>
      <c r="I34" s="1114"/>
      <c r="J34" s="1115"/>
      <c r="K34" s="830"/>
      <c r="L34" s="1107" t="s">
        <v>2238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2239</v>
      </c>
      <c r="C35" s="1118" t="s">
        <v>2240</v>
      </c>
      <c r="D35" s="936"/>
      <c r="E35" s="1119"/>
      <c r="F35" s="1119"/>
      <c r="G35" s="934" t="s">
        <v>2237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2232</v>
      </c>
      <c r="F36" s="837" t="s">
        <v>2241</v>
      </c>
      <c r="G36" s="1124" t="s">
        <v>1188</v>
      </c>
      <c r="H36" s="1124" t="s">
        <v>641</v>
      </c>
      <c r="I36" s="1124" t="s">
        <v>2232</v>
      </c>
      <c r="J36" s="465"/>
      <c r="K36" s="1125" t="s">
        <v>2242</v>
      </c>
      <c r="L36" s="1126">
        <f ca="1">'数据-取费表'!B41</f>
        <v>0.03</v>
      </c>
      <c r="M36" s="1127">
        <f ca="1">ROUND($L$36*(1+M31),3)</f>
        <v>0.038</v>
      </c>
      <c r="N36" s="1127">
        <f ca="1">ROUND($L$36*(1+N31),3)</f>
        <v>0.036</v>
      </c>
      <c r="O36" s="1127">
        <f ca="1">ROUND($L$36*(1+O31),3)</f>
        <v>0.035</v>
      </c>
      <c r="P36" s="1127">
        <f ca="1">ROUND($L$36*(1+P31),3)</f>
        <v>0.033</v>
      </c>
      <c r="Q36" s="1127">
        <f ca="1">ROUND($L$36*(1+Q31),3)</f>
        <v>0.035</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2244</v>
      </c>
      <c r="L37" s="1133">
        <f ca="1">L36+K38</f>
        <v>0.035</v>
      </c>
      <c r="M37" s="1127">
        <f ca="1">ROUND($L$37*(1+M31),3)</f>
        <v>0.044</v>
      </c>
      <c r="N37" s="1127">
        <f ca="1" t="shared" ref="N37:Q37" si="3">ROUND($L$37*(1+N31),3)</f>
        <v>0.042</v>
      </c>
      <c r="O37" s="1127">
        <f ca="1" t="shared" si="3"/>
        <v>0.04</v>
      </c>
      <c r="P37" s="1127">
        <f ca="1" t="shared" si="3"/>
        <v>0.039</v>
      </c>
      <c r="Q37" s="1127">
        <f ca="1" t="shared" si="3"/>
        <v>0.04</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2248</v>
      </c>
      <c r="M40" s="1140"/>
      <c r="Z40" s="965"/>
      <c r="AA40" s="965"/>
      <c r="AB40" s="965"/>
      <c r="AC40" s="965"/>
      <c r="AD40" s="965"/>
      <c r="AE40" s="965"/>
      <c r="AF40" s="965"/>
      <c r="AG40" s="965"/>
      <c r="AH40" s="965"/>
      <c r="AI40" s="965"/>
      <c r="AJ40" s="965"/>
    </row>
    <row r="41" s="830" customFormat="1" spans="1:37">
      <c r="A41" s="1136"/>
      <c r="B41" s="1135" t="s">
        <v>2249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2250</v>
      </c>
      <c r="M41" s="1142">
        <v>0.25</v>
      </c>
      <c r="Z41" s="965"/>
      <c r="AA41" s="965"/>
      <c r="AB41" s="965"/>
      <c r="AC41" s="965"/>
      <c r="AD41" s="965"/>
      <c r="AE41" s="965"/>
      <c r="AF41" s="965"/>
      <c r="AG41" s="965"/>
      <c r="AH41" s="965"/>
      <c r="AI41" s="965"/>
      <c r="AJ41" s="965"/>
    </row>
    <row r="42" s="830" customFormat="1" ht="13.5" spans="1:37">
      <c r="A42" s="1109"/>
      <c r="B42" s="1143" t="s">
        <v>2251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2252</v>
      </c>
      <c r="C44" s="837" t="e">
        <f>ROUND(POWER(1+E44,H44-G44)*(POWER(1+E44,G44)-1)/(POWER(1+E44,H44)-1),4)</f>
        <v>#DIV/0!</v>
      </c>
      <c r="D44" s="1150" t="s">
        <v>2202</v>
      </c>
      <c r="E44" s="1151">
        <f>G24</f>
        <v>0</v>
      </c>
      <c r="F44" s="1150" t="s">
        <v>2203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2255</v>
      </c>
      <c r="B49" s="1165" t="s">
        <v>2256</v>
      </c>
      <c r="C49" s="1165" t="s">
        <v>2257</v>
      </c>
      <c r="D49" s="1165" t="s">
        <v>2258</v>
      </c>
      <c r="E49" s="1166" t="s">
        <v>2259</v>
      </c>
      <c r="F49" s="1167" t="s">
        <v>2260</v>
      </c>
      <c r="G49" s="1165" t="s">
        <v>1898</v>
      </c>
      <c r="H49" s="1168" t="s">
        <v>2261</v>
      </c>
      <c r="I49" s="1165" t="s">
        <v>2262</v>
      </c>
      <c r="J49" s="1169" t="s">
        <v>1598</v>
      </c>
      <c r="K49" s="1169" t="s">
        <v>1599</v>
      </c>
      <c r="L49" s="1169" t="s">
        <v>1600</v>
      </c>
      <c r="M49" s="1169" t="s">
        <v>1601</v>
      </c>
      <c r="N49" s="1169" t="s">
        <v>1602</v>
      </c>
      <c r="AA49" s="965"/>
      <c r="AB49" s="965"/>
      <c r="AC49" s="965"/>
      <c r="AD49" s="965"/>
      <c r="AE49" s="965"/>
      <c r="AF49" s="965"/>
      <c r="AG49" s="965"/>
      <c r="AH49" s="965"/>
      <c r="AI49" s="965"/>
      <c r="AJ49" s="965"/>
      <c r="AK49" s="965"/>
    </row>
    <row r="50" s="830" customFormat="1" ht="36.75" spans="1:37">
      <c r="A50" s="1164" t="s">
        <v>2263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2266</v>
      </c>
      <c r="B53" s="1181" t="s">
        <v>2267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2269</v>
      </c>
      <c r="B55" s="1182" t="s">
        <v>2270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2255</v>
      </c>
      <c r="B60" s="1165"/>
      <c r="C60" s="1165" t="s">
        <v>2257</v>
      </c>
      <c r="D60" s="1165" t="s">
        <v>2258</v>
      </c>
      <c r="E60" s="1166" t="s">
        <v>2259</v>
      </c>
      <c r="F60" s="1167" t="s">
        <v>2275</v>
      </c>
      <c r="G60" s="1165" t="s">
        <v>1898</v>
      </c>
      <c r="H60" s="1168" t="s">
        <v>2261</v>
      </c>
      <c r="I60" s="1165" t="s">
        <v>2262</v>
      </c>
      <c r="J60" s="1169" t="s">
        <v>1598</v>
      </c>
      <c r="K60" s="1169" t="s">
        <v>1599</v>
      </c>
      <c r="L60" s="1169" t="s">
        <v>1600</v>
      </c>
      <c r="M60" s="1169" t="s">
        <v>1601</v>
      </c>
      <c r="N60" s="1169" t="s">
        <v>1602</v>
      </c>
      <c r="AA60" s="965"/>
      <c r="AB60" s="965"/>
      <c r="AC60" s="965"/>
      <c r="AD60" s="965"/>
      <c r="AE60" s="965"/>
      <c r="AF60" s="965"/>
      <c r="AG60" s="965"/>
      <c r="AH60" s="965"/>
      <c r="AI60" s="965"/>
      <c r="AJ60" s="965"/>
      <c r="AK60" s="965"/>
    </row>
    <row r="61" s="830" customFormat="1" ht="36.75" spans="1:37">
      <c r="A61" s="1164" t="s">
        <v>2276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2266</v>
      </c>
      <c r="B64" s="1181" t="s">
        <v>2267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2269</v>
      </c>
      <c r="B66" s="1182" t="s">
        <v>2270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2255</v>
      </c>
      <c r="B71" s="1165"/>
      <c r="C71" s="1165" t="s">
        <v>2257</v>
      </c>
      <c r="D71" s="1165" t="s">
        <v>2258</v>
      </c>
      <c r="E71" s="1166" t="s">
        <v>2259</v>
      </c>
      <c r="F71" s="1167" t="s">
        <v>2275</v>
      </c>
      <c r="G71" s="1165" t="s">
        <v>1898</v>
      </c>
      <c r="H71" s="1168" t="s">
        <v>2261</v>
      </c>
      <c r="I71" s="1165" t="s">
        <v>2262</v>
      </c>
      <c r="J71" s="1169" t="s">
        <v>1598</v>
      </c>
      <c r="K71" s="1169" t="s">
        <v>1599</v>
      </c>
      <c r="L71" s="1169" t="s">
        <v>1600</v>
      </c>
      <c r="M71" s="1169" t="s">
        <v>1601</v>
      </c>
      <c r="N71" s="1169" t="s">
        <v>1602</v>
      </c>
      <c r="AA71" s="965"/>
      <c r="AB71" s="965"/>
      <c r="AC71" s="965"/>
      <c r="AD71" s="965"/>
      <c r="AE71" s="965"/>
      <c r="AF71" s="965"/>
      <c r="AG71" s="965"/>
      <c r="AH71" s="965"/>
      <c r="AI71" s="965"/>
      <c r="AJ71" s="965"/>
      <c r="AK71" s="965"/>
    </row>
    <row r="72" s="830" customFormat="1" ht="48" spans="1:37">
      <c r="A72" s="1164" t="s">
        <v>2278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2269</v>
      </c>
      <c r="B78" s="1182" t="s">
        <v>2270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2255</v>
      </c>
      <c r="B82" s="1165"/>
      <c r="C82" s="1165" t="s">
        <v>2257</v>
      </c>
      <c r="D82" s="1165" t="s">
        <v>2258</v>
      </c>
      <c r="E82" s="1166" t="s">
        <v>2259</v>
      </c>
      <c r="F82" s="1167" t="s">
        <v>2275</v>
      </c>
      <c r="G82" s="1165" t="s">
        <v>1898</v>
      </c>
      <c r="H82" s="1168" t="s">
        <v>2261</v>
      </c>
      <c r="I82" s="1165" t="s">
        <v>2262</v>
      </c>
      <c r="J82" s="1169" t="s">
        <v>1598</v>
      </c>
      <c r="K82" s="1169" t="s">
        <v>1599</v>
      </c>
      <c r="L82" s="1169" t="s">
        <v>1600</v>
      </c>
      <c r="M82" s="1169" t="s">
        <v>1601</v>
      </c>
      <c r="N82" s="1169" t="s">
        <v>1602</v>
      </c>
      <c r="Z82" s="834"/>
      <c r="AA82" s="832"/>
      <c r="AG82" s="836"/>
      <c r="AK82" s="832"/>
    </row>
    <row r="83" ht="38.25" spans="1:37">
      <c r="A83" s="1164" t="s">
        <v>2282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2269</v>
      </c>
      <c r="B89" s="1182" t="s">
        <v>2283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2255</v>
      </c>
      <c r="B92" s="967"/>
      <c r="C92" s="967" t="s">
        <v>2257</v>
      </c>
      <c r="D92" s="967" t="s">
        <v>2258</v>
      </c>
      <c r="E92" s="1202" t="s">
        <v>2259</v>
      </c>
      <c r="F92" s="1203" t="s">
        <v>2275</v>
      </c>
      <c r="G92" s="967" t="s">
        <v>1898</v>
      </c>
      <c r="H92" s="1204" t="s">
        <v>2261</v>
      </c>
      <c r="I92" s="967" t="s">
        <v>2262</v>
      </c>
      <c r="J92" s="1205" t="s">
        <v>1598</v>
      </c>
      <c r="K92" s="1205" t="s">
        <v>1599</v>
      </c>
      <c r="L92" s="1205" t="s">
        <v>1600</v>
      </c>
      <c r="M92" s="1205" t="s">
        <v>1601</v>
      </c>
      <c r="N92" s="1205" t="s">
        <v>1602</v>
      </c>
    </row>
    <row r="93" ht="24" spans="1:37">
      <c r="A93" s="1180" t="s">
        <v>2285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2266</v>
      </c>
      <c r="B96" s="1214" t="s">
        <v>2267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2269</v>
      </c>
      <c r="B98" s="1215" t="s">
        <v>2270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2286</v>
      </c>
      <c r="B103" s="1218"/>
      <c r="C103" s="1218"/>
      <c r="D103" s="1218"/>
      <c r="E103" s="1218"/>
      <c r="F103" s="1218"/>
      <c r="G103" s="1218"/>
      <c r="H103" s="1218"/>
      <c r="I103" s="1218"/>
      <c r="J103" s="1218"/>
      <c r="K103" s="1218"/>
      <c r="L103" s="1218"/>
      <c r="M103" s="1218"/>
      <c r="N103" s="1218"/>
    </row>
    <row r="104" spans="1:14">
      <c r="A104" s="1219" t="s">
        <v>2287</v>
      </c>
      <c r="B104" s="1219" t="s">
        <v>2288</v>
      </c>
      <c r="C104" s="1220" t="s">
        <v>2289</v>
      </c>
      <c r="D104" s="1105"/>
      <c r="E104" s="1105"/>
      <c r="F104" s="1105"/>
      <c r="G104" s="1105"/>
      <c r="H104" s="1105"/>
      <c r="I104" s="1105"/>
      <c r="J104" s="1105"/>
      <c r="K104" s="1105"/>
      <c r="L104" s="1105"/>
      <c r="M104" s="1105"/>
      <c r="N104" s="1221"/>
    </row>
    <row r="105" spans="1:14">
      <c r="A105" s="1219"/>
      <c r="B105" s="1219"/>
      <c r="C105" s="1219" t="s">
        <v>2144</v>
      </c>
      <c r="D105" s="1219" t="s">
        <v>2145</v>
      </c>
      <c r="E105" s="1219" t="s">
        <v>2146</v>
      </c>
      <c r="F105" s="1219" t="s">
        <v>2147</v>
      </c>
      <c r="G105" s="1219" t="s">
        <v>2148</v>
      </c>
      <c r="H105" s="1219" t="s">
        <v>2149</v>
      </c>
      <c r="I105" s="1219" t="s">
        <v>2150</v>
      </c>
      <c r="J105" s="1219" t="s">
        <v>2151</v>
      </c>
      <c r="K105" s="1219" t="s">
        <v>2152</v>
      </c>
      <c r="L105" s="1219" t="s">
        <v>2153</v>
      </c>
      <c r="M105" s="1219" t="s">
        <v>2154</v>
      </c>
      <c r="N105" s="1219" t="s">
        <v>2155</v>
      </c>
    </row>
    <row r="106" spans="1:14">
      <c r="A106" s="1222" t="s">
        <v>2290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2292</v>
      </c>
      <c r="B116" s="1231">
        <f>G3</f>
        <v>0</v>
      </c>
      <c r="C116" s="1232" t="s">
        <v>2293</v>
      </c>
      <c r="D116" s="1233">
        <f>SUMPRODUCT((A118:A122=F116)*(B117:M117=H116)*B118:M122)</f>
        <v>0</v>
      </c>
      <c r="E116" s="1232" t="s">
        <v>2120</v>
      </c>
      <c r="F116" s="1234">
        <f>E2</f>
        <v>0</v>
      </c>
      <c r="G116" s="1232" t="s">
        <v>2121</v>
      </c>
      <c r="H116" s="1234">
        <f>G2</f>
        <v>0</v>
      </c>
      <c r="I116" s="1235"/>
      <c r="J116" s="1236"/>
      <c r="K116" s="1236"/>
      <c r="L116" s="1236"/>
      <c r="M116" s="1236"/>
      <c r="N116" s="1229"/>
    </row>
    <row r="117" spans="1:14">
      <c r="A117" s="1080"/>
      <c r="B117" s="1237" t="s">
        <v>2294</v>
      </c>
      <c r="C117" s="1237" t="s">
        <v>2295</v>
      </c>
      <c r="D117" s="1237" t="s">
        <v>2296</v>
      </c>
      <c r="E117" s="1237" t="s">
        <v>2297</v>
      </c>
      <c r="F117" s="1237" t="s">
        <v>2298</v>
      </c>
      <c r="G117" s="1237" t="s">
        <v>2299</v>
      </c>
      <c r="H117" s="1238" t="s">
        <v>2300</v>
      </c>
      <c r="I117" s="1238" t="s">
        <v>2301</v>
      </c>
      <c r="J117" s="1237" t="s">
        <v>2302</v>
      </c>
      <c r="K117" s="1237" t="s">
        <v>2303</v>
      </c>
      <c r="L117" s="1237" t="s">
        <v>2304</v>
      </c>
      <c r="M117" s="1239" t="s">
        <v>2305</v>
      </c>
      <c r="N117" s="1229"/>
    </row>
    <row r="118" spans="1:14">
      <c r="A118" s="1089" t="s">
        <v>2225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-65</v>
      </c>
      <c r="C2" s="719" t="s">
        <v>2030</v>
      </c>
      <c r="D2" s="719"/>
      <c r="E2" s="716"/>
      <c r="F2" s="716"/>
      <c r="G2" s="716"/>
      <c r="H2" s="716"/>
      <c r="I2" s="716"/>
      <c r="J2" s="716"/>
      <c r="K2" s="716"/>
    </row>
    <row r="3" ht="18" customHeight="1" spans="1:33">
      <c r="A3" s="420" t="s">
        <v>1114</v>
      </c>
      <c r="B3" s="606">
        <f ca="1">ROUND(B2*10000/IF(C1="",'数据-汇总表'!E3,INDIRECT("'数据-取费表'!K"&amp;$K$1)),0)</f>
        <v>-4681</v>
      </c>
      <c r="C3" s="719" t="s">
        <v>2031</v>
      </c>
      <c r="D3" s="719"/>
      <c r="E3" s="716"/>
      <c r="F3" s="716"/>
      <c r="G3" s="716"/>
      <c r="H3" s="716"/>
      <c r="I3" s="716"/>
      <c r="J3" s="716"/>
      <c r="K3" s="716"/>
    </row>
    <row r="4" ht="18" customHeight="1" spans="1:33">
      <c r="A4" s="607" t="s">
        <v>1977</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1978</v>
      </c>
      <c r="D5" s="719"/>
      <c r="E5" s="716"/>
      <c r="F5" s="716"/>
      <c r="G5" s="716"/>
      <c r="H5" s="716"/>
      <c r="I5" s="716"/>
      <c r="J5" s="716"/>
      <c r="K5" s="716"/>
    </row>
    <row r="6" s="700" customFormat="1" ht="16.5" customHeight="1" spans="1:33">
      <c r="A6" s="722" t="s">
        <v>2306</v>
      </c>
      <c r="B6" s="723"/>
      <c r="C6" s="724" t="s">
        <v>2035</v>
      </c>
      <c r="D6" s="724"/>
      <c r="E6" s="724"/>
      <c r="F6" s="724"/>
      <c r="G6" s="724"/>
      <c r="H6" s="724"/>
      <c r="I6" s="724"/>
      <c r="J6" s="724"/>
      <c r="K6" s="725"/>
    </row>
    <row r="7" s="701" customFormat="1" ht="15" spans="1:33">
      <c r="A7" s="726" t="s">
        <v>2036</v>
      </c>
      <c r="B7" s="727" t="s">
        <v>2037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2307</v>
      </c>
      <c r="B11" s="745"/>
      <c r="C11" s="745"/>
      <c r="D11" s="745"/>
      <c r="E11" s="745"/>
      <c r="F11" s="745"/>
      <c r="G11" s="745"/>
      <c r="H11" s="745"/>
      <c r="I11" s="745"/>
      <c r="J11" s="745"/>
      <c r="K11" s="746"/>
    </row>
    <row r="12" s="704" customFormat="1" ht="13.5" customHeight="1" spans="1:33">
      <c r="A12" s="747" t="s">
        <v>999</v>
      </c>
      <c r="B12" s="748" t="s">
        <v>2037</v>
      </c>
      <c r="C12" s="749" t="s">
        <v>1116</v>
      </c>
      <c r="D12" s="748" t="s">
        <v>2042</v>
      </c>
      <c r="E12" s="748" t="s">
        <v>2043</v>
      </c>
      <c r="F12" s="748" t="s">
        <v>2044</v>
      </c>
      <c r="G12" s="750" t="s">
        <v>1120</v>
      </c>
      <c r="H12" s="751"/>
      <c r="I12" s="751"/>
      <c r="J12" s="751"/>
      <c r="K12" s="752"/>
    </row>
    <row r="13" s="705" customFormat="1" ht="13.5" customHeight="1" spans="1:33">
      <c r="A13" s="726">
        <v>1</v>
      </c>
      <c r="B13" s="753" t="s">
        <v>2308</v>
      </c>
      <c r="C13" s="754">
        <f>SUM(C10:K10)</f>
        <v>0</v>
      </c>
      <c r="D13" s="755"/>
      <c r="E13" s="755"/>
      <c r="F13" s="756"/>
      <c r="G13" s="757"/>
      <c r="H13" s="758"/>
      <c r="I13" s="758"/>
      <c r="J13" s="758"/>
      <c r="K13" s="759"/>
    </row>
    <row r="14" s="705" customFormat="1" ht="13.5" customHeight="1" spans="1:33">
      <c r="A14" s="726">
        <v>2</v>
      </c>
      <c r="B14" s="760" t="s">
        <v>2309</v>
      </c>
      <c r="C14" s="754">
        <v>0</v>
      </c>
      <c r="D14" s="760"/>
      <c r="E14" s="760"/>
      <c r="F14" s="761">
        <v>0</v>
      </c>
      <c r="G14" s="762" t="s">
        <v>2310</v>
      </c>
      <c r="H14" s="758"/>
      <c r="I14" s="758"/>
      <c r="J14" s="758"/>
      <c r="K14" s="759"/>
    </row>
    <row r="15" s="706" customFormat="1" ht="13.5" customHeight="1" spans="1:33">
      <c r="A15" s="726">
        <v>3</v>
      </c>
      <c r="B15" s="763" t="s">
        <v>2311</v>
      </c>
      <c r="C15" s="651">
        <f ca="1">C32-C33</f>
        <v>65</v>
      </c>
      <c r="D15" s="763"/>
      <c r="E15" s="764"/>
      <c r="F15" s="765"/>
      <c r="G15" s="766" t="s">
        <v>1209</v>
      </c>
      <c r="H15" s="767"/>
      <c r="I15" s="767"/>
      <c r="J15" s="767"/>
      <c r="K15" s="768"/>
    </row>
    <row r="16" s="706" customFormat="1" ht="13.5" customHeight="1" spans="1:33">
      <c r="A16" s="769" t="s">
        <v>2209</v>
      </c>
      <c r="B16" s="770" t="s">
        <v>1190</v>
      </c>
      <c r="C16" s="771">
        <f ca="1">SUM(C17:C22)</f>
        <v>58</v>
      </c>
      <c r="D16" s="770"/>
      <c r="E16" s="770"/>
      <c r="F16" s="772"/>
      <c r="G16" s="773"/>
      <c r="H16" s="758"/>
      <c r="I16" s="758"/>
      <c r="J16" s="758"/>
      <c r="K16" s="759"/>
    </row>
    <row r="17" s="706" customFormat="1" ht="13.5" customHeight="1" spans="1:33">
      <c r="A17" s="774" t="s">
        <v>2312</v>
      </c>
      <c r="B17" s="775" t="s">
        <v>1132</v>
      </c>
      <c r="C17" s="776">
        <f ca="1">IF(C1="",'数据-取费表'!M16,INDIRECT("'数据-取费表'!M"&amp;$K$1)+INDIRECT("'数据-取费表'!ap"&amp;$K$1))</f>
        <v>50</v>
      </c>
      <c r="D17" s="777"/>
      <c r="E17" s="778"/>
      <c r="F17" s="779"/>
      <c r="G17" s="780"/>
      <c r="H17" s="758"/>
      <c r="I17" s="758"/>
      <c r="J17" s="758"/>
      <c r="K17" s="759"/>
    </row>
    <row r="18" s="706" customFormat="1" ht="13.5" customHeight="1" spans="1:33">
      <c r="A18" s="774" t="s">
        <v>2313</v>
      </c>
      <c r="B18" s="781" t="s">
        <v>1134</v>
      </c>
      <c r="C18" s="776">
        <f ca="1">ROUND(C17*F18,0)</f>
        <v>3</v>
      </c>
      <c r="D18" s="770"/>
      <c r="E18" s="770"/>
      <c r="F18" s="782">
        <f>'数据-取费表'!B33</f>
        <v>0.06</v>
      </c>
      <c r="G18" s="773"/>
      <c r="H18" s="758"/>
      <c r="I18" s="758"/>
      <c r="J18" s="758"/>
      <c r="K18" s="759"/>
    </row>
    <row r="19" s="706" customFormat="1" ht="13.5" customHeight="1" spans="1:33">
      <c r="A19" s="774" t="s">
        <v>2314</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2315</v>
      </c>
      <c r="B20" s="783" t="s">
        <v>2316</v>
      </c>
      <c r="C20" s="776">
        <f ca="1">ROUND(D20*E20/10000,0)</f>
        <v>4</v>
      </c>
      <c r="D20" s="786">
        <f ca="1">IF(C1="",'数据-汇总表'!E3,INDIRECT("'数据-取费表'!K"&amp;$K$1)+INDIRECT("'数据-取费表'!S"&amp;$K$1))</f>
        <v>138.87</v>
      </c>
      <c r="E20" s="787">
        <f>'数据-取费表'!B35</f>
        <v>300</v>
      </c>
      <c r="F20" s="786"/>
      <c r="G20" s="785"/>
      <c r="H20" s="758"/>
      <c r="I20" s="758"/>
      <c r="J20" s="767"/>
      <c r="K20" s="768"/>
    </row>
    <row r="21" s="706" customFormat="1" ht="13.5" customHeight="1" spans="1:33">
      <c r="A21" s="774" t="s">
        <v>2317</v>
      </c>
      <c r="B21" s="788" t="s">
        <v>1153</v>
      </c>
      <c r="C21" s="776">
        <f ca="1">ROUND(C17*F21,0)</f>
        <v>1</v>
      </c>
      <c r="D21" s="784"/>
      <c r="E21" s="784"/>
      <c r="F21" s="782">
        <f>'数据-取费表'!B36</f>
        <v>0.01</v>
      </c>
      <c r="G21" s="785"/>
      <c r="H21" s="789"/>
      <c r="I21" s="789"/>
      <c r="J21" s="789"/>
      <c r="K21" s="790"/>
    </row>
    <row r="22" s="706" customFormat="1" ht="13.5" customHeight="1" spans="1:33">
      <c r="A22" s="774" t="s">
        <v>2318</v>
      </c>
      <c r="B22" s="788" t="s">
        <v>1156</v>
      </c>
      <c r="C22" s="776">
        <f ca="1">ROUND(C17*F22,0)</f>
        <v>0</v>
      </c>
      <c r="D22" s="784"/>
      <c r="E22" s="784"/>
      <c r="F22" s="782">
        <f>'数据-取费表'!B37</f>
        <v>0</v>
      </c>
      <c r="G22" s="785"/>
      <c r="H22" s="789"/>
      <c r="I22" s="789"/>
      <c r="J22" s="789"/>
      <c r="K22" s="790"/>
    </row>
    <row r="23" s="707" customFormat="1" ht="13.5" customHeight="1" spans="1:33">
      <c r="A23" s="769" t="s">
        <v>2214</v>
      </c>
      <c r="B23" s="770" t="s">
        <v>2097</v>
      </c>
      <c r="C23" s="791">
        <f ca="1">ROUND(C16*F23,0)</f>
        <v>1</v>
      </c>
      <c r="D23" s="792"/>
      <c r="E23" s="792"/>
      <c r="F23" s="793">
        <f>'数据-取费表'!B38</f>
        <v>0.02</v>
      </c>
      <c r="G23" s="794" t="s">
        <v>2319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2320</v>
      </c>
      <c r="B24" s="770" t="s">
        <v>2100</v>
      </c>
      <c r="C24" s="791" t="str">
        <f>F24&amp;"V建"</f>
        <v>0.02V建</v>
      </c>
      <c r="D24" s="792"/>
      <c r="E24" s="792"/>
      <c r="F24" s="793">
        <f>'数据-取费表'!B39</f>
        <v>0.02</v>
      </c>
      <c r="G24" s="794" t="s">
        <v>2321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2322</v>
      </c>
      <c r="B25" s="770" t="s">
        <v>1164</v>
      </c>
      <c r="C25" s="795" t="str">
        <f ca="1">C26&amp;"+"&amp;C27&amp;"V建"</f>
        <v>1+0.0003V建</v>
      </c>
      <c r="D25" s="796"/>
      <c r="E25" s="796"/>
      <c r="F25" s="782">
        <f ca="1">'数据-取费表'!B41</f>
        <v>0.03</v>
      </c>
      <c r="G25" s="797" t="s">
        <v>2323</v>
      </c>
      <c r="H25" s="798"/>
      <c r="I25" s="798"/>
      <c r="J25" s="798"/>
      <c r="K25" s="799"/>
    </row>
    <row r="26" s="707" customFormat="1" ht="13.5" customHeight="1" spans="1:33">
      <c r="A26" s="774" t="s">
        <v>2312</v>
      </c>
      <c r="B26" s="788" t="s">
        <v>2324</v>
      </c>
      <c r="C26" s="795">
        <f ca="1">ROUND(IF('数据-取费表'!B20&lt;=1,(C16+C23)*F25*'数据-取费表'!B20/2,(C23+C16)*(POWER((1+F25),'数据-取费表'!B20/2)-1)),0)</f>
        <v>1</v>
      </c>
      <c r="D26" s="796"/>
      <c r="E26" s="796"/>
      <c r="F26" s="786"/>
      <c r="G26" s="797" t="s">
        <v>2325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2313</v>
      </c>
      <c r="B27" s="788" t="s">
        <v>2326</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2064</v>
      </c>
      <c r="B28" s="770" t="s">
        <v>1172</v>
      </c>
      <c r="C28" s="803" t="str">
        <f ca="1">C29&amp;"+"&amp;C30&amp;"V建"</f>
        <v>12+0.004V建</v>
      </c>
      <c r="D28" s="804"/>
      <c r="E28" s="804"/>
      <c r="F28" s="805">
        <f ca="1">IF(C1="",'数据-取费表'!Q16,INDIRECT("'数据-取费表'!q"&amp;$K$1))</f>
        <v>0.2</v>
      </c>
      <c r="G28" s="806" t="s">
        <v>2327</v>
      </c>
      <c r="H28" s="758"/>
      <c r="I28" s="758"/>
      <c r="J28" s="758"/>
      <c r="K28" s="759"/>
    </row>
    <row r="29" s="706" customFormat="1" ht="13.5" customHeight="1" spans="1:33">
      <c r="A29" s="774" t="s">
        <v>2312</v>
      </c>
      <c r="B29" s="788" t="s">
        <v>2328</v>
      </c>
      <c r="C29" s="807">
        <f ca="1">ROUND((C16+C23)*F28,0)</f>
        <v>12</v>
      </c>
      <c r="D29" s="804"/>
      <c r="E29" s="804"/>
      <c r="F29" s="808"/>
      <c r="G29" s="806"/>
      <c r="H29" s="809"/>
      <c r="I29" s="809"/>
      <c r="J29" s="809"/>
      <c r="K29" s="810"/>
    </row>
    <row r="30" s="708" customFormat="1" ht="13.5" customHeight="1" spans="1:33">
      <c r="A30" s="774" t="s">
        <v>2313</v>
      </c>
      <c r="B30" s="788" t="s">
        <v>2329</v>
      </c>
      <c r="C30" s="776">
        <f ca="1">ROUND(F24*F28,4)</f>
        <v>0.004</v>
      </c>
      <c r="D30" s="811"/>
      <c r="E30" s="796"/>
      <c r="F30" s="786"/>
      <c r="G30" s="812"/>
      <c r="H30" s="767"/>
      <c r="I30" s="767"/>
      <c r="J30" s="767"/>
      <c r="K30" s="768"/>
    </row>
    <row r="31" s="708" customFormat="1" ht="13.5" customHeight="1" spans="1:33">
      <c r="A31" s="769" t="s">
        <v>2065</v>
      </c>
      <c r="B31" s="770" t="s">
        <v>2099</v>
      </c>
      <c r="C31" s="776">
        <v>0</v>
      </c>
      <c r="D31" s="813"/>
      <c r="E31" s="814"/>
      <c r="F31" s="786"/>
      <c r="G31" s="815" t="s">
        <v>1201</v>
      </c>
      <c r="H31" s="767"/>
      <c r="I31" s="767"/>
      <c r="J31" s="767"/>
      <c r="K31" s="768"/>
    </row>
    <row r="32" s="706" customFormat="1" ht="13.5" customHeight="1" spans="1:33">
      <c r="A32" s="769" t="s">
        <v>1202</v>
      </c>
      <c r="B32" s="770" t="s">
        <v>2330</v>
      </c>
      <c r="C32" s="771">
        <f ca="1">ROUND((C16+C23+C26+C29)/(1-F24-C27-C30),0)</f>
        <v>74</v>
      </c>
      <c r="D32" s="813"/>
      <c r="E32" s="814"/>
      <c r="F32" s="786"/>
      <c r="G32" s="816" t="s">
        <v>1204</v>
      </c>
      <c r="H32" s="817"/>
      <c r="I32" s="817"/>
      <c r="J32" s="817"/>
      <c r="K32" s="818"/>
    </row>
    <row r="33" s="709" customFormat="1" ht="13.5" customHeight="1" spans="1:11">
      <c r="A33" s="769" t="s">
        <v>1205</v>
      </c>
      <c r="B33" s="819" t="s">
        <v>1179</v>
      </c>
      <c r="C33" s="820">
        <f ca="1">ROUND(C32*(1-F33),0)</f>
        <v>9</v>
      </c>
      <c r="D33" s="821"/>
      <c r="E33" s="801"/>
      <c r="F33" s="793">
        <f>IF('数据-取费表'!B24=0,'数据-取费表'!N16,1)</f>
        <v>0.875</v>
      </c>
      <c r="G33" s="766" t="s">
        <v>1206</v>
      </c>
      <c r="H33" s="809"/>
      <c r="I33" s="809"/>
      <c r="J33" s="809"/>
      <c r="K33" s="810"/>
    </row>
    <row r="34" s="705" customFormat="1" ht="15.75" spans="1:11">
      <c r="A34" s="822">
        <v>4</v>
      </c>
      <c r="B34" s="823" t="s">
        <v>2331</v>
      </c>
      <c r="C34" s="824">
        <f ca="1">C13-C15</f>
        <v>-65</v>
      </c>
      <c r="D34" s="823"/>
      <c r="E34" s="823"/>
      <c r="F34" s="825"/>
      <c r="G34" s="826" t="s">
        <v>2332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44" sqref="D44"/>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6</v>
      </c>
      <c r="C2" s="416" t="s">
        <v>1113</v>
      </c>
      <c r="D2" s="416"/>
      <c r="E2" s="605"/>
      <c r="F2" s="416"/>
      <c r="G2" s="416"/>
    </row>
    <row r="3" s="405" customFormat="1" ht="15.75" spans="1:7">
      <c r="A3" s="420" t="s">
        <v>1114</v>
      </c>
      <c r="B3" s="606">
        <f ca="1">ROUND(B2*10000/(IF(C1="",'数据-汇总表'!E3,INDIRECT("'数据-取费表'!k"&amp;$G$1))),0)</f>
        <v>432</v>
      </c>
      <c r="C3" s="416" t="s">
        <v>1115</v>
      </c>
      <c r="D3" s="416"/>
      <c r="E3" s="605"/>
      <c r="F3" s="416"/>
      <c r="G3" s="416"/>
    </row>
    <row r="4" s="405" customFormat="1" ht="15.75" spans="1:7">
      <c r="A4" s="607" t="s">
        <v>1977</v>
      </c>
      <c r="B4" s="604" t="e">
        <f ca="1">ROUND(B2*10000/'数据-汇总表'!D3,0)</f>
        <v>#DIV/0!</v>
      </c>
      <c r="C4" s="417" t="s">
        <v>1115</v>
      </c>
      <c r="D4" s="416"/>
      <c r="E4" s="605"/>
      <c r="F4" s="416"/>
      <c r="G4" s="416"/>
    </row>
    <row r="5" s="405" customFormat="1" ht="16.5" spans="1:7">
      <c r="A5" s="416"/>
      <c r="B5" s="608" t="e">
        <f ca="1">ROUND(B2/('数据-汇总表'!D3/666.67),0)</f>
        <v>#DIV/0!</v>
      </c>
      <c r="C5" s="609" t="s">
        <v>1978</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2333</v>
      </c>
      <c r="C7" s="618">
        <f>IF(G7="征收国有地",C8,IF(G7="征收集体地",C11,C17))</f>
        <v>0</v>
      </c>
      <c r="D7" s="619"/>
      <c r="E7" s="619"/>
      <c r="F7" s="619"/>
      <c r="G7" s="620"/>
    </row>
    <row r="8" s="407" customFormat="1" spans="1:7">
      <c r="A8" s="621" t="s">
        <v>1221</v>
      </c>
      <c r="B8" s="622" t="s">
        <v>2334</v>
      </c>
      <c r="C8" s="623">
        <f>C9+C10</f>
        <v>0</v>
      </c>
      <c r="D8" s="624"/>
      <c r="E8" s="624"/>
      <c r="F8" s="624"/>
      <c r="G8" s="625"/>
    </row>
    <row r="9" s="407" customFormat="1" spans="1:7">
      <c r="A9" s="626" t="s">
        <v>1126</v>
      </c>
      <c r="B9" s="627" t="s">
        <v>2335</v>
      </c>
      <c r="C9" s="628">
        <f>ROUND(D9*E9/10000,0)</f>
        <v>0</v>
      </c>
      <c r="D9" s="629"/>
      <c r="E9" s="629"/>
      <c r="F9" s="624"/>
      <c r="G9" s="630"/>
    </row>
    <row r="10" s="407" customFormat="1" spans="1:7">
      <c r="A10" s="626" t="s">
        <v>1128</v>
      </c>
      <c r="B10" s="627" t="s">
        <v>2336</v>
      </c>
      <c r="C10" s="628">
        <f>ROUND(D10*E10/10000,0)</f>
        <v>0</v>
      </c>
      <c r="D10" s="629"/>
      <c r="E10" s="629"/>
      <c r="F10" s="624"/>
      <c r="G10" s="630"/>
    </row>
    <row r="11" s="407" customFormat="1" ht="13.5" spans="1:7">
      <c r="A11" s="631" t="s">
        <v>1130</v>
      </c>
      <c r="B11" s="632" t="s">
        <v>2337</v>
      </c>
      <c r="C11" s="463">
        <f>C12+C15+C16</f>
        <v>0</v>
      </c>
      <c r="D11" s="624"/>
      <c r="E11" s="624"/>
      <c r="F11" s="624"/>
      <c r="G11" s="630"/>
    </row>
    <row r="12" s="407" customFormat="1" spans="1:7">
      <c r="A12" s="626" t="s">
        <v>1126</v>
      </c>
      <c r="B12" s="627" t="s">
        <v>2338</v>
      </c>
      <c r="C12" s="627">
        <f>C13+C14</f>
        <v>0</v>
      </c>
      <c r="D12" s="633"/>
      <c r="E12" s="633"/>
      <c r="F12" s="624"/>
      <c r="G12" s="634" t="s">
        <v>2339</v>
      </c>
    </row>
    <row r="13" s="407" customFormat="1" spans="1:7">
      <c r="A13" s="635" t="s">
        <v>1141</v>
      </c>
      <c r="B13" s="636" t="s">
        <v>2340</v>
      </c>
      <c r="C13" s="628">
        <f>ROUND(D13*E13/10000,0)</f>
        <v>0</v>
      </c>
      <c r="D13" s="629"/>
      <c r="E13" s="629"/>
      <c r="F13" s="624"/>
      <c r="G13" s="637" t="s">
        <v>2341</v>
      </c>
    </row>
    <row r="14" s="407" customFormat="1" spans="1:7">
      <c r="A14" s="635" t="s">
        <v>1148</v>
      </c>
      <c r="B14" s="636" t="s">
        <v>2342</v>
      </c>
      <c r="C14" s="629">
        <v>0</v>
      </c>
      <c r="D14" s="633"/>
      <c r="E14" s="633"/>
      <c r="F14" s="624"/>
      <c r="G14" s="637"/>
    </row>
    <row r="15" s="407" customFormat="1" spans="1:7">
      <c r="A15" s="626" t="s">
        <v>1128</v>
      </c>
      <c r="B15" s="627" t="s">
        <v>2343</v>
      </c>
      <c r="C15" s="628">
        <f t="shared" ref="C15" si="0">ROUND(D15*E15/10000,0)</f>
        <v>0</v>
      </c>
      <c r="D15" s="629"/>
      <c r="E15" s="629"/>
      <c r="F15" s="624"/>
      <c r="G15" s="637" t="s">
        <v>2344</v>
      </c>
    </row>
    <row r="16" s="407" customFormat="1" spans="1:7">
      <c r="A16" s="626" t="s">
        <v>2345</v>
      </c>
      <c r="B16" s="638" t="s">
        <v>2346</v>
      </c>
      <c r="C16" s="628">
        <f>C13*F16</f>
        <v>0</v>
      </c>
      <c r="D16" s="629"/>
      <c r="E16" s="629"/>
      <c r="F16" s="639">
        <v>0.25</v>
      </c>
      <c r="G16" s="640" t="s">
        <v>2347</v>
      </c>
    </row>
    <row r="17" s="407" customFormat="1" ht="13.5" spans="1:9">
      <c r="A17" s="631" t="s">
        <v>2169</v>
      </c>
      <c r="B17" s="622" t="s">
        <v>2348</v>
      </c>
      <c r="C17" s="641">
        <f>C18+C19</f>
        <v>0</v>
      </c>
      <c r="D17" s="642"/>
      <c r="E17" s="643"/>
      <c r="F17" s="644"/>
      <c r="G17" s="645"/>
    </row>
    <row r="18" s="407" customFormat="1" spans="1:9">
      <c r="A18" s="646" t="s">
        <v>1126</v>
      </c>
      <c r="B18" s="638" t="s">
        <v>1127</v>
      </c>
      <c r="C18" s="647"/>
      <c r="D18" s="648"/>
      <c r="E18" s="643"/>
      <c r="F18" s="649"/>
      <c r="G18" s="650" t="s">
        <v>2349</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1314</v>
      </c>
      <c r="B20" s="617" t="s">
        <v>2350</v>
      </c>
      <c r="C20" s="651">
        <f ca="1">C21+C24+C25</f>
        <v>6</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2312</v>
      </c>
      <c r="B22" s="663" t="s">
        <v>1144</v>
      </c>
      <c r="C22" s="664">
        <f ca="1">ROUND(D22*E22/10000,0)</f>
        <v>0</v>
      </c>
      <c r="D22" s="665">
        <f ca="1">IF(C1="",'数据-汇总表'!E5,IF(INDIRECT("'数据-取费表'!c"&amp;$G$1)="住宅",INDIRECT("'数据-取费表'!k"&amp;$G$1),0))</f>
        <v>0</v>
      </c>
      <c r="E22" s="665">
        <f>'数据-取费表'!B27</f>
        <v>160</v>
      </c>
      <c r="F22" s="644"/>
      <c r="G22" s="666"/>
      <c r="H22" s="667"/>
      <c r="I22" s="668" t="s">
        <v>1145</v>
      </c>
    </row>
    <row r="23" s="407" customFormat="1" spans="1:9">
      <c r="A23" s="662" t="s">
        <v>2313</v>
      </c>
      <c r="B23" s="663" t="s">
        <v>1147</v>
      </c>
      <c r="C23" s="664">
        <f ca="1">ROUND(D23*E23/10000,0)</f>
        <v>3</v>
      </c>
      <c r="D23" s="665">
        <f ca="1">IF(C1="",'数据-汇总表'!E6,IF(INDIRECT("'数据-取费表'!c"&amp;$G$1)="住宅",INDIRECT("'数据-取费表'!s"&amp;$G$1),INDIRECT("'数据-取费表'!k"&amp;$G$1)+INDIRECT("'数据-取费表'!s"&amp;$G$1)))</f>
        <v>138.87</v>
      </c>
      <c r="E23" s="665">
        <f>'数据-取费表'!B28</f>
        <v>200</v>
      </c>
      <c r="F23" s="644"/>
      <c r="G23" s="669"/>
    </row>
    <row r="24" s="407" customFormat="1" ht="13.5" spans="1:9">
      <c r="A24" s="631" t="s">
        <v>1130</v>
      </c>
      <c r="B24" s="670" t="s">
        <v>1243</v>
      </c>
      <c r="C24" s="623">
        <f ca="1">IF(G24="已包含在土地取得成本中","0",ROUND(D24*E24/10000,0))</f>
        <v>2</v>
      </c>
      <c r="D24" s="671">
        <f ca="1">D22+D23</f>
        <v>138.87</v>
      </c>
      <c r="E24" s="671">
        <f>'数据-取费表'!B31</f>
        <v>130</v>
      </c>
      <c r="F24" s="672"/>
      <c r="G24" s="661"/>
    </row>
    <row r="25" s="407" customFormat="1" ht="13.5" spans="1:9">
      <c r="A25" s="631" t="s">
        <v>2169</v>
      </c>
      <c r="B25" s="670" t="s">
        <v>2351</v>
      </c>
      <c r="C25" s="623">
        <f ca="1">ROUND(E25*D25/10000,0)</f>
        <v>4</v>
      </c>
      <c r="D25" s="671">
        <f ca="1">D24</f>
        <v>138.87</v>
      </c>
      <c r="E25" s="671">
        <f>'数据-取费表'!B35</f>
        <v>300</v>
      </c>
      <c r="F25" s="660"/>
      <c r="G25" s="673"/>
    </row>
    <row r="26" s="406" customFormat="1" ht="15.75" spans="1:9">
      <c r="A26" s="616" t="s">
        <v>1181</v>
      </c>
      <c r="B26" s="617" t="s">
        <v>2352</v>
      </c>
      <c r="C26" s="604">
        <f>C27+C28</f>
        <v>0</v>
      </c>
      <c r="D26" s="674"/>
      <c r="E26" s="674"/>
      <c r="F26" s="660"/>
      <c r="G26" s="675"/>
    </row>
    <row r="27" s="407" customFormat="1" spans="1:9">
      <c r="A27" s="621" t="s">
        <v>1221</v>
      </c>
      <c r="B27" s="676" t="s">
        <v>2353</v>
      </c>
      <c r="C27" s="623">
        <f>ROUND(E27*D27/10000,0)</f>
        <v>0</v>
      </c>
      <c r="D27" s="677"/>
      <c r="E27" s="678">
        <v>25</v>
      </c>
      <c r="F27" s="660"/>
      <c r="G27" s="640" t="s">
        <v>2354</v>
      </c>
    </row>
    <row r="28" s="407" customFormat="1" spans="1:9">
      <c r="A28" s="679" t="s">
        <v>1130</v>
      </c>
      <c r="B28" s="676" t="s">
        <v>2355</v>
      </c>
      <c r="C28" s="623">
        <f>ROUND(E28*D28/10000,0)</f>
        <v>0</v>
      </c>
      <c r="D28" s="677"/>
      <c r="E28" s="678">
        <v>60.1</v>
      </c>
      <c r="F28" s="660"/>
      <c r="G28" s="640" t="s">
        <v>2356</v>
      </c>
    </row>
    <row r="29" s="599" customFormat="1" ht="15.75" spans="1:9">
      <c r="A29" s="616" t="s">
        <v>1348</v>
      </c>
      <c r="B29" s="617" t="s">
        <v>1821</v>
      </c>
      <c r="C29" s="680">
        <f ca="1">ROUND(IF('数据-取费表'!B19&lt;=1,((C7+C26)*'数据-取费表'!B19+C20*'数据-取费表'!B19/2)*F29,((C7+C26)*(POWER((1+F29),'数据-取费表'!B19)-1)+C20*(POWER((1+F29),'数据-取费表'!B19/2)-1))),0)</f>
        <v>0</v>
      </c>
      <c r="D29" s="681"/>
      <c r="E29" s="682"/>
      <c r="F29" s="683">
        <f ca="1">'数据-取费表'!B41</f>
        <v>0.03</v>
      </c>
      <c r="G29" s="684" t="str">
        <f>IF('数据-取费表'!B19&lt;=1,"单利计息","复利计息")</f>
        <v>单利计息</v>
      </c>
    </row>
    <row r="30" s="599" customFormat="1" ht="15.75" spans="1:9">
      <c r="A30" s="616" t="s">
        <v>1356</v>
      </c>
      <c r="B30" s="617" t="s">
        <v>2102</v>
      </c>
      <c r="C30" s="685">
        <f ca="1">ROUND((C7+C20+C26)*F30,0)</f>
        <v>1</v>
      </c>
      <c r="D30" s="681"/>
      <c r="E30" s="682"/>
      <c r="F30" s="686">
        <f ca="1">IF(C1="",'数据-取费表'!Q16,INDIRECT("'数据-取费表'!q"&amp;$G$1))</f>
        <v>0.2</v>
      </c>
      <c r="G30" s="684"/>
    </row>
    <row r="31" s="407" customFormat="1" ht="15.75" spans="1:9">
      <c r="A31" s="687" t="s">
        <v>1361</v>
      </c>
      <c r="B31" s="617" t="s">
        <v>2357</v>
      </c>
      <c r="C31" s="618">
        <f ca="1">C7+C20+C29+C30</f>
        <v>7</v>
      </c>
      <c r="D31" s="688"/>
      <c r="E31" s="688"/>
      <c r="F31" s="689"/>
      <c r="G31" s="690" t="s">
        <v>2358</v>
      </c>
    </row>
    <row r="32" s="407" customFormat="1" ht="15.75" spans="1:9">
      <c r="A32" s="687" t="s">
        <v>2359</v>
      </c>
      <c r="B32" s="617" t="s">
        <v>2360</v>
      </c>
      <c r="C32" s="691">
        <f ca="1">ROUND(C31*F32,0)</f>
        <v>1</v>
      </c>
      <c r="D32" s="453"/>
      <c r="E32" s="454"/>
      <c r="F32" s="692">
        <v>0.1</v>
      </c>
      <c r="G32" s="693"/>
    </row>
    <row r="33" s="407" customFormat="1" ht="15.75" spans="1:7">
      <c r="A33" s="694">
        <v>8</v>
      </c>
      <c r="B33" s="617" t="s">
        <v>2361</v>
      </c>
      <c r="C33" s="618">
        <f ca="1">C31+C32</f>
        <v>8</v>
      </c>
      <c r="D33" s="688"/>
      <c r="E33" s="688"/>
      <c r="F33" s="695"/>
      <c r="G33" s="690" t="s">
        <v>2362</v>
      </c>
    </row>
    <row r="34" s="408" customFormat="1" ht="16.5" spans="1:7">
      <c r="A34" s="696">
        <v>9</v>
      </c>
      <c r="B34" s="697" t="s">
        <v>2363</v>
      </c>
      <c r="C34" s="618">
        <f ca="1">ROUND(C33*F34,0)</f>
        <v>6</v>
      </c>
      <c r="D34" s="698"/>
      <c r="E34" s="698"/>
      <c r="F34" s="699">
        <f>'数据-取费表'!AS16</f>
        <v>0.732</v>
      </c>
      <c r="G34" s="690" t="s">
        <v>2364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2367</v>
      </c>
      <c r="B18" s="550"/>
      <c r="C18" s="551"/>
      <c r="D18" s="551"/>
      <c r="E18" s="550"/>
      <c r="F18" s="551"/>
      <c r="G18" s="551"/>
    </row>
    <row r="19" customHeight="1" spans="1:13">
      <c r="A19" s="552" t="s">
        <v>2368</v>
      </c>
      <c r="B19" s="553" t="s">
        <v>2369</v>
      </c>
      <c r="C19" s="553" t="s">
        <v>2370</v>
      </c>
      <c r="D19" s="554"/>
      <c r="E19" s="552" t="s">
        <v>2371</v>
      </c>
      <c r="F19" s="555"/>
      <c r="G19" s="555"/>
    </row>
    <row r="20" customHeight="1" spans="1:13">
      <c r="A20" s="556" t="s">
        <v>229</v>
      </c>
      <c r="B20" s="557" t="s">
        <v>2372</v>
      </c>
      <c r="C20" s="557" t="s">
        <v>244</v>
      </c>
      <c r="D20" s="557"/>
      <c r="E20" s="558">
        <v>1</v>
      </c>
      <c r="F20" s="559" t="s">
        <v>2373</v>
      </c>
      <c r="G20" s="559"/>
    </row>
    <row r="21" customHeight="1" spans="1:13">
      <c r="A21" s="560"/>
      <c r="B21" s="561"/>
      <c r="C21" s="561" t="s">
        <v>259</v>
      </c>
      <c r="D21" s="561"/>
      <c r="E21" s="562">
        <v>1</v>
      </c>
      <c r="F21" s="559" t="s">
        <v>2374</v>
      </c>
      <c r="G21" s="559"/>
    </row>
    <row r="22" customHeight="1" spans="1:13">
      <c r="A22" s="560"/>
      <c r="B22" s="561"/>
      <c r="C22" s="561" t="s">
        <v>270</v>
      </c>
      <c r="D22" s="561"/>
      <c r="E22" s="562">
        <v>0.9</v>
      </c>
      <c r="F22" s="559" t="s">
        <v>2375</v>
      </c>
      <c r="G22" s="559"/>
    </row>
    <row r="23" customHeight="1" spans="1:13">
      <c r="A23" s="560"/>
      <c r="B23" s="561"/>
      <c r="C23" s="561" t="s">
        <v>281</v>
      </c>
      <c r="D23" s="561"/>
      <c r="E23" s="562">
        <v>0.9</v>
      </c>
      <c r="F23" s="559" t="s">
        <v>2376</v>
      </c>
      <c r="G23" s="559"/>
    </row>
    <row r="24" customHeight="1" spans="1:13">
      <c r="A24" s="560"/>
      <c r="B24" s="561"/>
      <c r="C24" s="561" t="s">
        <v>290</v>
      </c>
      <c r="D24" s="561"/>
      <c r="E24" s="562">
        <v>0.8</v>
      </c>
      <c r="F24" s="559" t="s">
        <v>2377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2378</v>
      </c>
      <c r="G27" s="559"/>
    </row>
    <row r="28" customHeight="1" spans="1:13">
      <c r="A28" s="566" t="s">
        <v>230</v>
      </c>
      <c r="B28" s="567" t="s">
        <v>2372</v>
      </c>
      <c r="C28" s="568" t="s">
        <v>245</v>
      </c>
      <c r="D28" s="569"/>
      <c r="E28" s="570">
        <v>1</v>
      </c>
      <c r="F28" s="559" t="s">
        <v>2379</v>
      </c>
      <c r="G28" s="559"/>
    </row>
    <row r="29" customHeight="1" spans="1:13">
      <c r="A29" s="571" t="s">
        <v>231</v>
      </c>
      <c r="B29" s="572" t="s">
        <v>231</v>
      </c>
      <c r="C29" s="573" t="s">
        <v>246</v>
      </c>
      <c r="D29" s="574"/>
      <c r="E29" s="558">
        <v>1</v>
      </c>
      <c r="F29" s="559" t="s">
        <v>2380</v>
      </c>
      <c r="G29" s="559"/>
    </row>
    <row r="30" customHeight="1" spans="1:13">
      <c r="A30" s="575"/>
      <c r="B30" s="576"/>
      <c r="C30" s="577" t="s">
        <v>260</v>
      </c>
      <c r="D30" s="578"/>
      <c r="E30" s="562">
        <v>1</v>
      </c>
      <c r="F30" s="559" t="s">
        <v>2381</v>
      </c>
      <c r="G30" s="559"/>
    </row>
    <row r="31" customHeight="1" spans="1:13">
      <c r="A31" s="575"/>
      <c r="B31" s="576"/>
      <c r="C31" s="577" t="s">
        <v>271</v>
      </c>
      <c r="D31" s="578"/>
      <c r="E31" s="562">
        <v>0.8</v>
      </c>
      <c r="F31" s="559" t="s">
        <v>2382</v>
      </c>
      <c r="G31" s="559"/>
    </row>
    <row r="32" customHeight="1" spans="1:13">
      <c r="A32" s="575"/>
      <c r="B32" s="576"/>
      <c r="C32" s="577" t="s">
        <v>282</v>
      </c>
      <c r="D32" s="578"/>
      <c r="E32" s="562">
        <v>0.8</v>
      </c>
      <c r="F32" s="559" t="s">
        <v>2383</v>
      </c>
      <c r="G32" s="559"/>
    </row>
    <row r="33" customHeight="1" spans="1:7">
      <c r="A33" s="575"/>
      <c r="B33" s="576"/>
      <c r="C33" s="577" t="s">
        <v>291</v>
      </c>
      <c r="D33" s="578"/>
      <c r="E33" s="562">
        <v>0.8</v>
      </c>
      <c r="F33" s="559" t="s">
        <v>2384</v>
      </c>
      <c r="G33" s="559"/>
    </row>
    <row r="34" customHeight="1" spans="1:7">
      <c r="A34" s="575"/>
      <c r="B34" s="576"/>
      <c r="C34" s="577" t="s">
        <v>299</v>
      </c>
      <c r="D34" s="578"/>
      <c r="E34" s="562">
        <v>0.7</v>
      </c>
      <c r="F34" s="559" t="s">
        <v>2385</v>
      </c>
      <c r="G34" s="559"/>
    </row>
    <row r="35" customHeight="1" spans="1:7">
      <c r="A35" s="575"/>
      <c r="B35" s="576"/>
      <c r="C35" s="577" t="s">
        <v>307</v>
      </c>
      <c r="D35" s="578"/>
      <c r="E35" s="562">
        <v>0.8</v>
      </c>
      <c r="F35" s="559" t="s">
        <v>2386</v>
      </c>
      <c r="G35" s="559"/>
    </row>
    <row r="36" customHeight="1" spans="1:7">
      <c r="A36" s="575"/>
      <c r="B36" s="576"/>
      <c r="C36" s="577" t="s">
        <v>314</v>
      </c>
      <c r="D36" s="578"/>
      <c r="E36" s="562">
        <v>0.6</v>
      </c>
      <c r="F36" s="559" t="s">
        <v>2387</v>
      </c>
      <c r="G36" s="559"/>
    </row>
    <row r="37" customHeight="1" spans="1:7">
      <c r="A37" s="575"/>
      <c r="B37" s="576"/>
      <c r="C37" s="577" t="s">
        <v>320</v>
      </c>
      <c r="D37" s="578"/>
      <c r="E37" s="562">
        <v>0.2</v>
      </c>
      <c r="F37" s="559" t="s">
        <v>2388</v>
      </c>
      <c r="G37" s="559"/>
    </row>
    <row r="38" customHeight="1" spans="1:7">
      <c r="A38" s="575"/>
      <c r="B38" s="576"/>
      <c r="C38" s="577" t="s">
        <v>326</v>
      </c>
      <c r="D38" s="578"/>
      <c r="E38" s="562">
        <v>0.2</v>
      </c>
      <c r="F38" s="559" t="s">
        <v>2389</v>
      </c>
      <c r="G38" s="559"/>
    </row>
    <row r="39" customHeight="1" spans="1:7">
      <c r="A39" s="575"/>
      <c r="B39" s="579" t="s">
        <v>2390</v>
      </c>
      <c r="C39" s="577" t="s">
        <v>332</v>
      </c>
      <c r="D39" s="578"/>
      <c r="E39" s="562">
        <v>0.6</v>
      </c>
      <c r="F39" s="559" t="s">
        <v>2391</v>
      </c>
      <c r="G39" s="559"/>
    </row>
    <row r="40" customHeight="1" spans="1:7">
      <c r="A40" s="575"/>
      <c r="B40" s="576"/>
      <c r="C40" s="577" t="s">
        <v>338</v>
      </c>
      <c r="D40" s="578"/>
      <c r="E40" s="562">
        <v>0.6</v>
      </c>
      <c r="F40" s="559" t="s">
        <v>2392</v>
      </c>
      <c r="G40" s="559"/>
    </row>
    <row r="41" customHeight="1" spans="1:7">
      <c r="A41" s="566"/>
      <c r="B41" s="567"/>
      <c r="C41" s="580" t="s">
        <v>342</v>
      </c>
      <c r="D41" s="581"/>
      <c r="E41" s="565">
        <v>0.6</v>
      </c>
      <c r="F41" s="559" t="s">
        <v>2393</v>
      </c>
      <c r="G41" s="559"/>
    </row>
    <row r="42" customHeight="1" spans="1:7">
      <c r="A42" s="582" t="s">
        <v>232</v>
      </c>
      <c r="B42" s="583" t="s">
        <v>232</v>
      </c>
      <c r="C42" s="584" t="s">
        <v>247</v>
      </c>
      <c r="D42" s="585"/>
      <c r="E42" s="586">
        <v>1</v>
      </c>
      <c r="F42" s="559" t="s">
        <v>2394</v>
      </c>
      <c r="G42" s="559"/>
    </row>
    <row r="43" customHeight="1" spans="1:7">
      <c r="A43" s="556" t="s">
        <v>233</v>
      </c>
      <c r="B43" s="572" t="s">
        <v>2395</v>
      </c>
      <c r="C43" s="573" t="s">
        <v>248</v>
      </c>
      <c r="D43" s="574"/>
      <c r="E43" s="558">
        <v>1</v>
      </c>
      <c r="F43" s="559" t="s">
        <v>2396</v>
      </c>
      <c r="G43" s="559"/>
    </row>
    <row r="44" customHeight="1" spans="1:7">
      <c r="A44" s="560"/>
      <c r="B44" s="576"/>
      <c r="C44" s="577" t="s">
        <v>261</v>
      </c>
      <c r="D44" s="578"/>
      <c r="E44" s="562">
        <v>1</v>
      </c>
      <c r="F44" s="559" t="s">
        <v>2397</v>
      </c>
      <c r="G44" s="559"/>
    </row>
    <row r="45" customHeight="1" spans="1:7">
      <c r="A45" s="560"/>
      <c r="B45" s="587"/>
      <c r="C45" s="577" t="s">
        <v>272</v>
      </c>
      <c r="D45" s="578"/>
      <c r="E45" s="562">
        <v>1.5</v>
      </c>
      <c r="F45" s="559" t="s">
        <v>2398</v>
      </c>
      <c r="G45" s="559"/>
    </row>
    <row r="46" customHeight="1" spans="1:7">
      <c r="A46" s="560"/>
      <c r="B46" s="561" t="s">
        <v>231</v>
      </c>
      <c r="C46" s="577" t="s">
        <v>283</v>
      </c>
      <c r="D46" s="578"/>
      <c r="E46" s="562">
        <v>2</v>
      </c>
      <c r="F46" s="559" t="s">
        <v>2399</v>
      </c>
      <c r="G46" s="559"/>
    </row>
    <row r="47" customHeight="1" spans="1:7">
      <c r="A47" s="560"/>
      <c r="B47" s="579" t="s">
        <v>2400</v>
      </c>
      <c r="C47" s="577" t="s">
        <v>292</v>
      </c>
      <c r="D47" s="578"/>
      <c r="E47" s="562">
        <v>1</v>
      </c>
      <c r="F47" s="559" t="s">
        <v>2401</v>
      </c>
      <c r="G47" s="559"/>
    </row>
    <row r="48" customHeight="1" spans="1:7">
      <c r="A48" s="560"/>
      <c r="B48" s="576"/>
      <c r="C48" s="577" t="s">
        <v>300</v>
      </c>
      <c r="D48" s="578"/>
      <c r="E48" s="562">
        <v>1</v>
      </c>
      <c r="F48" s="559" t="s">
        <v>2402</v>
      </c>
      <c r="G48" s="559"/>
    </row>
    <row r="49" customHeight="1" spans="1:7">
      <c r="A49" s="560"/>
      <c r="B49" s="576"/>
      <c r="C49" s="577" t="s">
        <v>308</v>
      </c>
      <c r="D49" s="578"/>
      <c r="E49" s="562">
        <v>1</v>
      </c>
      <c r="F49" s="559" t="s">
        <v>2403</v>
      </c>
      <c r="G49" s="559"/>
    </row>
    <row r="50" customHeight="1" spans="1:7">
      <c r="A50" s="560"/>
      <c r="B50" s="576"/>
      <c r="C50" s="577" t="s">
        <v>315</v>
      </c>
      <c r="D50" s="578"/>
      <c r="E50" s="562">
        <v>1</v>
      </c>
      <c r="F50" s="559" t="s">
        <v>2404</v>
      </c>
      <c r="G50" s="559"/>
    </row>
    <row r="51" customHeight="1" spans="1:7">
      <c r="A51" s="560"/>
      <c r="B51" s="576"/>
      <c r="C51" s="577" t="s">
        <v>321</v>
      </c>
      <c r="D51" s="578"/>
      <c r="E51" s="562">
        <v>1</v>
      </c>
      <c r="F51" s="559" t="s">
        <v>2405</v>
      </c>
      <c r="G51" s="559"/>
    </row>
    <row r="52" customHeight="1" spans="1:7">
      <c r="A52" s="560"/>
      <c r="B52" s="576"/>
      <c r="C52" s="577" t="s">
        <v>327</v>
      </c>
      <c r="D52" s="578"/>
      <c r="E52" s="562">
        <v>1</v>
      </c>
      <c r="F52" s="559" t="s">
        <v>2406</v>
      </c>
      <c r="G52" s="559"/>
    </row>
    <row r="53" customHeight="1" spans="1:7">
      <c r="A53" s="563"/>
      <c r="B53" s="567"/>
      <c r="C53" s="580" t="s">
        <v>333</v>
      </c>
      <c r="D53" s="581"/>
      <c r="E53" s="565">
        <v>1</v>
      </c>
      <c r="F53" s="559" t="s">
        <v>2407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2408</v>
      </c>
      <c r="G56" s="552" t="s">
        <v>490</v>
      </c>
    </row>
    <row r="57" customHeight="1" spans="1:7">
      <c r="A57" s="590"/>
      <c r="B57" s="552" t="s">
        <v>229</v>
      </c>
      <c r="C57" s="552" t="s">
        <v>229</v>
      </c>
      <c r="D57" s="552" t="s">
        <v>229</v>
      </c>
      <c r="E57" s="548" t="s">
        <v>230</v>
      </c>
      <c r="F57" s="548" t="s">
        <v>233</v>
      </c>
      <c r="G57" s="548" t="s">
        <v>1958</v>
      </c>
    </row>
    <row r="58" customHeight="1" spans="1:7">
      <c r="A58" s="591"/>
      <c r="B58" s="543">
        <v>1</v>
      </c>
      <c r="C58" s="543">
        <v>2</v>
      </c>
      <c r="D58" s="543">
        <v>3</v>
      </c>
      <c r="E58" s="592" t="s">
        <v>2409</v>
      </c>
      <c r="F58" s="592" t="s">
        <v>2409</v>
      </c>
      <c r="G58" s="592" t="s">
        <v>2409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2410</v>
      </c>
      <c r="E72" s="596"/>
      <c r="F72" s="596"/>
    </row>
    <row r="73" customHeight="1" spans="1:7">
      <c r="A73" s="561" t="s">
        <v>999</v>
      </c>
      <c r="B73" s="561" t="s">
        <v>2411</v>
      </c>
      <c r="C73" s="561" t="s">
        <v>2412</v>
      </c>
      <c r="D73" s="561" t="s">
        <v>2413</v>
      </c>
      <c r="E73" s="561" t="s">
        <v>2414</v>
      </c>
      <c r="F73" s="561" t="s">
        <v>2415</v>
      </c>
    </row>
    <row r="74" ht="13.5" spans="1:7">
      <c r="A74" s="561"/>
      <c r="B74" s="561"/>
      <c r="C74" s="561" t="s">
        <v>2416</v>
      </c>
      <c r="D74" s="561"/>
      <c r="E74" s="561" t="s">
        <v>124</v>
      </c>
      <c r="F74" s="561" t="s">
        <v>124</v>
      </c>
    </row>
    <row r="75" ht="13.5" spans="1:7">
      <c r="A75" s="561">
        <v>1</v>
      </c>
      <c r="B75" s="579" t="s">
        <v>2417</v>
      </c>
      <c r="C75" s="548" t="s">
        <v>2418</v>
      </c>
      <c r="D75" s="548" t="s">
        <v>2419</v>
      </c>
      <c r="E75" s="597">
        <v>0.2</v>
      </c>
      <c r="F75" s="598">
        <v>25</v>
      </c>
    </row>
    <row r="76" ht="24" spans="1:7">
      <c r="A76" s="561">
        <v>2</v>
      </c>
      <c r="B76" s="576"/>
      <c r="C76" s="548" t="s">
        <v>2420</v>
      </c>
      <c r="D76" s="548" t="s">
        <v>2421</v>
      </c>
      <c r="E76" s="597">
        <v>0.2</v>
      </c>
      <c r="F76" s="598">
        <v>25</v>
      </c>
    </row>
    <row r="77" ht="24" spans="1:7">
      <c r="A77" s="561">
        <v>3</v>
      </c>
      <c r="B77" s="576"/>
      <c r="C77" s="548" t="s">
        <v>2422</v>
      </c>
      <c r="D77" s="548" t="s">
        <v>2423</v>
      </c>
      <c r="E77" s="597">
        <v>0.2</v>
      </c>
      <c r="F77" s="598">
        <v>25</v>
      </c>
    </row>
    <row r="78" ht="13.5" spans="1:7">
      <c r="A78" s="561">
        <v>4</v>
      </c>
      <c r="B78" s="576"/>
      <c r="C78" s="548" t="s">
        <v>2424</v>
      </c>
      <c r="D78" s="548" t="s">
        <v>2425</v>
      </c>
      <c r="E78" s="597">
        <v>0.15</v>
      </c>
      <c r="F78" s="598">
        <v>20</v>
      </c>
    </row>
    <row r="79" ht="24" spans="1:7">
      <c r="A79" s="561">
        <v>5</v>
      </c>
      <c r="B79" s="576"/>
      <c r="C79" s="548" t="s">
        <v>2426</v>
      </c>
      <c r="D79" s="548" t="s">
        <v>2427</v>
      </c>
      <c r="E79" s="597">
        <v>0.15</v>
      </c>
      <c r="F79" s="598">
        <v>20</v>
      </c>
    </row>
    <row r="80" ht="24" spans="1:7">
      <c r="A80" s="561">
        <v>6</v>
      </c>
      <c r="B80" s="576"/>
      <c r="C80" s="548" t="s">
        <v>2428</v>
      </c>
      <c r="D80" s="548" t="s">
        <v>2429</v>
      </c>
      <c r="E80" s="597">
        <v>0.15</v>
      </c>
      <c r="F80" s="598">
        <v>20</v>
      </c>
    </row>
    <row r="81" ht="24" spans="1:6">
      <c r="A81" s="561">
        <v>7</v>
      </c>
      <c r="B81" s="576"/>
      <c r="C81" s="548" t="s">
        <v>2430</v>
      </c>
      <c r="D81" s="548" t="s">
        <v>2431</v>
      </c>
      <c r="E81" s="597">
        <v>0.15</v>
      </c>
      <c r="F81" s="598">
        <v>20</v>
      </c>
    </row>
    <row r="82" ht="24" spans="1:6">
      <c r="A82" s="561">
        <v>8</v>
      </c>
      <c r="B82" s="576"/>
      <c r="C82" s="548" t="s">
        <v>2432</v>
      </c>
      <c r="D82" s="548" t="s">
        <v>2433</v>
      </c>
      <c r="E82" s="597">
        <v>0.1</v>
      </c>
      <c r="F82" s="598">
        <v>15</v>
      </c>
    </row>
    <row r="83" ht="24" spans="1:6">
      <c r="A83" s="561">
        <v>9</v>
      </c>
      <c r="B83" s="576"/>
      <c r="C83" s="548" t="s">
        <v>2434</v>
      </c>
      <c r="D83" s="548" t="s">
        <v>2435</v>
      </c>
      <c r="E83" s="597">
        <v>0.1</v>
      </c>
      <c r="F83" s="598">
        <v>15</v>
      </c>
    </row>
    <row r="84" ht="24" spans="1:6">
      <c r="A84" s="561">
        <v>10</v>
      </c>
      <c r="B84" s="576"/>
      <c r="C84" s="548" t="s">
        <v>2436</v>
      </c>
      <c r="D84" s="548" t="s">
        <v>2437</v>
      </c>
      <c r="E84" s="597">
        <v>0.1</v>
      </c>
      <c r="F84" s="598">
        <v>15</v>
      </c>
    </row>
    <row r="85" ht="24" spans="1:6">
      <c r="A85" s="561">
        <v>11</v>
      </c>
      <c r="B85" s="576"/>
      <c r="C85" s="548" t="s">
        <v>2438</v>
      </c>
      <c r="D85" s="548" t="s">
        <v>2439</v>
      </c>
      <c r="E85" s="597">
        <v>0.1</v>
      </c>
      <c r="F85" s="598">
        <v>15</v>
      </c>
    </row>
    <row r="86" ht="24" spans="1:6">
      <c r="A86" s="561">
        <v>12</v>
      </c>
      <c r="B86" s="576"/>
      <c r="C86" s="548" t="s">
        <v>2440</v>
      </c>
      <c r="D86" s="548" t="s">
        <v>2441</v>
      </c>
      <c r="E86" s="597">
        <v>0.1</v>
      </c>
      <c r="F86" s="598">
        <v>15</v>
      </c>
    </row>
    <row r="87" ht="13.5" spans="1:6">
      <c r="A87" s="561">
        <v>13</v>
      </c>
      <c r="B87" s="576"/>
      <c r="C87" s="548" t="s">
        <v>2442</v>
      </c>
      <c r="D87" s="548" t="s">
        <v>2443</v>
      </c>
      <c r="E87" s="597">
        <v>0.1</v>
      </c>
      <c r="F87" s="598">
        <v>15</v>
      </c>
    </row>
    <row r="88" ht="13.5" spans="1:6">
      <c r="A88" s="561">
        <v>14</v>
      </c>
      <c r="B88" s="576"/>
      <c r="C88" s="548" t="s">
        <v>2444</v>
      </c>
      <c r="D88" s="548" t="s">
        <v>2445</v>
      </c>
      <c r="E88" s="597">
        <v>0.1</v>
      </c>
      <c r="F88" s="598">
        <v>15</v>
      </c>
    </row>
    <row r="89" ht="13.5" spans="1:6">
      <c r="A89" s="561">
        <v>15</v>
      </c>
      <c r="B89" s="576"/>
      <c r="C89" s="548" t="s">
        <v>2446</v>
      </c>
      <c r="D89" s="548" t="s">
        <v>2447</v>
      </c>
      <c r="E89" s="597">
        <v>0.1</v>
      </c>
      <c r="F89" s="598">
        <v>15</v>
      </c>
    </row>
    <row r="90" ht="24" spans="1:6">
      <c r="A90" s="561">
        <v>16</v>
      </c>
      <c r="B90" s="576"/>
      <c r="C90" s="548" t="s">
        <v>2448</v>
      </c>
      <c r="D90" s="548" t="s">
        <v>2449</v>
      </c>
      <c r="E90" s="597">
        <v>0.1</v>
      </c>
      <c r="F90" s="598">
        <v>15</v>
      </c>
    </row>
    <row r="91" ht="24" spans="1:6">
      <c r="A91" s="561">
        <v>17</v>
      </c>
      <c r="B91" s="587"/>
      <c r="C91" s="548" t="s">
        <v>2450</v>
      </c>
      <c r="D91" s="548" t="s">
        <v>2451</v>
      </c>
      <c r="E91" s="597">
        <v>0.1</v>
      </c>
      <c r="F91" s="598">
        <v>15</v>
      </c>
    </row>
    <row r="92" ht="13.5" spans="1:6">
      <c r="A92" s="561">
        <v>18</v>
      </c>
      <c r="B92" s="579" t="s">
        <v>2452</v>
      </c>
      <c r="C92" s="548" t="s">
        <v>2453</v>
      </c>
      <c r="D92" s="548" t="s">
        <v>2454</v>
      </c>
      <c r="E92" s="597">
        <v>0.2</v>
      </c>
      <c r="F92" s="598">
        <v>25</v>
      </c>
    </row>
    <row r="93" ht="24" spans="1:6">
      <c r="A93" s="561">
        <v>19</v>
      </c>
      <c r="B93" s="576"/>
      <c r="C93" s="548" t="s">
        <v>2455</v>
      </c>
      <c r="D93" s="548" t="s">
        <v>2456</v>
      </c>
      <c r="E93" s="597">
        <v>0.2</v>
      </c>
      <c r="F93" s="598">
        <v>25</v>
      </c>
    </row>
    <row r="94" ht="13.5" spans="1:6">
      <c r="A94" s="561">
        <v>20</v>
      </c>
      <c r="B94" s="576"/>
      <c r="C94" s="548" t="s">
        <v>2457</v>
      </c>
      <c r="D94" s="548" t="s">
        <v>2458</v>
      </c>
      <c r="E94" s="597">
        <v>0.15</v>
      </c>
      <c r="F94" s="598">
        <v>20</v>
      </c>
    </row>
    <row r="95" ht="13.5" spans="1:6">
      <c r="A95" s="561">
        <v>21</v>
      </c>
      <c r="B95" s="576"/>
      <c r="C95" s="548" t="s">
        <v>2459</v>
      </c>
      <c r="D95" s="548" t="s">
        <v>2460</v>
      </c>
      <c r="E95" s="597">
        <v>0.15</v>
      </c>
      <c r="F95" s="598">
        <v>20</v>
      </c>
    </row>
    <row r="96" ht="13.5" spans="1:6">
      <c r="A96" s="561">
        <v>22</v>
      </c>
      <c r="B96" s="576"/>
      <c r="C96" s="548" t="s">
        <v>2461</v>
      </c>
      <c r="D96" s="548" t="s">
        <v>2462</v>
      </c>
      <c r="E96" s="597">
        <v>0.15</v>
      </c>
      <c r="F96" s="598">
        <v>20</v>
      </c>
    </row>
    <row r="97" ht="36" spans="1:6">
      <c r="A97" s="561">
        <v>23</v>
      </c>
      <c r="B97" s="576"/>
      <c r="C97" s="548" t="s">
        <v>2463</v>
      </c>
      <c r="D97" s="548" t="s">
        <v>2464</v>
      </c>
      <c r="E97" s="597">
        <v>0.15</v>
      </c>
      <c r="F97" s="598">
        <v>20</v>
      </c>
    </row>
    <row r="98" ht="13.5" spans="1:6">
      <c r="A98" s="561">
        <v>24</v>
      </c>
      <c r="B98" s="576"/>
      <c r="C98" s="548" t="s">
        <v>2465</v>
      </c>
      <c r="D98" s="548" t="s">
        <v>2466</v>
      </c>
      <c r="E98" s="597">
        <v>0.1</v>
      </c>
      <c r="F98" s="598">
        <v>15</v>
      </c>
    </row>
    <row r="99" ht="13.5" spans="1:6">
      <c r="A99" s="561">
        <v>25</v>
      </c>
      <c r="B99" s="576"/>
      <c r="C99" s="548" t="s">
        <v>2467</v>
      </c>
      <c r="D99" s="548" t="s">
        <v>2468</v>
      </c>
      <c r="E99" s="597">
        <v>0.1</v>
      </c>
      <c r="F99" s="598">
        <v>15</v>
      </c>
    </row>
    <row r="100" ht="24" spans="1:6">
      <c r="A100" s="561">
        <v>26</v>
      </c>
      <c r="B100" s="576"/>
      <c r="C100" s="548" t="s">
        <v>2469</v>
      </c>
      <c r="D100" s="548" t="s">
        <v>2470</v>
      </c>
      <c r="E100" s="597">
        <v>0.1</v>
      </c>
      <c r="F100" s="598">
        <v>15</v>
      </c>
    </row>
    <row r="101" ht="24" spans="1:6">
      <c r="A101" s="561">
        <v>27</v>
      </c>
      <c r="B101" s="576"/>
      <c r="C101" s="548" t="s">
        <v>2471</v>
      </c>
      <c r="D101" s="548" t="s">
        <v>2472</v>
      </c>
      <c r="E101" s="597">
        <v>0.1</v>
      </c>
      <c r="F101" s="598">
        <v>15</v>
      </c>
    </row>
    <row r="102" ht="13.5" spans="1:6">
      <c r="A102" s="561">
        <v>28</v>
      </c>
      <c r="B102" s="576"/>
      <c r="C102" s="548" t="s">
        <v>2473</v>
      </c>
      <c r="D102" s="548" t="s">
        <v>2474</v>
      </c>
      <c r="E102" s="597">
        <v>0.1</v>
      </c>
      <c r="F102" s="598">
        <v>15</v>
      </c>
    </row>
    <row r="103" ht="13.5" spans="1:6">
      <c r="A103" s="561">
        <v>29</v>
      </c>
      <c r="B103" s="576"/>
      <c r="C103" s="548" t="s">
        <v>2475</v>
      </c>
      <c r="D103" s="548" t="s">
        <v>2476</v>
      </c>
      <c r="E103" s="597">
        <v>0.1</v>
      </c>
      <c r="F103" s="598">
        <v>15</v>
      </c>
    </row>
    <row r="104" ht="13.5" spans="1:6">
      <c r="A104" s="561">
        <v>30</v>
      </c>
      <c r="B104" s="576"/>
      <c r="C104" s="548" t="s">
        <v>2477</v>
      </c>
      <c r="D104" s="548" t="s">
        <v>2478</v>
      </c>
      <c r="E104" s="597">
        <v>0.1</v>
      </c>
      <c r="F104" s="598">
        <v>15</v>
      </c>
    </row>
    <row r="105" ht="24" spans="1:6">
      <c r="A105" s="561">
        <v>31</v>
      </c>
      <c r="B105" s="576"/>
      <c r="C105" s="548" t="s">
        <v>2479</v>
      </c>
      <c r="D105" s="548" t="s">
        <v>2480</v>
      </c>
      <c r="E105" s="597">
        <v>0.1</v>
      </c>
      <c r="F105" s="598">
        <v>15</v>
      </c>
    </row>
    <row r="106" ht="24" spans="1:6">
      <c r="A106" s="561">
        <v>32</v>
      </c>
      <c r="B106" s="576"/>
      <c r="C106" s="548" t="s">
        <v>2481</v>
      </c>
      <c r="D106" s="548" t="s">
        <v>2482</v>
      </c>
      <c r="E106" s="597">
        <v>0.1</v>
      </c>
      <c r="F106" s="598">
        <v>15</v>
      </c>
    </row>
    <row r="107" ht="24" spans="1:6">
      <c r="A107" s="561">
        <v>33</v>
      </c>
      <c r="B107" s="576"/>
      <c r="C107" s="548" t="s">
        <v>2483</v>
      </c>
      <c r="D107" s="548" t="s">
        <v>2484</v>
      </c>
      <c r="E107" s="597">
        <v>0.1</v>
      </c>
      <c r="F107" s="598">
        <v>15</v>
      </c>
    </row>
    <row r="108" ht="24" spans="1:6">
      <c r="A108" s="561">
        <v>34</v>
      </c>
      <c r="B108" s="587"/>
      <c r="C108" s="548" t="s">
        <v>2485</v>
      </c>
      <c r="D108" s="548" t="s">
        <v>2486</v>
      </c>
      <c r="E108" s="597">
        <v>0.1</v>
      </c>
      <c r="F108" s="598">
        <v>15</v>
      </c>
    </row>
    <row r="109" ht="24" spans="1:6">
      <c r="A109" s="561">
        <v>35</v>
      </c>
      <c r="B109" s="579" t="s">
        <v>2487</v>
      </c>
      <c r="C109" s="561" t="s">
        <v>2488</v>
      </c>
      <c r="D109" s="548" t="s">
        <v>2489</v>
      </c>
      <c r="E109" s="597">
        <v>0.15</v>
      </c>
      <c r="F109" s="598">
        <v>20</v>
      </c>
    </row>
    <row r="110" ht="13.5" spans="1:6">
      <c r="A110" s="561">
        <v>36</v>
      </c>
      <c r="B110" s="576"/>
      <c r="C110" s="561" t="s">
        <v>2490</v>
      </c>
      <c r="D110" s="548" t="s">
        <v>2491</v>
      </c>
      <c r="E110" s="597">
        <v>0.15</v>
      </c>
      <c r="F110" s="598">
        <v>20</v>
      </c>
    </row>
    <row r="111" ht="13.5" spans="1:6">
      <c r="A111" s="561">
        <v>37</v>
      </c>
      <c r="B111" s="576"/>
      <c r="C111" s="561" t="s">
        <v>2492</v>
      </c>
      <c r="D111" s="548" t="s">
        <v>2493</v>
      </c>
      <c r="E111" s="597">
        <v>0.15</v>
      </c>
      <c r="F111" s="598">
        <v>20</v>
      </c>
    </row>
    <row r="112" ht="13.5" spans="1:6">
      <c r="A112" s="561">
        <v>38</v>
      </c>
      <c r="B112" s="576"/>
      <c r="C112" s="561" t="s">
        <v>2494</v>
      </c>
      <c r="D112" s="548" t="s">
        <v>2495</v>
      </c>
      <c r="E112" s="597">
        <v>0.1</v>
      </c>
      <c r="F112" s="598">
        <v>15</v>
      </c>
    </row>
    <row r="113" ht="24" spans="1:6">
      <c r="A113" s="561">
        <v>39</v>
      </c>
      <c r="B113" s="576"/>
      <c r="C113" s="561" t="s">
        <v>2496</v>
      </c>
      <c r="D113" s="548" t="s">
        <v>2497</v>
      </c>
      <c r="E113" s="597">
        <v>0.1</v>
      </c>
      <c r="F113" s="598">
        <v>15</v>
      </c>
    </row>
    <row r="114" ht="24" spans="1:6">
      <c r="A114" s="561">
        <v>40</v>
      </c>
      <c r="B114" s="587"/>
      <c r="C114" s="561" t="s">
        <v>2498</v>
      </c>
      <c r="D114" s="548" t="s">
        <v>2499</v>
      </c>
      <c r="E114" s="597">
        <v>0.1</v>
      </c>
      <c r="F114" s="598">
        <v>15</v>
      </c>
    </row>
    <row r="115" ht="13.5" spans="1:6">
      <c r="A115" s="561">
        <v>41</v>
      </c>
      <c r="B115" s="561" t="s">
        <v>2500</v>
      </c>
      <c r="C115" s="561" t="s">
        <v>2501</v>
      </c>
      <c r="D115" s="548" t="s">
        <v>2502</v>
      </c>
      <c r="E115" s="597">
        <v>0.1</v>
      </c>
      <c r="F115" s="598">
        <v>15</v>
      </c>
    </row>
    <row r="116" ht="13.5" spans="1:6">
      <c r="A116" s="561">
        <v>42</v>
      </c>
      <c r="B116" s="561"/>
      <c r="C116" s="561" t="s">
        <v>2503</v>
      </c>
      <c r="D116" s="548" t="s">
        <v>2504</v>
      </c>
      <c r="E116" s="597">
        <v>0.1</v>
      </c>
      <c r="F116" s="598">
        <v>15</v>
      </c>
    </row>
    <row r="117" ht="24" spans="1:6">
      <c r="A117" s="561">
        <v>43</v>
      </c>
      <c r="B117" s="561"/>
      <c r="C117" s="561" t="s">
        <v>2505</v>
      </c>
      <c r="D117" s="548" t="s">
        <v>2506</v>
      </c>
      <c r="E117" s="597">
        <v>0.1</v>
      </c>
      <c r="F117" s="598">
        <v>15</v>
      </c>
    </row>
    <row r="118" ht="13.5" spans="1:6">
      <c r="A118" s="561">
        <v>44</v>
      </c>
      <c r="B118" s="579" t="s">
        <v>2507</v>
      </c>
      <c r="C118" s="561" t="s">
        <v>2508</v>
      </c>
      <c r="D118" s="548" t="s">
        <v>2509</v>
      </c>
      <c r="E118" s="597">
        <v>0.1</v>
      </c>
      <c r="F118" s="598">
        <v>15</v>
      </c>
    </row>
    <row r="119" ht="24" spans="1:6">
      <c r="A119" s="561">
        <v>45</v>
      </c>
      <c r="B119" s="587"/>
      <c r="C119" s="548" t="s">
        <v>2510</v>
      </c>
      <c r="D119" s="548" t="s">
        <v>2511</v>
      </c>
      <c r="E119" s="597">
        <v>0.1</v>
      </c>
      <c r="F119" s="598">
        <v>15</v>
      </c>
    </row>
    <row r="120" ht="24" spans="1:6">
      <c r="A120" s="561">
        <v>46</v>
      </c>
      <c r="B120" s="579" t="s">
        <v>2512</v>
      </c>
      <c r="C120" s="561" t="s">
        <v>2513</v>
      </c>
      <c r="D120" s="548" t="s">
        <v>2514</v>
      </c>
      <c r="E120" s="597">
        <v>0.1</v>
      </c>
      <c r="F120" s="598">
        <v>15</v>
      </c>
    </row>
    <row r="121" ht="24" spans="1:6">
      <c r="A121" s="561">
        <v>47</v>
      </c>
      <c r="B121" s="587"/>
      <c r="C121" s="561" t="s">
        <v>2515</v>
      </c>
      <c r="D121" s="548" t="s">
        <v>2516</v>
      </c>
      <c r="E121" s="597">
        <v>0.1</v>
      </c>
      <c r="F121" s="598">
        <v>15</v>
      </c>
    </row>
    <row r="122" ht="13.5" spans="1:6">
      <c r="A122" s="561">
        <v>48</v>
      </c>
      <c r="B122" s="579" t="s">
        <v>2517</v>
      </c>
      <c r="C122" s="561" t="s">
        <v>2518</v>
      </c>
      <c r="D122" s="548" t="s">
        <v>2519</v>
      </c>
      <c r="E122" s="597">
        <v>0.1</v>
      </c>
      <c r="F122" s="598">
        <v>15</v>
      </c>
    </row>
    <row r="123" ht="13.5" spans="1:6">
      <c r="A123" s="561">
        <v>49</v>
      </c>
      <c r="B123" s="587"/>
      <c r="C123" s="561" t="s">
        <v>2520</v>
      </c>
      <c r="D123" s="548" t="s">
        <v>2521</v>
      </c>
      <c r="E123" s="597">
        <v>0.1</v>
      </c>
      <c r="F123" s="598">
        <v>15</v>
      </c>
    </row>
    <row r="124" ht="24" spans="1:6">
      <c r="A124" s="561">
        <v>50</v>
      </c>
      <c r="B124" s="561" t="s">
        <v>2522</v>
      </c>
      <c r="C124" s="561" t="s">
        <v>2523</v>
      </c>
      <c r="D124" s="548" t="s">
        <v>2524</v>
      </c>
      <c r="E124" s="597">
        <v>0.1</v>
      </c>
      <c r="F124" s="598">
        <v>15</v>
      </c>
    </row>
    <row r="125" ht="24" spans="1:6">
      <c r="A125" s="561">
        <v>51</v>
      </c>
      <c r="B125" s="561"/>
      <c r="C125" s="561" t="s">
        <v>2525</v>
      </c>
      <c r="D125" s="548" t="s">
        <v>2526</v>
      </c>
      <c r="E125" s="597">
        <v>0.1</v>
      </c>
      <c r="F125" s="598">
        <v>15</v>
      </c>
    </row>
    <row r="126" ht="24" spans="1:6">
      <c r="A126" s="561">
        <v>52</v>
      </c>
      <c r="B126" s="561" t="s">
        <v>2527</v>
      </c>
      <c r="C126" s="561" t="s">
        <v>2528</v>
      </c>
      <c r="D126" s="548" t="s">
        <v>2529</v>
      </c>
      <c r="E126" s="597">
        <v>0.1</v>
      </c>
      <c r="F126" s="598">
        <v>15</v>
      </c>
    </row>
    <row r="127" ht="24" spans="1:6">
      <c r="A127" s="561">
        <v>53</v>
      </c>
      <c r="B127" s="561"/>
      <c r="C127" s="561" t="s">
        <v>2530</v>
      </c>
      <c r="D127" s="548" t="s">
        <v>2531</v>
      </c>
      <c r="E127" s="597">
        <v>0.1</v>
      </c>
      <c r="F127" s="598">
        <v>15</v>
      </c>
    </row>
    <row r="128" ht="13.5" spans="1:6">
      <c r="A128" s="561">
        <v>54</v>
      </c>
      <c r="B128" s="561" t="s">
        <v>2532</v>
      </c>
      <c r="C128" s="561" t="s">
        <v>2533</v>
      </c>
      <c r="D128" s="548" t="s">
        <v>2534</v>
      </c>
      <c r="E128" s="597">
        <v>0.1</v>
      </c>
      <c r="F128" s="598">
        <v>15</v>
      </c>
    </row>
    <row r="129" ht="13.5" spans="1:6">
      <c r="A129" s="561">
        <v>55</v>
      </c>
      <c r="B129" s="561" t="s">
        <v>2535</v>
      </c>
      <c r="C129" s="561" t="s">
        <v>2536</v>
      </c>
      <c r="D129" s="548" t="s">
        <v>2537</v>
      </c>
      <c r="E129" s="597">
        <v>0.1</v>
      </c>
      <c r="F129" s="598">
        <v>15</v>
      </c>
    </row>
    <row r="130" ht="13.5" spans="1:6">
      <c r="A130" s="561">
        <v>56</v>
      </c>
      <c r="B130" s="561"/>
      <c r="C130" s="561" t="s">
        <v>2538</v>
      </c>
      <c r="D130" s="548" t="s">
        <v>2539</v>
      </c>
      <c r="E130" s="597">
        <v>0.1</v>
      </c>
      <c r="F130" s="598">
        <v>15</v>
      </c>
    </row>
    <row r="131" ht="24" spans="1:6">
      <c r="A131" s="561">
        <v>57</v>
      </c>
      <c r="B131" s="561"/>
      <c r="C131" s="561" t="s">
        <v>2540</v>
      </c>
      <c r="D131" s="548" t="s">
        <v>2541</v>
      </c>
      <c r="E131" s="597">
        <v>0.1</v>
      </c>
      <c r="F131" s="598">
        <v>15</v>
      </c>
    </row>
    <row r="132" ht="24" spans="1:6">
      <c r="A132" s="561">
        <v>58</v>
      </c>
      <c r="B132" s="561" t="s">
        <v>2542</v>
      </c>
      <c r="C132" s="561" t="s">
        <v>2543</v>
      </c>
      <c r="D132" s="548" t="s">
        <v>2544</v>
      </c>
      <c r="E132" s="597">
        <v>0.1</v>
      </c>
      <c r="F132" s="598">
        <v>15</v>
      </c>
    </row>
    <row r="133" ht="13.5" spans="1:6">
      <c r="A133" s="561">
        <v>59</v>
      </c>
      <c r="B133" s="561"/>
      <c r="C133" s="561" t="s">
        <v>2545</v>
      </c>
      <c r="D133" s="548" t="s">
        <v>2546</v>
      </c>
      <c r="E133" s="597">
        <v>0.1</v>
      </c>
      <c r="F133" s="598">
        <v>15</v>
      </c>
    </row>
    <row r="134" ht="13.5" spans="1:6">
      <c r="A134" s="561">
        <v>60</v>
      </c>
      <c r="B134" s="579" t="s">
        <v>2547</v>
      </c>
      <c r="C134" s="561" t="s">
        <v>2548</v>
      </c>
      <c r="D134" s="548" t="s">
        <v>2549</v>
      </c>
      <c r="E134" s="597">
        <v>0.1</v>
      </c>
      <c r="F134" s="598">
        <v>15</v>
      </c>
    </row>
    <row r="135" ht="13.5" spans="1:6">
      <c r="A135" s="561">
        <v>61</v>
      </c>
      <c r="B135" s="587"/>
      <c r="C135" s="561" t="s">
        <v>2550</v>
      </c>
      <c r="D135" s="548" t="s">
        <v>2551</v>
      </c>
      <c r="E135" s="597">
        <v>0.1</v>
      </c>
      <c r="F135" s="598">
        <v>15</v>
      </c>
    </row>
    <row r="136" ht="24" spans="1:6">
      <c r="A136" s="561">
        <v>62</v>
      </c>
      <c r="B136" s="561" t="s">
        <v>2552</v>
      </c>
      <c r="C136" s="561" t="s">
        <v>2553</v>
      </c>
      <c r="D136" s="548" t="s">
        <v>2554</v>
      </c>
      <c r="E136" s="597">
        <v>0.1</v>
      </c>
      <c r="F136" s="598">
        <v>15</v>
      </c>
    </row>
    <row r="137" ht="13.5" spans="1:6">
      <c r="A137" s="561">
        <v>63</v>
      </c>
      <c r="B137" s="561" t="s">
        <v>2555</v>
      </c>
      <c r="C137" s="561" t="s">
        <v>2556</v>
      </c>
      <c r="D137" s="548" t="s">
        <v>2557</v>
      </c>
      <c r="E137" s="597">
        <v>0.1</v>
      </c>
      <c r="F137" s="598">
        <v>15</v>
      </c>
    </row>
    <row r="138" ht="13.5" spans="1:6">
      <c r="A138" s="561">
        <v>64</v>
      </c>
      <c r="B138" s="561"/>
      <c r="C138" s="561" t="s">
        <v>2558</v>
      </c>
      <c r="D138" s="548" t="s">
        <v>2559</v>
      </c>
      <c r="E138" s="597">
        <v>0.1</v>
      </c>
      <c r="F138" s="598">
        <v>15</v>
      </c>
    </row>
    <row r="139" ht="13.5" spans="1:6">
      <c r="A139" s="561">
        <v>65</v>
      </c>
      <c r="B139" s="561" t="s">
        <v>2560</v>
      </c>
      <c r="C139" s="561" t="s">
        <v>2561</v>
      </c>
      <c r="D139" s="548" t="s">
        <v>2562</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2563</v>
      </c>
      <c r="B1" s="500"/>
      <c r="C1" s="500"/>
      <c r="D1" s="500"/>
      <c r="E1" s="500"/>
      <c r="F1" s="500"/>
      <c r="G1" s="500"/>
      <c r="H1" s="500"/>
      <c r="I1" s="500"/>
      <c r="J1" s="500"/>
      <c r="K1" s="500"/>
      <c r="L1" s="500"/>
      <c r="M1" s="500"/>
      <c r="N1" s="501"/>
    </row>
    <row r="2" spans="1:20">
      <c r="A2" s="502" t="s">
        <v>2564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2565</v>
      </c>
      <c r="R2" s="507" t="s">
        <v>2566</v>
      </c>
      <c r="S2" s="507" t="s">
        <v>2567</v>
      </c>
      <c r="T2" s="507" t="s">
        <v>2568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2569</v>
      </c>
      <c r="B93" s="500"/>
      <c r="C93" s="500"/>
      <c r="D93" s="500"/>
      <c r="E93" s="500"/>
      <c r="F93" s="500"/>
      <c r="G93" s="500"/>
      <c r="H93" s="500"/>
      <c r="I93" s="500"/>
      <c r="J93" s="500"/>
      <c r="K93" s="500"/>
      <c r="L93" s="500"/>
      <c r="M93" s="500"/>
    </row>
    <row r="94" spans="1:20">
      <c r="A94" s="502" t="s">
        <v>2564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2565</v>
      </c>
      <c r="R94" s="507" t="s">
        <v>2566</v>
      </c>
      <c r="S94" s="507" t="s">
        <v>2567</v>
      </c>
      <c r="T94" s="507" t="s">
        <v>2568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2570</v>
      </c>
      <c r="B185" s="500"/>
      <c r="C185" s="500"/>
      <c r="D185" s="500"/>
      <c r="E185" s="500"/>
      <c r="F185" s="500"/>
      <c r="G185" s="500"/>
      <c r="H185" s="500"/>
      <c r="I185" s="500"/>
      <c r="J185" s="500"/>
      <c r="K185" s="500"/>
      <c r="L185" s="500"/>
      <c r="M185" s="500"/>
    </row>
    <row r="186" spans="1:20">
      <c r="A186" s="502" t="s">
        <v>2564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2565</v>
      </c>
      <c r="R186" s="507" t="s">
        <v>2566</v>
      </c>
      <c r="S186" s="507" t="s">
        <v>2567</v>
      </c>
      <c r="T186" s="507" t="s">
        <v>2568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2571</v>
      </c>
      <c r="B277" s="500"/>
      <c r="C277" s="500"/>
      <c r="D277" s="500"/>
      <c r="E277" s="500"/>
      <c r="F277" s="500"/>
      <c r="G277" s="500"/>
      <c r="H277" s="500"/>
      <c r="I277" s="500"/>
      <c r="J277" s="500"/>
      <c r="K277" s="500"/>
      <c r="L277" s="500"/>
      <c r="M277" s="500"/>
    </row>
    <row r="278" spans="1:21">
      <c r="A278" s="502" t="s">
        <v>2564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2565</v>
      </c>
      <c r="R278" s="507" t="s">
        <v>2566</v>
      </c>
      <c r="S278" s="507" t="s">
        <v>2572</v>
      </c>
      <c r="T278" s="507" t="s">
        <v>2573</v>
      </c>
      <c r="U278" s="507" t="s">
        <v>2568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2574</v>
      </c>
      <c r="B369" s="516"/>
      <c r="C369" s="516"/>
      <c r="D369" s="516"/>
      <c r="E369" s="516"/>
      <c r="F369" s="516"/>
      <c r="G369" s="516"/>
      <c r="H369" s="516"/>
      <c r="I369" s="516"/>
      <c r="J369" s="516"/>
      <c r="K369" s="516"/>
      <c r="L369" s="516"/>
      <c r="M369" s="516"/>
    </row>
    <row r="370" spans="1:20">
      <c r="A370" s="502" t="s">
        <v>2564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2565</v>
      </c>
      <c r="R370" s="507" t="s">
        <v>2566</v>
      </c>
      <c r="S370" s="507" t="s">
        <v>2567</v>
      </c>
      <c r="T370" s="507" t="s">
        <v>2568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2575</v>
      </c>
      <c r="B1" s="414"/>
      <c r="C1" s="415"/>
      <c r="D1" s="415"/>
      <c r="E1" s="415"/>
      <c r="F1" s="415"/>
      <c r="G1" s="416"/>
    </row>
    <row r="2" s="405" customFormat="1" ht="18" customHeight="1" spans="1:7">
      <c r="A2" s="417" t="s">
        <v>2576</v>
      </c>
      <c r="B2" s="418">
        <f ca="1">C52</f>
        <v>26562</v>
      </c>
      <c r="C2" s="419" t="s">
        <v>1707</v>
      </c>
      <c r="D2" s="416"/>
      <c r="E2" s="416"/>
      <c r="F2" s="416"/>
      <c r="G2" s="416"/>
    </row>
    <row r="3" s="405" customFormat="1" ht="18" customHeight="1" spans="1:7">
      <c r="A3" s="420" t="s">
        <v>2577</v>
      </c>
      <c r="B3" s="421">
        <f ca="1">ROUND(B2*10000/'数据-汇总表'!E3,0)</f>
        <v>1912724</v>
      </c>
      <c r="C3" s="419" t="s">
        <v>1968</v>
      </c>
      <c r="D3" s="416"/>
      <c r="E3" s="416"/>
      <c r="F3" s="416"/>
      <c r="G3" s="416"/>
    </row>
    <row r="4" s="406" customFormat="1" ht="15.75" spans="1:7">
      <c r="A4" s="422" t="s">
        <v>2578</v>
      </c>
      <c r="B4" s="423"/>
      <c r="C4" s="423"/>
      <c r="D4" s="423"/>
      <c r="E4" s="423"/>
      <c r="F4" s="423"/>
      <c r="G4" s="424"/>
    </row>
    <row r="5" s="407" customFormat="1" ht="13.5" customHeight="1" spans="1:7">
      <c r="A5" s="425" t="s">
        <v>1221</v>
      </c>
      <c r="B5" s="426" t="s">
        <v>2579</v>
      </c>
      <c r="C5" s="427">
        <f>C6+C7+C8</f>
        <v>20610</v>
      </c>
      <c r="D5" s="427" t="s">
        <v>2580</v>
      </c>
      <c r="E5" s="428" t="s">
        <v>2581</v>
      </c>
      <c r="F5" s="428" t="s">
        <v>2582</v>
      </c>
      <c r="G5" s="429"/>
    </row>
    <row r="6" s="407" customFormat="1" ht="13.5" customHeight="1" spans="1:7">
      <c r="A6" s="430" t="s">
        <v>1126</v>
      </c>
      <c r="B6" s="431" t="s">
        <v>2583</v>
      </c>
      <c r="C6" s="432">
        <v>20000</v>
      </c>
      <c r="D6" s="433"/>
      <c r="E6" s="434"/>
      <c r="F6" s="434"/>
      <c r="G6" s="435"/>
    </row>
    <row r="7" s="407" customFormat="1" ht="13.5" customHeight="1" spans="1:7">
      <c r="A7" s="430" t="s">
        <v>1128</v>
      </c>
      <c r="B7" s="431" t="s">
        <v>2584</v>
      </c>
      <c r="C7" s="436">
        <f>ROUND(C6*F7,0)</f>
        <v>610</v>
      </c>
      <c r="D7" s="436"/>
      <c r="E7" s="434"/>
      <c r="F7" s="437">
        <f>'数据-取费表'!B49+'数据-取费表'!B50</f>
        <v>0.0305</v>
      </c>
      <c r="G7" s="435"/>
    </row>
    <row r="8" s="408" customFormat="1" spans="1:7">
      <c r="A8" s="430" t="s">
        <v>1136</v>
      </c>
      <c r="B8" s="431" t="s">
        <v>2585</v>
      </c>
      <c r="C8" s="436" t="str">
        <f>IF(G8="已包含在土地购买价格中","0",'数据-取费表'!B29)</f>
        <v>0</v>
      </c>
      <c r="D8" s="438"/>
      <c r="E8" s="436"/>
      <c r="F8" s="437"/>
      <c r="G8" s="439" t="s">
        <v>2586</v>
      </c>
    </row>
    <row r="9" s="407" customFormat="1" ht="13.5" customHeight="1" spans="1:7">
      <c r="A9" s="440" t="s">
        <v>1143</v>
      </c>
      <c r="B9" s="441" t="s">
        <v>2587</v>
      </c>
      <c r="C9" s="442">
        <f>ROUND(D9*E9/10000,0)</f>
        <v>0</v>
      </c>
      <c r="D9" s="443">
        <f>'数据-汇总表'!E5</f>
        <v>0</v>
      </c>
      <c r="E9" s="442">
        <f>'数据-取费表'!B27</f>
        <v>160</v>
      </c>
      <c r="F9" s="437"/>
      <c r="G9" s="444"/>
    </row>
    <row r="10" s="407" customFormat="1" ht="13.5" customHeight="1" spans="1:7">
      <c r="A10" s="440" t="s">
        <v>1146</v>
      </c>
      <c r="B10" s="441" t="s">
        <v>2588</v>
      </c>
      <c r="C10" s="442">
        <f>ROUND(D10*E10/10000,0)</f>
        <v>3</v>
      </c>
      <c r="D10" s="443">
        <f>'数据-汇总表'!E6</f>
        <v>138.87</v>
      </c>
      <c r="E10" s="442">
        <f>'数据-取费表'!B28</f>
        <v>200</v>
      </c>
      <c r="F10" s="437"/>
      <c r="G10" s="444"/>
    </row>
    <row r="11" s="407" customFormat="1" ht="13.5" hidden="1" customHeight="1" spans="1:7">
      <c r="A11" s="445" t="s">
        <v>1226</v>
      </c>
      <c r="B11" s="431" t="s">
        <v>2589</v>
      </c>
      <c r="C11" s="427"/>
      <c r="D11" s="434"/>
      <c r="E11" s="434"/>
      <c r="F11" s="434"/>
      <c r="G11" s="435"/>
    </row>
    <row r="12" s="407" customFormat="1" ht="13.5" hidden="1" customHeight="1" spans="1:7">
      <c r="A12" s="445" t="s">
        <v>1228</v>
      </c>
      <c r="B12" s="431" t="s">
        <v>2590</v>
      </c>
      <c r="C12" s="427">
        <v>0</v>
      </c>
      <c r="D12" s="434"/>
      <c r="E12" s="446"/>
      <c r="F12" s="437">
        <v>0.0305</v>
      </c>
      <c r="G12" s="435"/>
    </row>
    <row r="13" s="407" customFormat="1" ht="13.5" hidden="1" customHeight="1" spans="1:7">
      <c r="A13" s="445" t="s">
        <v>1229</v>
      </c>
      <c r="B13" s="431" t="s">
        <v>2591</v>
      </c>
      <c r="C13" s="427"/>
      <c r="D13" s="434"/>
      <c r="E13" s="434"/>
      <c r="F13" s="434"/>
      <c r="G13" s="435"/>
    </row>
    <row r="14" s="407" customFormat="1" ht="13.5" hidden="1" customHeight="1" spans="1:7">
      <c r="A14" s="445" t="s">
        <v>1231</v>
      </c>
      <c r="B14" s="431" t="s">
        <v>2585</v>
      </c>
      <c r="C14" s="427"/>
      <c r="D14" s="434"/>
      <c r="E14" s="434"/>
      <c r="F14" s="434"/>
      <c r="G14" s="435" t="s">
        <v>2592</v>
      </c>
    </row>
    <row r="15" s="407" customFormat="1" ht="13.5" hidden="1" customHeight="1" spans="1:7">
      <c r="A15" s="445" t="s">
        <v>1233</v>
      </c>
      <c r="B15" s="431" t="s">
        <v>2593</v>
      </c>
      <c r="C15" s="436"/>
      <c r="D15" s="434"/>
      <c r="E15" s="434"/>
      <c r="F15" s="434"/>
      <c r="G15" s="435" t="s">
        <v>2594</v>
      </c>
    </row>
    <row r="16" s="407" customFormat="1" ht="13.5" hidden="1" customHeight="1" spans="1:7">
      <c r="A16" s="445" t="s">
        <v>1236</v>
      </c>
      <c r="B16" s="431" t="s">
        <v>2585</v>
      </c>
      <c r="C16" s="436"/>
      <c r="D16" s="434"/>
      <c r="E16" s="434"/>
      <c r="F16" s="434"/>
      <c r="G16" s="435"/>
    </row>
    <row r="17" s="407" customFormat="1" ht="13.5" hidden="1" customHeight="1" spans="1:7">
      <c r="A17" s="445" t="s">
        <v>1237</v>
      </c>
      <c r="B17" s="431" t="s">
        <v>2595</v>
      </c>
      <c r="C17" s="447"/>
      <c r="D17" s="447"/>
      <c r="E17" s="447"/>
      <c r="F17" s="447"/>
      <c r="G17" s="435" t="s">
        <v>2594</v>
      </c>
    </row>
    <row r="18" s="407" customFormat="1" ht="13.5" hidden="1" customHeight="1" spans="1:7">
      <c r="A18" s="445" t="s">
        <v>1239</v>
      </c>
      <c r="B18" s="431" t="s">
        <v>2596</v>
      </c>
      <c r="C18" s="436">
        <v>0</v>
      </c>
      <c r="D18" s="434"/>
      <c r="E18" s="434"/>
      <c r="F18" s="437">
        <v>0.0305</v>
      </c>
      <c r="G18" s="435" t="s">
        <v>2597</v>
      </c>
    </row>
    <row r="19" s="408" customFormat="1" ht="13.5" customHeight="1" spans="1:7">
      <c r="A19" s="448" t="s">
        <v>1130</v>
      </c>
      <c r="B19" s="426" t="s">
        <v>2598</v>
      </c>
      <c r="C19" s="427">
        <f>IF(G19="已包含在土地取得成本中","0",ROUND(D19*E19/10000,0))</f>
        <v>2</v>
      </c>
      <c r="D19" s="428">
        <f>'数据-汇总表'!E3</f>
        <v>138.87</v>
      </c>
      <c r="E19" s="427">
        <f>'数据-取费表'!B31</f>
        <v>130</v>
      </c>
      <c r="F19" s="449"/>
      <c r="G19" s="439" t="s">
        <v>2599</v>
      </c>
    </row>
    <row r="20" s="407" customFormat="1" ht="13.5" customHeight="1" spans="1:7">
      <c r="A20" s="448" t="s">
        <v>2169</v>
      </c>
      <c r="B20" s="426" t="s">
        <v>2600</v>
      </c>
      <c r="C20" s="450">
        <f>ROUND((C5+C19)*F20,0)</f>
        <v>412</v>
      </c>
      <c r="D20" s="450"/>
      <c r="E20" s="450"/>
      <c r="F20" s="451">
        <f>'数据-取费表'!B38</f>
        <v>0.02</v>
      </c>
      <c r="G20" s="452" t="s">
        <v>2601</v>
      </c>
    </row>
    <row r="21" s="407" customFormat="1" ht="13.5" customHeight="1" spans="1:7">
      <c r="A21" s="448" t="s">
        <v>2101</v>
      </c>
      <c r="B21" s="426" t="s">
        <v>2602</v>
      </c>
      <c r="C21" s="453">
        <f>F21</f>
        <v>0.02</v>
      </c>
      <c r="D21" s="454" t="s">
        <v>2603</v>
      </c>
      <c r="E21" s="450"/>
      <c r="F21" s="451">
        <f>'数据-取费表'!B39</f>
        <v>0.02</v>
      </c>
      <c r="G21" s="455" t="s">
        <v>2604</v>
      </c>
    </row>
    <row r="22" s="407" customFormat="1" ht="13.5" customHeight="1" spans="1:7">
      <c r="A22" s="448" t="s">
        <v>2064</v>
      </c>
      <c r="B22" s="426" t="s">
        <v>2605</v>
      </c>
      <c r="C22" s="456">
        <f ca="1">ROUND(SUM(C23:C25),0)</f>
        <v>624</v>
      </c>
      <c r="D22" s="453">
        <f ca="1">C26</f>
        <v>0.0003</v>
      </c>
      <c r="E22" s="454" t="s">
        <v>2603</v>
      </c>
      <c r="F22" s="457">
        <f ca="1">'数据-取费表'!B41</f>
        <v>0.03</v>
      </c>
      <c r="G22" s="452" t="str">
        <f>IF('数据-取费表'!B22&lt;=1,"单利计息","复利计息")</f>
        <v>单利计息</v>
      </c>
    </row>
    <row r="23" s="407" customFormat="1" ht="13.5" customHeight="1" spans="1:7">
      <c r="A23" s="458" t="s">
        <v>1126</v>
      </c>
      <c r="B23" s="431" t="s">
        <v>2606</v>
      </c>
      <c r="C23" s="459">
        <f ca="1">ROUND(IF('数据-取费表'!B22&lt;=1,C5*F22*'数据-取费表'!B23,C5*(POWER((1+F22),'数据-取费表'!B23)-1)),0)</f>
        <v>618</v>
      </c>
      <c r="D23" s="460"/>
      <c r="E23" s="460"/>
      <c r="F23" s="461"/>
      <c r="G23" s="462" t="s">
        <v>2607</v>
      </c>
    </row>
    <row r="24" s="407" customFormat="1" ht="13.5" customHeight="1" spans="1:7">
      <c r="A24" s="458" t="s">
        <v>1128</v>
      </c>
      <c r="B24" s="431" t="s">
        <v>2608</v>
      </c>
      <c r="C24" s="459">
        <f ca="1">ROUND(IF('数据-取费表'!B22&lt;=1,C19*F22*('数据-取费表'!B19/2+'数据-取费表'!B21),C19*(POWER((1+F22),('数据-取费表'!B19/2+'数据-取费表'!B21))-1)),0)</f>
        <v>0</v>
      </c>
      <c r="D24" s="460"/>
      <c r="E24" s="460"/>
      <c r="F24" s="461"/>
      <c r="G24" s="462" t="s">
        <v>2609</v>
      </c>
    </row>
    <row r="25" s="407" customFormat="1" ht="24" spans="1:7">
      <c r="A25" s="458" t="s">
        <v>1136</v>
      </c>
      <c r="B25" s="431" t="s">
        <v>2610</v>
      </c>
      <c r="C25" s="459">
        <f ca="1">ROUND(IF('数据-取费表'!B22&lt;=1,C20*F22*'数据-取费表'!B23/2,C20*(POWER((1+F22),'数据-取费表'!B23/2)-1)),0)</f>
        <v>6</v>
      </c>
      <c r="D25" s="460"/>
      <c r="E25" s="463"/>
      <c r="F25" s="461"/>
      <c r="G25" s="464" t="s">
        <v>2611</v>
      </c>
    </row>
    <row r="26" s="407" customFormat="1" spans="1:7">
      <c r="A26" s="458" t="s">
        <v>1169</v>
      </c>
      <c r="B26" s="431" t="s">
        <v>2612</v>
      </c>
      <c r="C26" s="460">
        <f ca="1">ROUND(IF('数据-取费表'!B22&lt;=1,F21*F22*'数据-取费表'!B23/2,F21*(POWER((1+F22),'数据-取费表'!B23/2)-1)),4)</f>
        <v>0.0003</v>
      </c>
      <c r="D26" s="460"/>
      <c r="E26" s="463"/>
      <c r="F26" s="461"/>
      <c r="G26" s="465"/>
    </row>
    <row r="27" s="407" customFormat="1" ht="24.75" spans="1:7">
      <c r="A27" s="448" t="s">
        <v>2065</v>
      </c>
      <c r="B27" s="466" t="s">
        <v>2613</v>
      </c>
      <c r="C27" s="467">
        <f>C28</f>
        <v>4205</v>
      </c>
      <c r="D27" s="453">
        <f>C29</f>
        <v>0.004</v>
      </c>
      <c r="E27" s="454" t="s">
        <v>2603</v>
      </c>
      <c r="F27" s="468">
        <f>'数据-取费表'!Q16</f>
        <v>0.2</v>
      </c>
      <c r="G27" s="469" t="s">
        <v>2614</v>
      </c>
    </row>
    <row r="28" s="407" customFormat="1" ht="13.5" customHeight="1" spans="1:7">
      <c r="A28" s="458" t="s">
        <v>1126</v>
      </c>
      <c r="B28" s="470" t="s">
        <v>2615</v>
      </c>
      <c r="C28" s="471">
        <f>ROUND((C5+C19+C20)*F27*'数据-取费表'!B21/'数据-取费表'!B20,0)</f>
        <v>4205</v>
      </c>
      <c r="D28" s="453"/>
      <c r="E28" s="454"/>
      <c r="F28" s="468"/>
      <c r="G28" s="469"/>
    </row>
    <row r="29" s="407" customFormat="1" ht="13.5" customHeight="1" spans="1:7">
      <c r="A29" s="458" t="s">
        <v>1128</v>
      </c>
      <c r="B29" s="470" t="s">
        <v>2616</v>
      </c>
      <c r="C29" s="460">
        <f>ROUND(C21*F27*'数据-取费表'!B21/'数据-取费表'!B20,4)</f>
        <v>0.004</v>
      </c>
      <c r="D29" s="453"/>
      <c r="E29" s="454"/>
      <c r="F29" s="468"/>
      <c r="G29" s="469"/>
    </row>
    <row r="30" s="407" customFormat="1" ht="13.5" customHeight="1" spans="1:7">
      <c r="A30" s="448" t="s">
        <v>1202</v>
      </c>
      <c r="B30" s="426" t="s">
        <v>2617</v>
      </c>
      <c r="C30" s="453">
        <f>F30</f>
        <v>0</v>
      </c>
      <c r="D30" s="454" t="s">
        <v>2618</v>
      </c>
      <c r="E30" s="463"/>
      <c r="F30" s="457">
        <f>'数据-取费表'!B42</f>
        <v>0</v>
      </c>
      <c r="G30" s="455" t="s">
        <v>2619</v>
      </c>
    </row>
    <row r="31" ht="16.5" customHeight="1" spans="1:7">
      <c r="A31" s="472">
        <v>1</v>
      </c>
      <c r="B31" s="426" t="s">
        <v>2620</v>
      </c>
      <c r="C31" s="427">
        <f ca="1">ROUND((C5+C19+C20+C22+C27)/(1-C21-D22-D27-C30/(1+'数据-取费表'!B43)),0)</f>
        <v>26497</v>
      </c>
      <c r="D31" s="473"/>
      <c r="E31" s="427"/>
      <c r="F31" s="474"/>
      <c r="G31" s="455" t="s">
        <v>2621</v>
      </c>
    </row>
    <row r="32" s="406" customFormat="1" ht="15.75" spans="1:7">
      <c r="A32" s="475" t="s">
        <v>2622</v>
      </c>
      <c r="B32" s="476"/>
      <c r="C32" s="476"/>
      <c r="D32" s="476"/>
      <c r="E32" s="476"/>
      <c r="F32" s="476"/>
      <c r="G32" s="477"/>
    </row>
    <row r="33" s="407" customFormat="1" ht="13.5" customHeight="1" spans="1:7">
      <c r="A33" s="425" t="s">
        <v>1221</v>
      </c>
      <c r="B33" s="426" t="s">
        <v>2623</v>
      </c>
      <c r="C33" s="478">
        <f>SUM(C34:C38)</f>
        <v>58</v>
      </c>
      <c r="D33" s="450"/>
      <c r="E33" s="428"/>
      <c r="F33" s="463"/>
      <c r="G33" s="455"/>
    </row>
    <row r="34" s="409" customFormat="1" ht="13.5" customHeight="1" spans="1:7">
      <c r="A34" s="458" t="s">
        <v>1126</v>
      </c>
      <c r="B34" s="431" t="s">
        <v>2624</v>
      </c>
      <c r="C34" s="436">
        <f>IF(F34=100%,'数据-取费表'!M16-SUMIF('数据-取费表'!C:C,"公共配套",'数据-取费表'!M:M),'数据-取费表'!O16-SUMIF('数据-取费表'!C:C,"公共配套",'数据-取费表'!O:O))</f>
        <v>50</v>
      </c>
      <c r="D34" s="433"/>
      <c r="E34" s="436"/>
      <c r="F34" s="479">
        <f>IF('数据-取费表'!B24=0,1,'数据-取费表'!N16)</f>
        <v>1</v>
      </c>
      <c r="G34" s="435" t="s">
        <v>2625</v>
      </c>
    </row>
    <row r="35" ht="13.5" customHeight="1" spans="1:7">
      <c r="A35" s="458" t="s">
        <v>1128</v>
      </c>
      <c r="B35" s="431" t="s">
        <v>2626</v>
      </c>
      <c r="C35" s="436">
        <f>ROUND(C34*F35,0)</f>
        <v>3</v>
      </c>
      <c r="D35" s="436"/>
      <c r="E35" s="436"/>
      <c r="F35" s="480">
        <f>'数据-取费表'!B33</f>
        <v>0.06</v>
      </c>
      <c r="G35" s="435" t="s">
        <v>2627</v>
      </c>
    </row>
    <row r="36" ht="24" spans="1:7">
      <c r="A36" s="458" t="s">
        <v>1136</v>
      </c>
      <c r="B36" s="431" t="s">
        <v>2628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2629</v>
      </c>
    </row>
    <row r="37" s="409" customFormat="1" ht="13.5" customHeight="1" spans="1:7">
      <c r="A37" s="458" t="s">
        <v>1169</v>
      </c>
      <c r="B37" s="431" t="s">
        <v>2630</v>
      </c>
      <c r="C37" s="471">
        <f>ROUND(E37*D37*F34/10000,0)</f>
        <v>4</v>
      </c>
      <c r="D37" s="433">
        <f>'数据-汇总表'!E3</f>
        <v>138.87</v>
      </c>
      <c r="E37" s="471">
        <f>'数据-取费表'!B35</f>
        <v>300</v>
      </c>
      <c r="F37" s="480"/>
      <c r="G37" s="482" t="s">
        <v>2631</v>
      </c>
    </row>
    <row r="38" ht="13.5" customHeight="1" spans="1:7">
      <c r="A38" s="458" t="s">
        <v>1152</v>
      </c>
      <c r="B38" s="431" t="s">
        <v>2590</v>
      </c>
      <c r="C38" s="436">
        <f>ROUND(C34*F38,0)</f>
        <v>1</v>
      </c>
      <c r="D38" s="436"/>
      <c r="E38" s="436"/>
      <c r="F38" s="480">
        <f>'数据-取费表'!B36</f>
        <v>0.01</v>
      </c>
      <c r="G38" s="435" t="s">
        <v>2627</v>
      </c>
    </row>
    <row r="39" s="407" customFormat="1" ht="13.5" customHeight="1" spans="1:7">
      <c r="A39" s="448" t="s">
        <v>1130</v>
      </c>
      <c r="B39" s="426" t="s">
        <v>2600</v>
      </c>
      <c r="C39" s="450">
        <f>ROUND(C33*F20,0)</f>
        <v>1</v>
      </c>
      <c r="D39" s="450"/>
      <c r="E39" s="450"/>
      <c r="F39" s="451"/>
      <c r="G39" s="452" t="s">
        <v>2319</v>
      </c>
    </row>
    <row r="40" s="407" customFormat="1" ht="13.5" customHeight="1" spans="1:7">
      <c r="A40" s="448" t="s">
        <v>2169</v>
      </c>
      <c r="B40" s="426" t="s">
        <v>2602</v>
      </c>
      <c r="C40" s="483">
        <f>F21</f>
        <v>0.02</v>
      </c>
      <c r="D40" s="454" t="s">
        <v>2632</v>
      </c>
      <c r="E40" s="450"/>
      <c r="F40" s="451"/>
      <c r="G40" s="455" t="s">
        <v>2633</v>
      </c>
    </row>
    <row r="41" s="407" customFormat="1" ht="13.5" customHeight="1" spans="1:7">
      <c r="A41" s="448" t="s">
        <v>2101</v>
      </c>
      <c r="B41" s="426" t="s">
        <v>2605</v>
      </c>
      <c r="C41" s="450">
        <f ca="1">ROUND(SUM(C42:C43),0)</f>
        <v>1</v>
      </c>
      <c r="D41" s="453">
        <f ca="1">C44</f>
        <v>0.0003</v>
      </c>
      <c r="E41" s="454" t="s">
        <v>2632</v>
      </c>
      <c r="F41" s="457"/>
      <c r="G41" s="452" t="str">
        <f>IF('数据-取费表'!B22&lt;=1,"单利计息","复利计息")</f>
        <v>单利计息</v>
      </c>
    </row>
    <row r="42" ht="13.5" customHeight="1" spans="1:7">
      <c r="A42" s="458" t="s">
        <v>1126</v>
      </c>
      <c r="B42" s="431" t="s">
        <v>2606</v>
      </c>
      <c r="C42" s="460">
        <f ca="1">ROUND(IF('数据-取费表'!B22&lt;=1,C33*F22*'数据-取费表'!B21/2,C33*(POWER((1+F22),'数据-取费表'!B21/2)-1)),0)</f>
        <v>1</v>
      </c>
      <c r="D42" s="460"/>
      <c r="E42" s="460"/>
      <c r="F42" s="461"/>
      <c r="G42" s="484" t="s">
        <v>2634</v>
      </c>
    </row>
    <row r="43" ht="13.5" customHeight="1" spans="1:7">
      <c r="A43" s="458" t="s">
        <v>1128</v>
      </c>
      <c r="B43" s="431" t="s">
        <v>2608</v>
      </c>
      <c r="C43" s="460">
        <f ca="1">ROUND(IF('数据-取费表'!B22&lt;=1,C39*F22*'数据-取费表'!B21/2,C39*(POWER((1+F22),'数据-取费表'!B21/2)-1)),0)</f>
        <v>0</v>
      </c>
      <c r="D43" s="460"/>
      <c r="E43" s="460"/>
      <c r="F43" s="461"/>
      <c r="G43" s="485"/>
    </row>
    <row r="44" ht="13.5" customHeight="1" spans="1:7">
      <c r="A44" s="458" t="s">
        <v>1136</v>
      </c>
      <c r="B44" s="431" t="s">
        <v>2610</v>
      </c>
      <c r="C44" s="460">
        <f ca="1">ROUND(IF('数据-取费表'!B22&lt;=1,C40*F22*'数据-取费表'!B21/2,C40*(POWER((1+F22),'数据-取费表'!B21/2)-1)),4)</f>
        <v>0.0003</v>
      </c>
      <c r="D44" s="460"/>
      <c r="E44" s="460"/>
      <c r="F44" s="461"/>
      <c r="G44" s="486"/>
    </row>
    <row r="45" s="407" customFormat="1" ht="13.5" customHeight="1" spans="1:7">
      <c r="A45" s="448" t="s">
        <v>2064</v>
      </c>
      <c r="B45" s="466" t="s">
        <v>2613</v>
      </c>
      <c r="C45" s="467">
        <f>C46</f>
        <v>12</v>
      </c>
      <c r="D45" s="453">
        <f>C47</f>
        <v>0.004</v>
      </c>
      <c r="E45" s="454" t="s">
        <v>2632</v>
      </c>
      <c r="F45" s="468"/>
      <c r="G45" s="469" t="s">
        <v>2635</v>
      </c>
    </row>
    <row r="46" s="407" customFormat="1" ht="13.5" customHeight="1" spans="1:7">
      <c r="A46" s="458" t="s">
        <v>1126</v>
      </c>
      <c r="B46" s="470" t="s">
        <v>2636</v>
      </c>
      <c r="C46" s="471">
        <f>ROUND((C33+C39)*F27,0)</f>
        <v>12</v>
      </c>
      <c r="D46" s="487"/>
      <c r="E46" s="454"/>
      <c r="F46" s="468"/>
      <c r="G46" s="469"/>
    </row>
    <row r="47" s="407" customFormat="1" ht="13.5" customHeight="1" spans="1:7">
      <c r="A47" s="458" t="s">
        <v>1128</v>
      </c>
      <c r="B47" s="470" t="s">
        <v>2637</v>
      </c>
      <c r="C47" s="460">
        <f>ROUND(C40*F27,4)</f>
        <v>0.004</v>
      </c>
      <c r="D47" s="487"/>
      <c r="E47" s="454"/>
      <c r="F47" s="468"/>
      <c r="G47" s="469"/>
    </row>
    <row r="48" s="407" customFormat="1" ht="13.5" customHeight="1" spans="1:7">
      <c r="A48" s="448" t="s">
        <v>2065</v>
      </c>
      <c r="B48" s="426" t="s">
        <v>2617</v>
      </c>
      <c r="C48" s="483">
        <f>F30</f>
        <v>0</v>
      </c>
      <c r="D48" s="454" t="s">
        <v>2638</v>
      </c>
      <c r="E48" s="450"/>
      <c r="F48" s="457"/>
      <c r="G48" s="455" t="s">
        <v>2639</v>
      </c>
    </row>
    <row r="49" ht="16.5" customHeight="1" spans="1:7">
      <c r="A49" s="448" t="s">
        <v>1202</v>
      </c>
      <c r="B49" s="426" t="s">
        <v>2640</v>
      </c>
      <c r="C49" s="450">
        <f ca="1">ROUND((C33+C39+C41+C45)/(1-C40-D41-D45-C48/(1+'数据-取费表'!B43)),0)</f>
        <v>74</v>
      </c>
      <c r="D49" s="450"/>
      <c r="E49" s="450"/>
      <c r="F49" s="488"/>
      <c r="G49" s="455" t="s">
        <v>2641</v>
      </c>
    </row>
    <row r="50" s="409" customFormat="1" ht="24" spans="1:7">
      <c r="A50" s="448" t="s">
        <v>1205</v>
      </c>
      <c r="B50" s="426" t="s">
        <v>2642</v>
      </c>
      <c r="C50" s="450"/>
      <c r="D50" s="450"/>
      <c r="E50" s="450"/>
      <c r="F50" s="488">
        <f>IF('数据-取费表'!B24=0,'数据-取费表'!N16,1)</f>
        <v>0.875</v>
      </c>
      <c r="G50" s="469" t="s">
        <v>2643</v>
      </c>
    </row>
    <row r="51" ht="16.5" customHeight="1" spans="1:7">
      <c r="A51" s="448" t="s">
        <v>1627</v>
      </c>
      <c r="B51" s="426" t="s">
        <v>2644</v>
      </c>
      <c r="C51" s="450">
        <f ca="1">ROUND(C49*F50,0)</f>
        <v>65</v>
      </c>
      <c r="D51" s="450"/>
      <c r="E51" s="450"/>
      <c r="F51" s="488"/>
      <c r="G51" s="455" t="s">
        <v>2645</v>
      </c>
    </row>
    <row r="52" s="406" customFormat="1" ht="16.5" spans="1:7">
      <c r="A52" s="489" t="s">
        <v>2646</v>
      </c>
      <c r="B52" s="490"/>
      <c r="C52" s="491">
        <f ca="1">C31+C51</f>
        <v>26562</v>
      </c>
      <c r="D52" s="490"/>
      <c r="E52" s="490"/>
      <c r="F52" s="490"/>
      <c r="G52" s="492"/>
    </row>
    <row r="55" ht="15" spans="1:7">
      <c r="B55" s="493" t="s">
        <v>2647</v>
      </c>
      <c r="C55" s="494"/>
    </row>
    <row r="56" spans="1:7">
      <c r="B56" s="495" t="s">
        <v>2648</v>
      </c>
      <c r="C56" s="496">
        <f ca="1">ROUND(C51/C52,3)</f>
        <v>0.002</v>
      </c>
    </row>
    <row r="57" spans="1:7">
      <c r="B57" s="495" t="s">
        <v>2649</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2650</v>
      </c>
      <c r="B1" s="371"/>
    </row>
    <row r="2" ht="14.25" spans="1:7">
      <c r="A2" s="371"/>
      <c r="B2" s="371"/>
    </row>
    <row r="3" ht="14.25" spans="1:7">
      <c r="A3" s="371"/>
      <c r="B3" s="371"/>
      <c r="C3" s="372" t="s">
        <v>229</v>
      </c>
      <c r="D3" s="372" t="s">
        <v>230</v>
      </c>
      <c r="E3" s="372" t="s">
        <v>232</v>
      </c>
      <c r="F3" s="372" t="s">
        <v>233</v>
      </c>
      <c r="G3" s="372" t="s">
        <v>231</v>
      </c>
    </row>
    <row r="4" ht="14.25" spans="1:7">
      <c r="A4" s="373" t="s">
        <v>2651</v>
      </c>
      <c r="B4" s="374" t="s">
        <v>2652</v>
      </c>
      <c r="C4" s="372"/>
      <c r="D4" s="372"/>
      <c r="E4" s="372"/>
      <c r="F4" s="372"/>
      <c r="G4" s="372"/>
    </row>
    <row r="5" spans="1:7">
      <c r="A5" s="375" t="s">
        <v>235</v>
      </c>
      <c r="B5" s="376" t="s">
        <v>2653</v>
      </c>
      <c r="C5" s="377">
        <v>0.098</v>
      </c>
      <c r="D5" s="377">
        <v>0.087</v>
      </c>
      <c r="E5" s="377">
        <v>0.087</v>
      </c>
      <c r="F5" s="377">
        <v>0.098</v>
      </c>
      <c r="G5" s="378">
        <v>0.095</v>
      </c>
    </row>
    <row r="6" spans="1:7">
      <c r="A6" s="379" t="s">
        <v>235</v>
      </c>
      <c r="B6" s="380" t="s">
        <v>2654</v>
      </c>
      <c r="C6" s="381">
        <v>0.098</v>
      </c>
      <c r="D6" s="381">
        <v>0.098</v>
      </c>
      <c r="E6" s="381">
        <v>0.098</v>
      </c>
      <c r="F6" s="381">
        <v>0.1</v>
      </c>
      <c r="G6" s="382">
        <v>0.099</v>
      </c>
    </row>
    <row r="7" spans="1:7">
      <c r="A7" s="379" t="s">
        <v>235</v>
      </c>
      <c r="B7" s="380" t="s">
        <v>2655</v>
      </c>
      <c r="C7" s="381">
        <v>0.097</v>
      </c>
      <c r="D7" s="381">
        <v>0.097</v>
      </c>
      <c r="E7" s="381">
        <v>0.096</v>
      </c>
      <c r="F7" s="381">
        <v>0.1</v>
      </c>
      <c r="G7" s="382">
        <v>0.098</v>
      </c>
    </row>
    <row r="8" spans="1:7">
      <c r="A8" s="379" t="s">
        <v>235</v>
      </c>
      <c r="B8" s="380" t="s">
        <v>2656</v>
      </c>
      <c r="C8" s="381">
        <v>0.081</v>
      </c>
      <c r="D8" s="381">
        <v>0.082</v>
      </c>
      <c r="E8" s="381">
        <v>0.07</v>
      </c>
      <c r="F8" s="381">
        <v>0.096</v>
      </c>
      <c r="G8" s="382">
        <v>0.089</v>
      </c>
    </row>
    <row r="9" ht="14.25" spans="1:7">
      <c r="A9" s="383" t="s">
        <v>235</v>
      </c>
      <c r="B9" s="384" t="s">
        <v>2657</v>
      </c>
      <c r="C9" s="385">
        <v>0.1</v>
      </c>
      <c r="D9" s="385">
        <v>0.1</v>
      </c>
      <c r="E9" s="385">
        <v>0.1</v>
      </c>
      <c r="F9" s="386"/>
      <c r="G9" s="387">
        <v>0.1</v>
      </c>
    </row>
    <row r="10" spans="1:7">
      <c r="A10" s="375" t="s">
        <v>251</v>
      </c>
      <c r="B10" s="376" t="s">
        <v>2658</v>
      </c>
      <c r="C10" s="377">
        <v>0.067</v>
      </c>
      <c r="D10" s="377">
        <v>0.079</v>
      </c>
      <c r="E10" s="377">
        <v>0.079</v>
      </c>
      <c r="F10" s="377">
        <v>0.1</v>
      </c>
      <c r="G10" s="378">
        <v>0.091</v>
      </c>
    </row>
    <row r="11" spans="1:7">
      <c r="A11" s="379" t="s">
        <v>251</v>
      </c>
      <c r="B11" s="380" t="s">
        <v>2659</v>
      </c>
      <c r="C11" s="381">
        <v>0.05</v>
      </c>
      <c r="D11" s="381">
        <v>0.053</v>
      </c>
      <c r="E11" s="381">
        <v>0.063</v>
      </c>
      <c r="F11" s="381">
        <v>0.1</v>
      </c>
      <c r="G11" s="382">
        <v>0.072</v>
      </c>
    </row>
    <row r="12" spans="1:7">
      <c r="A12" s="379" t="s">
        <v>251</v>
      </c>
      <c r="B12" s="380" t="s">
        <v>2660</v>
      </c>
      <c r="C12" s="381">
        <v>0.053</v>
      </c>
      <c r="D12" s="381">
        <v>0.09</v>
      </c>
      <c r="E12" s="381">
        <v>0.072</v>
      </c>
      <c r="F12" s="381">
        <v>0.1</v>
      </c>
      <c r="G12" s="382">
        <v>0.097</v>
      </c>
    </row>
    <row r="13" spans="1:7">
      <c r="A13" s="379" t="s">
        <v>251</v>
      </c>
      <c r="B13" s="380" t="s">
        <v>2661</v>
      </c>
      <c r="C13" s="381">
        <v>0.097</v>
      </c>
      <c r="D13" s="381">
        <v>0.092</v>
      </c>
      <c r="E13" s="381">
        <v>0.095</v>
      </c>
      <c r="F13" s="381">
        <v>0.1</v>
      </c>
      <c r="G13" s="382">
        <v>0.097</v>
      </c>
    </row>
    <row r="14" spans="1:7">
      <c r="A14" s="379" t="s">
        <v>251</v>
      </c>
      <c r="B14" s="380" t="s">
        <v>2662</v>
      </c>
      <c r="C14" s="381">
        <v>0.097</v>
      </c>
      <c r="D14" s="381">
        <v>0.097</v>
      </c>
      <c r="E14" s="381">
        <v>0.097</v>
      </c>
      <c r="F14" s="381">
        <v>0.1</v>
      </c>
      <c r="G14" s="382">
        <v>0.098</v>
      </c>
    </row>
    <row r="15" spans="1:7">
      <c r="A15" s="379" t="s">
        <v>251</v>
      </c>
      <c r="B15" s="380" t="s">
        <v>2663</v>
      </c>
      <c r="C15" s="381">
        <v>0.098</v>
      </c>
      <c r="D15" s="381">
        <v>0.091</v>
      </c>
      <c r="E15" s="381">
        <v>0.06</v>
      </c>
      <c r="F15" s="381">
        <v>0.1</v>
      </c>
      <c r="G15" s="382">
        <v>0.097</v>
      </c>
    </row>
    <row r="16" spans="1:7">
      <c r="A16" s="379" t="s">
        <v>251</v>
      </c>
      <c r="B16" s="380" t="s">
        <v>2664</v>
      </c>
      <c r="C16" s="381">
        <v>0.098</v>
      </c>
      <c r="D16" s="381">
        <v>0.097</v>
      </c>
      <c r="E16" s="381">
        <v>0.095</v>
      </c>
      <c r="F16" s="381">
        <v>0.1</v>
      </c>
      <c r="G16" s="382">
        <v>0.099</v>
      </c>
    </row>
    <row r="17" spans="1:7">
      <c r="A17" s="379" t="s">
        <v>251</v>
      </c>
      <c r="B17" s="380" t="s">
        <v>2665</v>
      </c>
      <c r="C17" s="381">
        <v>0.089</v>
      </c>
      <c r="D17" s="381">
        <v>0.092</v>
      </c>
      <c r="E17" s="381">
        <v>0.061</v>
      </c>
      <c r="F17" s="381">
        <v>0.1</v>
      </c>
      <c r="G17" s="382">
        <v>0.097</v>
      </c>
    </row>
    <row r="18" spans="1:7">
      <c r="A18" s="379" t="s">
        <v>251</v>
      </c>
      <c r="B18" s="380" t="s">
        <v>2666</v>
      </c>
      <c r="C18" s="381">
        <v>0.098</v>
      </c>
      <c r="D18" s="381">
        <v>0.098</v>
      </c>
      <c r="E18" s="381">
        <v>0.098</v>
      </c>
      <c r="F18" s="388"/>
      <c r="G18" s="382">
        <v>0.099</v>
      </c>
    </row>
    <row r="19" spans="1:7">
      <c r="A19" s="379" t="s">
        <v>251</v>
      </c>
      <c r="B19" s="380" t="s">
        <v>2667</v>
      </c>
      <c r="C19" s="381">
        <v>0.099</v>
      </c>
      <c r="D19" s="381">
        <v>0.074</v>
      </c>
      <c r="E19" s="381">
        <v>0.081</v>
      </c>
      <c r="F19" s="388"/>
      <c r="G19" s="382">
        <v>0.093</v>
      </c>
    </row>
    <row r="20" spans="1:7">
      <c r="A20" s="379" t="s">
        <v>251</v>
      </c>
      <c r="B20" s="380" t="s">
        <v>2668</v>
      </c>
      <c r="C20" s="381">
        <v>0.1</v>
      </c>
      <c r="D20" s="381">
        <v>0.089</v>
      </c>
      <c r="E20" s="381">
        <v>0.089</v>
      </c>
      <c r="F20" s="388"/>
      <c r="G20" s="382">
        <v>0.095</v>
      </c>
    </row>
    <row r="21" spans="1:7">
      <c r="A21" s="379" t="s">
        <v>251</v>
      </c>
      <c r="B21" s="380" t="s">
        <v>2669</v>
      </c>
      <c r="C21" s="381">
        <v>0.1</v>
      </c>
      <c r="D21" s="381">
        <v>0.091</v>
      </c>
      <c r="E21" s="381">
        <v>0.082</v>
      </c>
      <c r="F21" s="388"/>
      <c r="G21" s="382">
        <v>0.097</v>
      </c>
    </row>
    <row r="22" spans="1:7">
      <c r="A22" s="379" t="s">
        <v>251</v>
      </c>
      <c r="B22" s="380" t="s">
        <v>2670</v>
      </c>
      <c r="C22" s="381">
        <v>0.095</v>
      </c>
      <c r="D22" s="381">
        <v>0.099</v>
      </c>
      <c r="E22" s="381">
        <v>0.098</v>
      </c>
      <c r="F22" s="388"/>
      <c r="G22" s="382">
        <v>0.1</v>
      </c>
    </row>
    <row r="23" spans="1:7">
      <c r="A23" s="379" t="s">
        <v>251</v>
      </c>
      <c r="B23" s="380" t="s">
        <v>2671</v>
      </c>
      <c r="C23" s="381">
        <v>0.099</v>
      </c>
      <c r="D23" s="381">
        <v>0.1</v>
      </c>
      <c r="E23" s="381">
        <v>0.1</v>
      </c>
      <c r="F23" s="388"/>
      <c r="G23" s="382">
        <v>0.1</v>
      </c>
    </row>
    <row r="24" spans="1:7">
      <c r="A24" s="379" t="s">
        <v>251</v>
      </c>
      <c r="B24" s="380" t="s">
        <v>2672</v>
      </c>
      <c r="C24" s="381">
        <v>0.095</v>
      </c>
      <c r="D24" s="381">
        <v>0.1</v>
      </c>
      <c r="E24" s="381">
        <v>0.098</v>
      </c>
      <c r="F24" s="388"/>
      <c r="G24" s="382">
        <v>0.1</v>
      </c>
    </row>
    <row r="25" spans="1:7">
      <c r="A25" s="379" t="s">
        <v>251</v>
      </c>
      <c r="B25" s="380" t="s">
        <v>2673</v>
      </c>
      <c r="C25" s="381">
        <v>0.05</v>
      </c>
      <c r="D25" s="381">
        <v>0.096</v>
      </c>
      <c r="E25" s="381">
        <v>0.096</v>
      </c>
      <c r="F25" s="388"/>
      <c r="G25" s="382">
        <v>0.096</v>
      </c>
    </row>
    <row r="26" spans="1:7">
      <c r="A26" s="379" t="s">
        <v>251</v>
      </c>
      <c r="B26" s="380" t="s">
        <v>2674</v>
      </c>
      <c r="C26" s="381">
        <v>0.063</v>
      </c>
      <c r="D26" s="381">
        <v>0.099</v>
      </c>
      <c r="E26" s="381">
        <v>0.098</v>
      </c>
      <c r="F26" s="388"/>
      <c r="G26" s="382">
        <v>0.1</v>
      </c>
    </row>
    <row r="27" spans="1:7">
      <c r="A27" s="379" t="s">
        <v>251</v>
      </c>
      <c r="B27" s="380" t="s">
        <v>2675</v>
      </c>
      <c r="C27" s="381">
        <v>0.052</v>
      </c>
      <c r="D27" s="381">
        <v>0.095</v>
      </c>
      <c r="E27" s="381">
        <v>0.064</v>
      </c>
      <c r="F27" s="388"/>
      <c r="G27" s="382">
        <v>0.097</v>
      </c>
    </row>
    <row r="28" spans="1:7">
      <c r="A28" s="379" t="s">
        <v>251</v>
      </c>
      <c r="B28" s="380" t="s">
        <v>2676</v>
      </c>
      <c r="C28" s="388"/>
      <c r="D28" s="381">
        <v>0.063</v>
      </c>
      <c r="E28" s="381">
        <v>0.052</v>
      </c>
      <c r="F28" s="388"/>
      <c r="G28" s="382">
        <v>0.063</v>
      </c>
    </row>
    <row r="29" ht="14.25" spans="1:7">
      <c r="A29" s="383" t="s">
        <v>251</v>
      </c>
      <c r="B29" s="384" t="s">
        <v>2677</v>
      </c>
      <c r="C29" s="389"/>
      <c r="D29" s="385">
        <v>0.052</v>
      </c>
      <c r="E29" s="385">
        <v>0.07</v>
      </c>
      <c r="F29" s="389"/>
      <c r="G29" s="387">
        <v>0.071</v>
      </c>
    </row>
    <row r="30" spans="1:7">
      <c r="A30" s="390" t="s">
        <v>264</v>
      </c>
      <c r="B30" s="376" t="s">
        <v>2678</v>
      </c>
      <c r="C30" s="377">
        <v>0.066</v>
      </c>
      <c r="D30" s="377">
        <v>0.066</v>
      </c>
      <c r="E30" s="377">
        <v>0.057</v>
      </c>
      <c r="F30" s="377">
        <v>0.1</v>
      </c>
      <c r="G30" s="378">
        <v>0.068</v>
      </c>
    </row>
    <row r="31" spans="1:7">
      <c r="A31" s="391" t="s">
        <v>264</v>
      </c>
      <c r="B31" s="380" t="s">
        <v>2679</v>
      </c>
      <c r="C31" s="381">
        <v>0.055</v>
      </c>
      <c r="D31" s="381">
        <v>0.082</v>
      </c>
      <c r="E31" s="381">
        <v>0.064</v>
      </c>
      <c r="F31" s="381">
        <v>0.1</v>
      </c>
      <c r="G31" s="382">
        <v>0.095</v>
      </c>
    </row>
    <row r="32" spans="1:7">
      <c r="A32" s="391" t="s">
        <v>264</v>
      </c>
      <c r="B32" s="380" t="s">
        <v>2680</v>
      </c>
      <c r="C32" s="381">
        <v>0.082</v>
      </c>
      <c r="D32" s="381">
        <v>0.087</v>
      </c>
      <c r="E32" s="381">
        <v>0.095</v>
      </c>
      <c r="F32" s="381">
        <v>0.1</v>
      </c>
      <c r="G32" s="382">
        <v>0.096</v>
      </c>
    </row>
    <row r="33" spans="1:7">
      <c r="A33" s="391" t="s">
        <v>264</v>
      </c>
      <c r="B33" s="380" t="s">
        <v>2681</v>
      </c>
      <c r="C33" s="381">
        <v>0.099</v>
      </c>
      <c r="D33" s="381">
        <v>0.092</v>
      </c>
      <c r="E33" s="381">
        <v>0.087</v>
      </c>
      <c r="F33" s="381">
        <v>0.1</v>
      </c>
      <c r="G33" s="382">
        <v>0.097</v>
      </c>
    </row>
    <row r="34" spans="1:7">
      <c r="A34" s="391" t="s">
        <v>264</v>
      </c>
      <c r="B34" s="380" t="s">
        <v>2682</v>
      </c>
      <c r="C34" s="381">
        <v>0.084</v>
      </c>
      <c r="D34" s="381">
        <v>0.097</v>
      </c>
      <c r="E34" s="381">
        <v>0.071</v>
      </c>
      <c r="F34" s="381">
        <v>0.1</v>
      </c>
      <c r="G34" s="382">
        <v>0.098</v>
      </c>
    </row>
    <row r="35" spans="1:7">
      <c r="A35" s="391" t="s">
        <v>264</v>
      </c>
      <c r="B35" s="380" t="s">
        <v>2683</v>
      </c>
      <c r="C35" s="381">
        <v>0.083</v>
      </c>
      <c r="D35" s="381">
        <v>0.097</v>
      </c>
      <c r="E35" s="381">
        <v>0.061</v>
      </c>
      <c r="F35" s="381">
        <v>0.1</v>
      </c>
      <c r="G35" s="382">
        <v>0.099</v>
      </c>
    </row>
    <row r="36" spans="1:7">
      <c r="A36" s="391" t="s">
        <v>264</v>
      </c>
      <c r="B36" s="380" t="s">
        <v>2684</v>
      </c>
      <c r="C36" s="381">
        <v>0.097</v>
      </c>
      <c r="D36" s="381">
        <v>0.097</v>
      </c>
      <c r="E36" s="381">
        <v>0.078</v>
      </c>
      <c r="F36" s="381">
        <v>0.1</v>
      </c>
      <c r="G36" s="382">
        <v>0.099</v>
      </c>
    </row>
    <row r="37" spans="1:7">
      <c r="A37" s="391" t="s">
        <v>264</v>
      </c>
      <c r="B37" s="380" t="s">
        <v>2685</v>
      </c>
      <c r="C37" s="381">
        <v>0.097</v>
      </c>
      <c r="D37" s="381">
        <v>0.095</v>
      </c>
      <c r="E37" s="381">
        <v>0.078</v>
      </c>
      <c r="F37" s="381">
        <v>0.1</v>
      </c>
      <c r="G37" s="382">
        <v>0.097</v>
      </c>
    </row>
    <row r="38" spans="1:7">
      <c r="A38" s="391" t="s">
        <v>264</v>
      </c>
      <c r="B38" s="380" t="s">
        <v>2686</v>
      </c>
      <c r="C38" s="381">
        <v>0.097</v>
      </c>
      <c r="D38" s="381">
        <v>0.077</v>
      </c>
      <c r="E38" s="381">
        <v>0.07</v>
      </c>
      <c r="F38" s="381">
        <v>0.1</v>
      </c>
      <c r="G38" s="382">
        <v>0.077</v>
      </c>
    </row>
    <row r="39" spans="1:7">
      <c r="A39" s="391" t="s">
        <v>264</v>
      </c>
      <c r="B39" s="380" t="s">
        <v>2687</v>
      </c>
      <c r="C39" s="381">
        <v>0.095</v>
      </c>
      <c r="D39" s="381">
        <v>0.077</v>
      </c>
      <c r="E39" s="381">
        <v>0.066</v>
      </c>
      <c r="F39" s="381">
        <v>0.1</v>
      </c>
      <c r="G39" s="382">
        <v>0.086</v>
      </c>
    </row>
    <row r="40" spans="1:7">
      <c r="A40" s="391" t="s">
        <v>264</v>
      </c>
      <c r="B40" s="380" t="s">
        <v>2688</v>
      </c>
      <c r="C40" s="381">
        <v>0.077</v>
      </c>
      <c r="D40" s="381">
        <v>0.078</v>
      </c>
      <c r="E40" s="381">
        <v>0.082</v>
      </c>
      <c r="F40" s="392"/>
      <c r="G40" s="382">
        <v>0.078</v>
      </c>
    </row>
    <row r="41" spans="1:7">
      <c r="A41" s="391" t="s">
        <v>264</v>
      </c>
      <c r="B41" s="380" t="s">
        <v>2689</v>
      </c>
      <c r="C41" s="381">
        <v>0.078</v>
      </c>
      <c r="D41" s="381">
        <v>0.078</v>
      </c>
      <c r="E41" s="381">
        <v>0.082</v>
      </c>
      <c r="F41" s="392"/>
      <c r="G41" s="382">
        <v>0.086</v>
      </c>
    </row>
    <row r="42" spans="1:7">
      <c r="A42" s="391" t="s">
        <v>264</v>
      </c>
      <c r="B42" s="380" t="s">
        <v>2690</v>
      </c>
      <c r="C42" s="381">
        <v>0.078</v>
      </c>
      <c r="D42" s="381">
        <v>0.096</v>
      </c>
      <c r="E42" s="381">
        <v>0.072</v>
      </c>
      <c r="F42" s="392"/>
      <c r="G42" s="382">
        <v>0.098</v>
      </c>
    </row>
    <row r="43" spans="1:7">
      <c r="A43" s="391" t="s">
        <v>264</v>
      </c>
      <c r="B43" s="380" t="s">
        <v>2691</v>
      </c>
      <c r="C43" s="381">
        <v>0.078</v>
      </c>
      <c r="D43" s="381">
        <v>0.099</v>
      </c>
      <c r="E43" s="381">
        <v>0.096</v>
      </c>
      <c r="F43" s="392"/>
      <c r="G43" s="382">
        <v>0.1</v>
      </c>
    </row>
    <row r="44" spans="1:7">
      <c r="A44" s="391" t="s">
        <v>264</v>
      </c>
      <c r="B44" s="380" t="s">
        <v>2692</v>
      </c>
      <c r="C44" s="381">
        <v>0.096</v>
      </c>
      <c r="D44" s="381">
        <v>0.1</v>
      </c>
      <c r="E44" s="381">
        <v>0.098</v>
      </c>
      <c r="F44" s="392"/>
      <c r="G44" s="382">
        <v>0.1</v>
      </c>
    </row>
    <row r="45" spans="1:7">
      <c r="A45" s="391" t="s">
        <v>264</v>
      </c>
      <c r="B45" s="380" t="s">
        <v>2693</v>
      </c>
      <c r="C45" s="381">
        <v>0.099</v>
      </c>
      <c r="D45" s="381">
        <v>0.098</v>
      </c>
      <c r="E45" s="381">
        <v>0.095</v>
      </c>
      <c r="F45" s="392"/>
      <c r="G45" s="382">
        <v>0.098</v>
      </c>
    </row>
    <row r="46" spans="1:7">
      <c r="A46" s="391" t="s">
        <v>264</v>
      </c>
      <c r="B46" s="380" t="s">
        <v>2694</v>
      </c>
      <c r="C46" s="381">
        <v>0.1</v>
      </c>
      <c r="D46" s="381">
        <v>0.099</v>
      </c>
      <c r="E46" s="381">
        <v>0.096</v>
      </c>
      <c r="F46" s="392"/>
      <c r="G46" s="382">
        <v>0.1</v>
      </c>
    </row>
    <row r="47" spans="1:7">
      <c r="A47" s="391" t="s">
        <v>264</v>
      </c>
      <c r="B47" s="380" t="s">
        <v>2695</v>
      </c>
      <c r="C47" s="381">
        <v>0.098</v>
      </c>
      <c r="D47" s="381">
        <v>0.087</v>
      </c>
      <c r="E47" s="381">
        <v>0.059</v>
      </c>
      <c r="F47" s="392"/>
      <c r="G47" s="382">
        <v>0.096</v>
      </c>
    </row>
    <row r="48" spans="1:7">
      <c r="A48" s="391" t="s">
        <v>264</v>
      </c>
      <c r="B48" s="380" t="s">
        <v>2696</v>
      </c>
      <c r="C48" s="381">
        <v>0.099</v>
      </c>
      <c r="D48" s="381">
        <v>0.098</v>
      </c>
      <c r="E48" s="381">
        <v>0.095</v>
      </c>
      <c r="F48" s="392"/>
      <c r="G48" s="382">
        <v>0.098</v>
      </c>
    </row>
    <row r="49" spans="1:7">
      <c r="A49" s="391" t="s">
        <v>264</v>
      </c>
      <c r="B49" s="380" t="s">
        <v>2697</v>
      </c>
      <c r="C49" s="381">
        <v>0.088</v>
      </c>
      <c r="D49" s="381">
        <v>0.099</v>
      </c>
      <c r="E49" s="381">
        <v>0.07</v>
      </c>
      <c r="F49" s="392"/>
      <c r="G49" s="382">
        <v>0.1</v>
      </c>
    </row>
    <row r="50" spans="1:7">
      <c r="A50" s="391" t="s">
        <v>264</v>
      </c>
      <c r="B50" s="380" t="s">
        <v>2698</v>
      </c>
      <c r="C50" s="381">
        <v>0.098</v>
      </c>
      <c r="D50" s="381">
        <v>0.073</v>
      </c>
      <c r="E50" s="381">
        <v>0.071</v>
      </c>
      <c r="F50" s="392"/>
      <c r="G50" s="382">
        <v>0.073</v>
      </c>
    </row>
    <row r="51" spans="1:7">
      <c r="A51" s="391" t="s">
        <v>264</v>
      </c>
      <c r="B51" s="380" t="s">
        <v>2699</v>
      </c>
      <c r="C51" s="381">
        <v>0.099</v>
      </c>
      <c r="D51" s="381">
        <v>0.085</v>
      </c>
      <c r="E51" s="381">
        <v>0.063</v>
      </c>
      <c r="F51" s="392"/>
      <c r="G51" s="382">
        <v>0.096</v>
      </c>
    </row>
    <row r="52" spans="1:7">
      <c r="A52" s="391" t="s">
        <v>264</v>
      </c>
      <c r="B52" s="380" t="s">
        <v>2700</v>
      </c>
      <c r="C52" s="381">
        <v>0.074</v>
      </c>
      <c r="D52" s="381">
        <v>0.096</v>
      </c>
      <c r="E52" s="381">
        <v>0.05</v>
      </c>
      <c r="F52" s="392"/>
      <c r="G52" s="382">
        <v>0.098</v>
      </c>
    </row>
    <row r="53" spans="1:7">
      <c r="A53" s="391" t="s">
        <v>264</v>
      </c>
      <c r="B53" s="380" t="s">
        <v>2701</v>
      </c>
      <c r="C53" s="381">
        <v>0.086</v>
      </c>
      <c r="D53" s="392"/>
      <c r="E53" s="381">
        <v>0.092</v>
      </c>
      <c r="F53" s="392"/>
      <c r="G53" s="393"/>
    </row>
    <row r="54" ht="14.25" spans="1:7">
      <c r="A54" s="394" t="s">
        <v>264</v>
      </c>
      <c r="B54" s="384" t="s">
        <v>2702</v>
      </c>
      <c r="C54" s="385">
        <v>0.096</v>
      </c>
      <c r="D54" s="386"/>
      <c r="E54" s="395"/>
      <c r="F54" s="386"/>
      <c r="G54" s="396"/>
    </row>
    <row r="55" spans="1:7">
      <c r="A55" s="390" t="s">
        <v>275</v>
      </c>
      <c r="B55" s="376" t="s">
        <v>2703</v>
      </c>
      <c r="C55" s="377">
        <v>0.096</v>
      </c>
      <c r="D55" s="377">
        <v>0.084</v>
      </c>
      <c r="E55" s="377">
        <v>0.092</v>
      </c>
      <c r="F55" s="377">
        <v>0.1</v>
      </c>
      <c r="G55" s="378">
        <v>0.095</v>
      </c>
    </row>
    <row r="56" spans="1:7">
      <c r="A56" s="391" t="s">
        <v>275</v>
      </c>
      <c r="B56" s="380" t="s">
        <v>2704</v>
      </c>
      <c r="C56" s="381">
        <v>0.084</v>
      </c>
      <c r="D56" s="381">
        <v>0.092</v>
      </c>
      <c r="E56" s="381">
        <v>0.095</v>
      </c>
      <c r="F56" s="381">
        <v>0.092</v>
      </c>
      <c r="G56" s="382">
        <v>0.096</v>
      </c>
    </row>
    <row r="57" spans="1:7">
      <c r="A57" s="391" t="s">
        <v>275</v>
      </c>
      <c r="B57" s="380" t="s">
        <v>2705</v>
      </c>
      <c r="C57" s="381">
        <v>0.099</v>
      </c>
      <c r="D57" s="381">
        <v>0.096</v>
      </c>
      <c r="E57" s="381">
        <v>0.092</v>
      </c>
      <c r="F57" s="381">
        <v>0.1</v>
      </c>
      <c r="G57" s="382">
        <v>0.098</v>
      </c>
    </row>
    <row r="58" spans="1:7">
      <c r="A58" s="391" t="s">
        <v>275</v>
      </c>
      <c r="B58" s="380" t="s">
        <v>2706</v>
      </c>
      <c r="C58" s="381">
        <v>0.098</v>
      </c>
      <c r="D58" s="381">
        <v>0.095</v>
      </c>
      <c r="E58" s="381">
        <v>0.057</v>
      </c>
      <c r="F58" s="381">
        <v>0.1</v>
      </c>
      <c r="G58" s="382">
        <v>0.096</v>
      </c>
    </row>
    <row r="59" spans="1:7">
      <c r="A59" s="391" t="s">
        <v>275</v>
      </c>
      <c r="B59" s="380" t="s">
        <v>2707</v>
      </c>
      <c r="C59" s="381">
        <v>0.095</v>
      </c>
      <c r="D59" s="381">
        <v>0.1</v>
      </c>
      <c r="E59" s="381">
        <v>0.075</v>
      </c>
      <c r="F59" s="381">
        <v>0.1</v>
      </c>
      <c r="G59" s="382">
        <v>0.1</v>
      </c>
    </row>
    <row r="60" spans="1:7">
      <c r="A60" s="391" t="s">
        <v>275</v>
      </c>
      <c r="B60" s="380" t="s">
        <v>2708</v>
      </c>
      <c r="C60" s="381">
        <v>0.1</v>
      </c>
      <c r="D60" s="381">
        <v>0.097</v>
      </c>
      <c r="E60" s="381">
        <v>0.1</v>
      </c>
      <c r="F60" s="381">
        <v>0.1</v>
      </c>
      <c r="G60" s="382">
        <v>0.097</v>
      </c>
    </row>
    <row r="61" spans="1:7">
      <c r="A61" s="391" t="s">
        <v>275</v>
      </c>
      <c r="B61" s="380" t="s">
        <v>2709</v>
      </c>
      <c r="C61" s="381">
        <v>0.097</v>
      </c>
      <c r="D61" s="381">
        <v>0.1</v>
      </c>
      <c r="E61" s="381">
        <v>0.093</v>
      </c>
      <c r="F61" s="381">
        <v>0.1</v>
      </c>
      <c r="G61" s="382">
        <v>0.1</v>
      </c>
    </row>
    <row r="62" spans="1:7">
      <c r="A62" s="391" t="s">
        <v>275</v>
      </c>
      <c r="B62" s="380" t="s">
        <v>2710</v>
      </c>
      <c r="C62" s="381">
        <v>0.1</v>
      </c>
      <c r="D62" s="381">
        <v>0.097</v>
      </c>
      <c r="E62" s="381">
        <v>0.089</v>
      </c>
      <c r="F62" s="381">
        <v>0.1</v>
      </c>
      <c r="G62" s="382">
        <v>0.098</v>
      </c>
    </row>
    <row r="63" spans="1:7">
      <c r="A63" s="391" t="s">
        <v>275</v>
      </c>
      <c r="B63" s="380" t="s">
        <v>2711</v>
      </c>
      <c r="C63" s="381">
        <v>0.097</v>
      </c>
      <c r="D63" s="381">
        <v>0.097</v>
      </c>
      <c r="E63" s="381">
        <v>0.099</v>
      </c>
      <c r="F63" s="381">
        <v>0.1</v>
      </c>
      <c r="G63" s="382">
        <v>0.097</v>
      </c>
    </row>
    <row r="64" spans="1:7">
      <c r="A64" s="391" t="s">
        <v>275</v>
      </c>
      <c r="B64" s="380" t="s">
        <v>2712</v>
      </c>
      <c r="C64" s="381">
        <v>0.097</v>
      </c>
      <c r="D64" s="381">
        <v>0.074</v>
      </c>
      <c r="E64" s="381">
        <v>0.078</v>
      </c>
      <c r="F64" s="381">
        <v>0.1</v>
      </c>
      <c r="G64" s="382">
        <v>0.089</v>
      </c>
    </row>
    <row r="65" spans="1:7">
      <c r="A65" s="391" t="s">
        <v>275</v>
      </c>
      <c r="B65" s="380" t="s">
        <v>2713</v>
      </c>
      <c r="C65" s="381">
        <v>0.073</v>
      </c>
      <c r="D65" s="381">
        <v>0.098</v>
      </c>
      <c r="E65" s="381">
        <v>0.095</v>
      </c>
      <c r="F65" s="381">
        <v>0.1</v>
      </c>
      <c r="G65" s="382">
        <v>0.099</v>
      </c>
    </row>
    <row r="66" spans="1:7">
      <c r="A66" s="391" t="s">
        <v>275</v>
      </c>
      <c r="B66" s="380" t="s">
        <v>2714</v>
      </c>
      <c r="C66" s="381">
        <v>0.098</v>
      </c>
      <c r="D66" s="381">
        <v>0.095</v>
      </c>
      <c r="E66" s="381">
        <v>0.05</v>
      </c>
      <c r="F66" s="381">
        <v>0.1</v>
      </c>
      <c r="G66" s="382">
        <v>0.097</v>
      </c>
    </row>
    <row r="67" spans="1:7">
      <c r="A67" s="391" t="s">
        <v>275</v>
      </c>
      <c r="B67" s="380" t="s">
        <v>2715</v>
      </c>
      <c r="C67" s="381">
        <v>0.095</v>
      </c>
      <c r="D67" s="381">
        <v>0.097</v>
      </c>
      <c r="E67" s="381">
        <v>0.097</v>
      </c>
      <c r="F67" s="381">
        <v>0.1</v>
      </c>
      <c r="G67" s="382">
        <v>0.099</v>
      </c>
    </row>
    <row r="68" spans="1:7">
      <c r="A68" s="391" t="s">
        <v>275</v>
      </c>
      <c r="B68" s="380" t="s">
        <v>2716</v>
      </c>
      <c r="C68" s="381">
        <v>0.097</v>
      </c>
      <c r="D68" s="381">
        <v>0.068</v>
      </c>
      <c r="E68" s="381">
        <v>0.066</v>
      </c>
      <c r="F68" s="381">
        <v>0.1</v>
      </c>
      <c r="G68" s="382">
        <v>0.084</v>
      </c>
    </row>
    <row r="69" spans="1:7">
      <c r="A69" s="391" t="s">
        <v>275</v>
      </c>
      <c r="B69" s="380" t="s">
        <v>2717</v>
      </c>
      <c r="C69" s="381">
        <v>0.068</v>
      </c>
      <c r="D69" s="381">
        <v>0.098</v>
      </c>
      <c r="E69" s="381">
        <v>0.095</v>
      </c>
      <c r="F69" s="381">
        <v>0.1</v>
      </c>
      <c r="G69" s="382">
        <v>0.1</v>
      </c>
    </row>
    <row r="70" spans="1:7">
      <c r="A70" s="391" t="s">
        <v>275</v>
      </c>
      <c r="B70" s="380" t="s">
        <v>2718</v>
      </c>
      <c r="C70" s="381">
        <v>0.098</v>
      </c>
      <c r="D70" s="381">
        <v>0.089</v>
      </c>
      <c r="E70" s="381">
        <v>0.059</v>
      </c>
      <c r="F70" s="381">
        <v>0.1</v>
      </c>
      <c r="G70" s="382">
        <v>0.096</v>
      </c>
    </row>
    <row r="71" spans="1:7">
      <c r="A71" s="391" t="s">
        <v>275</v>
      </c>
      <c r="B71" s="380" t="s">
        <v>2719</v>
      </c>
      <c r="C71" s="381">
        <v>0.089</v>
      </c>
      <c r="D71" s="381">
        <v>0.099</v>
      </c>
      <c r="E71" s="381">
        <v>0.096</v>
      </c>
      <c r="F71" s="381">
        <v>0.1</v>
      </c>
      <c r="G71" s="382">
        <v>0.1</v>
      </c>
    </row>
    <row r="72" spans="1:7">
      <c r="A72" s="391" t="s">
        <v>275</v>
      </c>
      <c r="B72" s="380" t="s">
        <v>2720</v>
      </c>
      <c r="C72" s="381">
        <v>0.099</v>
      </c>
      <c r="D72" s="381">
        <v>0.1</v>
      </c>
      <c r="E72" s="381">
        <v>0.07</v>
      </c>
      <c r="F72" s="392"/>
      <c r="G72" s="382">
        <v>0.1</v>
      </c>
    </row>
    <row r="73" spans="1:7">
      <c r="A73" s="391" t="s">
        <v>275</v>
      </c>
      <c r="B73" s="380" t="s">
        <v>2721</v>
      </c>
      <c r="C73" s="381">
        <v>0.1</v>
      </c>
      <c r="D73" s="381">
        <v>0.1</v>
      </c>
      <c r="E73" s="381">
        <v>0.096</v>
      </c>
      <c r="F73" s="392"/>
      <c r="G73" s="382">
        <v>0.1</v>
      </c>
    </row>
    <row r="74" spans="1:7">
      <c r="A74" s="391" t="s">
        <v>275</v>
      </c>
      <c r="B74" s="380" t="s">
        <v>2722</v>
      </c>
      <c r="C74" s="381">
        <v>0.1</v>
      </c>
      <c r="D74" s="381">
        <v>0.1</v>
      </c>
      <c r="E74" s="381">
        <v>0.098</v>
      </c>
      <c r="F74" s="392"/>
      <c r="G74" s="382">
        <v>0.1</v>
      </c>
    </row>
    <row r="75" spans="1:7">
      <c r="A75" s="391" t="s">
        <v>275</v>
      </c>
      <c r="B75" s="380" t="s">
        <v>2723</v>
      </c>
      <c r="C75" s="381">
        <v>0.1</v>
      </c>
      <c r="D75" s="381">
        <v>0.099</v>
      </c>
      <c r="E75" s="381">
        <v>0.098</v>
      </c>
      <c r="F75" s="392"/>
      <c r="G75" s="382">
        <v>0.1</v>
      </c>
    </row>
    <row r="76" spans="1:7">
      <c r="A76" s="391" t="s">
        <v>275</v>
      </c>
      <c r="B76" s="380" t="s">
        <v>2724</v>
      </c>
      <c r="C76" s="381">
        <v>0.099</v>
      </c>
      <c r="D76" s="381">
        <v>0.1</v>
      </c>
      <c r="E76" s="381">
        <v>0.097</v>
      </c>
      <c r="F76" s="392"/>
      <c r="G76" s="382">
        <v>0.1</v>
      </c>
    </row>
    <row r="77" spans="1:7">
      <c r="A77" s="391" t="s">
        <v>275</v>
      </c>
      <c r="B77" s="380" t="s">
        <v>2725</v>
      </c>
      <c r="C77" s="381">
        <v>0.1</v>
      </c>
      <c r="D77" s="381">
        <v>0.1</v>
      </c>
      <c r="E77" s="381">
        <v>0.096</v>
      </c>
      <c r="F77" s="392"/>
      <c r="G77" s="382">
        <v>0.1</v>
      </c>
    </row>
    <row r="78" spans="1:7">
      <c r="A78" s="391" t="s">
        <v>275</v>
      </c>
      <c r="B78" s="380" t="s">
        <v>2726</v>
      </c>
      <c r="C78" s="381">
        <v>0.1</v>
      </c>
      <c r="D78" s="381">
        <v>0.085</v>
      </c>
      <c r="E78" s="381">
        <v>0.096</v>
      </c>
      <c r="F78" s="392"/>
      <c r="G78" s="382">
        <v>0.096</v>
      </c>
    </row>
    <row r="79" spans="1:7">
      <c r="A79" s="391" t="s">
        <v>275</v>
      </c>
      <c r="B79" s="380" t="s">
        <v>2727</v>
      </c>
      <c r="C79" s="381">
        <v>0.05</v>
      </c>
      <c r="D79" s="381">
        <v>0.096</v>
      </c>
      <c r="E79" s="381">
        <v>0.095</v>
      </c>
      <c r="F79" s="392"/>
      <c r="G79" s="382">
        <v>0.098</v>
      </c>
    </row>
    <row r="80" spans="1:7">
      <c r="A80" s="391" t="s">
        <v>275</v>
      </c>
      <c r="B80" s="380" t="s">
        <v>2728</v>
      </c>
      <c r="C80" s="381">
        <v>0.086</v>
      </c>
      <c r="D80" s="397"/>
      <c r="E80" s="381">
        <v>0.1</v>
      </c>
      <c r="F80" s="392"/>
      <c r="G80" s="393"/>
    </row>
    <row r="81" spans="1:7">
      <c r="A81" s="391" t="s">
        <v>275</v>
      </c>
      <c r="B81" s="380" t="s">
        <v>2729</v>
      </c>
      <c r="C81" s="381">
        <v>0.096</v>
      </c>
      <c r="D81" s="392"/>
      <c r="E81" s="381">
        <v>0.098</v>
      </c>
      <c r="F81" s="392"/>
      <c r="G81" s="393"/>
    </row>
    <row r="82" spans="1:7">
      <c r="A82" s="391" t="s">
        <v>275</v>
      </c>
      <c r="B82" s="380" t="s">
        <v>2730</v>
      </c>
      <c r="C82" s="397"/>
      <c r="D82" s="392"/>
      <c r="E82" s="381">
        <v>0.077</v>
      </c>
      <c r="F82" s="392"/>
      <c r="G82" s="393"/>
    </row>
    <row r="83" spans="1:7">
      <c r="A83" s="391" t="s">
        <v>275</v>
      </c>
      <c r="B83" s="380" t="s">
        <v>2731</v>
      </c>
      <c r="C83" s="392"/>
      <c r="D83" s="392"/>
      <c r="E83" s="392"/>
      <c r="F83" s="381">
        <v>0.1</v>
      </c>
      <c r="G83" s="398"/>
    </row>
    <row r="84" spans="1:7">
      <c r="A84" s="391" t="s">
        <v>275</v>
      </c>
      <c r="B84" s="380" t="s">
        <v>2732</v>
      </c>
      <c r="C84" s="392"/>
      <c r="D84" s="392"/>
      <c r="E84" s="392"/>
      <c r="F84" s="381">
        <v>0.1</v>
      </c>
      <c r="G84" s="398"/>
    </row>
    <row r="85" spans="1:7">
      <c r="A85" s="391" t="s">
        <v>275</v>
      </c>
      <c r="B85" s="380" t="s">
        <v>2733</v>
      </c>
      <c r="C85" s="392"/>
      <c r="D85" s="392"/>
      <c r="E85" s="392"/>
      <c r="F85" s="381">
        <v>0.1</v>
      </c>
      <c r="G85" s="398"/>
    </row>
    <row r="86" ht="14.25" spans="1:7">
      <c r="A86" s="394" t="s">
        <v>275</v>
      </c>
      <c r="B86" s="384" t="s">
        <v>2734</v>
      </c>
      <c r="C86" s="385">
        <v>0.098</v>
      </c>
      <c r="D86" s="385">
        <v>0.098</v>
      </c>
      <c r="E86" s="385">
        <v>0.096</v>
      </c>
      <c r="F86" s="395"/>
      <c r="G86" s="387">
        <v>0.1</v>
      </c>
    </row>
    <row r="87" spans="1:7">
      <c r="A87" s="390" t="s">
        <v>286</v>
      </c>
      <c r="B87" s="376" t="s">
        <v>2735</v>
      </c>
      <c r="C87" s="377">
        <v>0.1</v>
      </c>
      <c r="D87" s="377">
        <v>0.1</v>
      </c>
      <c r="E87" s="377">
        <v>0.098</v>
      </c>
      <c r="F87" s="377">
        <v>0.1</v>
      </c>
      <c r="G87" s="378">
        <v>0.1</v>
      </c>
    </row>
    <row r="88" spans="1:7">
      <c r="A88" s="391" t="s">
        <v>286</v>
      </c>
      <c r="B88" s="380" t="s">
        <v>2736</v>
      </c>
      <c r="C88" s="381">
        <v>0.091</v>
      </c>
      <c r="D88" s="381">
        <v>0.092</v>
      </c>
      <c r="E88" s="381">
        <v>0.1</v>
      </c>
      <c r="F88" s="381">
        <v>0.1</v>
      </c>
      <c r="G88" s="382">
        <v>0.096</v>
      </c>
    </row>
    <row r="89" spans="1:7">
      <c r="A89" s="391" t="s">
        <v>286</v>
      </c>
      <c r="B89" s="380" t="s">
        <v>2737</v>
      </c>
      <c r="C89" s="381">
        <v>0.1</v>
      </c>
      <c r="D89" s="381">
        <v>0.1</v>
      </c>
      <c r="E89" s="381">
        <v>0.067</v>
      </c>
      <c r="F89" s="381">
        <v>0.093</v>
      </c>
      <c r="G89" s="382">
        <v>0.1</v>
      </c>
    </row>
    <row r="90" spans="1:7">
      <c r="A90" s="391" t="s">
        <v>286</v>
      </c>
      <c r="B90" s="380" t="s">
        <v>2738</v>
      </c>
      <c r="C90" s="381">
        <v>0.096</v>
      </c>
      <c r="D90" s="381">
        <v>0.096</v>
      </c>
      <c r="E90" s="381">
        <v>0.1</v>
      </c>
      <c r="F90" s="381">
        <v>0.1</v>
      </c>
      <c r="G90" s="382">
        <v>0.098</v>
      </c>
    </row>
    <row r="91" spans="1:7">
      <c r="A91" s="391" t="s">
        <v>286</v>
      </c>
      <c r="B91" s="380" t="s">
        <v>2739</v>
      </c>
      <c r="C91" s="381">
        <v>0.077</v>
      </c>
      <c r="D91" s="381">
        <v>0.077</v>
      </c>
      <c r="E91" s="381">
        <v>0.096</v>
      </c>
      <c r="F91" s="381">
        <v>0.1</v>
      </c>
      <c r="G91" s="382">
        <v>0.077</v>
      </c>
    </row>
    <row r="92" spans="1:7">
      <c r="A92" s="391" t="s">
        <v>286</v>
      </c>
      <c r="B92" s="380" t="s">
        <v>2740</v>
      </c>
      <c r="C92" s="381">
        <v>0.1</v>
      </c>
      <c r="D92" s="381">
        <v>0.1</v>
      </c>
      <c r="E92" s="381">
        <v>0.092</v>
      </c>
      <c r="F92" s="381">
        <v>0.1</v>
      </c>
      <c r="G92" s="382">
        <v>0.1</v>
      </c>
    </row>
    <row r="93" spans="1:7">
      <c r="A93" s="391" t="s">
        <v>286</v>
      </c>
      <c r="B93" s="380" t="s">
        <v>2741</v>
      </c>
      <c r="C93" s="381">
        <v>0.098</v>
      </c>
      <c r="D93" s="381">
        <v>0.098</v>
      </c>
      <c r="E93" s="381">
        <v>0.096</v>
      </c>
      <c r="F93" s="381">
        <v>0.1</v>
      </c>
      <c r="G93" s="382">
        <v>0.099</v>
      </c>
    </row>
    <row r="94" spans="1:7">
      <c r="A94" s="391" t="s">
        <v>286</v>
      </c>
      <c r="B94" s="380" t="s">
        <v>2742</v>
      </c>
      <c r="C94" s="381">
        <v>0.088</v>
      </c>
      <c r="D94" s="381">
        <v>0.088</v>
      </c>
      <c r="E94" s="381">
        <v>0.096</v>
      </c>
      <c r="F94" s="381">
        <v>0.1</v>
      </c>
      <c r="G94" s="382">
        <v>0.088</v>
      </c>
    </row>
    <row r="95" spans="1:7">
      <c r="A95" s="391" t="s">
        <v>286</v>
      </c>
      <c r="B95" s="380" t="s">
        <v>2743</v>
      </c>
      <c r="C95" s="381">
        <v>0.096</v>
      </c>
      <c r="D95" s="381">
        <v>0.096</v>
      </c>
      <c r="E95" s="381">
        <v>0.1</v>
      </c>
      <c r="F95" s="381">
        <v>0.1</v>
      </c>
      <c r="G95" s="382">
        <v>0.098</v>
      </c>
    </row>
    <row r="96" spans="1:7">
      <c r="A96" s="391" t="s">
        <v>286</v>
      </c>
      <c r="B96" s="380" t="s">
        <v>2744</v>
      </c>
      <c r="C96" s="381">
        <v>0.097</v>
      </c>
      <c r="D96" s="381">
        <v>0.097</v>
      </c>
      <c r="E96" s="381">
        <v>0.1</v>
      </c>
      <c r="F96" s="381">
        <v>0.1</v>
      </c>
      <c r="G96" s="382">
        <v>0.098</v>
      </c>
    </row>
    <row r="97" spans="1:7">
      <c r="A97" s="391" t="s">
        <v>286</v>
      </c>
      <c r="B97" s="380" t="s">
        <v>2745</v>
      </c>
      <c r="C97" s="381">
        <v>0.096</v>
      </c>
      <c r="D97" s="381">
        <v>0.096</v>
      </c>
      <c r="E97" s="381">
        <v>0.099</v>
      </c>
      <c r="F97" s="381">
        <v>0.1</v>
      </c>
      <c r="G97" s="382">
        <v>0.098</v>
      </c>
    </row>
    <row r="98" spans="1:7">
      <c r="A98" s="391" t="s">
        <v>286</v>
      </c>
      <c r="B98" s="380" t="s">
        <v>2746</v>
      </c>
      <c r="C98" s="381">
        <v>0.098</v>
      </c>
      <c r="D98" s="381">
        <v>0.098</v>
      </c>
      <c r="E98" s="381">
        <v>0.1</v>
      </c>
      <c r="F98" s="381">
        <v>0.1</v>
      </c>
      <c r="G98" s="382">
        <v>0.099</v>
      </c>
    </row>
    <row r="99" spans="1:7">
      <c r="A99" s="391" t="s">
        <v>286</v>
      </c>
      <c r="B99" s="380" t="s">
        <v>2747</v>
      </c>
      <c r="C99" s="381">
        <v>0.096</v>
      </c>
      <c r="D99" s="381">
        <v>0.096</v>
      </c>
      <c r="E99" s="381">
        <v>0.1</v>
      </c>
      <c r="F99" s="381">
        <v>0.1</v>
      </c>
      <c r="G99" s="382">
        <v>0.097</v>
      </c>
    </row>
    <row r="100" spans="1:7">
      <c r="A100" s="391" t="s">
        <v>286</v>
      </c>
      <c r="B100" s="380" t="s">
        <v>2748</v>
      </c>
      <c r="C100" s="381">
        <v>0.1</v>
      </c>
      <c r="D100" s="381">
        <v>0.1</v>
      </c>
      <c r="E100" s="381">
        <v>0.097</v>
      </c>
      <c r="F100" s="381">
        <v>0.098</v>
      </c>
      <c r="G100" s="382">
        <v>0.1</v>
      </c>
    </row>
    <row r="101" spans="1:7">
      <c r="A101" s="391" t="s">
        <v>286</v>
      </c>
      <c r="B101" s="380" t="s">
        <v>2749</v>
      </c>
      <c r="C101" s="381">
        <v>0.1</v>
      </c>
      <c r="D101" s="381">
        <v>0.1</v>
      </c>
      <c r="E101" s="381">
        <v>0.095</v>
      </c>
      <c r="F101" s="381">
        <v>0.1</v>
      </c>
      <c r="G101" s="382">
        <v>0.1</v>
      </c>
    </row>
    <row r="102" spans="1:7">
      <c r="A102" s="391" t="s">
        <v>286</v>
      </c>
      <c r="B102" s="380" t="s">
        <v>2750</v>
      </c>
      <c r="C102" s="381">
        <v>0.1</v>
      </c>
      <c r="D102" s="381">
        <v>0.1</v>
      </c>
      <c r="E102" s="381">
        <v>0.099</v>
      </c>
      <c r="F102" s="381">
        <v>0.097</v>
      </c>
      <c r="G102" s="382">
        <v>0.1</v>
      </c>
    </row>
    <row r="103" spans="1:7">
      <c r="A103" s="391" t="s">
        <v>286</v>
      </c>
      <c r="B103" s="380" t="s">
        <v>2751</v>
      </c>
      <c r="C103" s="381">
        <v>0.1</v>
      </c>
      <c r="D103" s="381">
        <v>0.1</v>
      </c>
      <c r="E103" s="381">
        <v>0.098</v>
      </c>
      <c r="F103" s="381">
        <v>0.1</v>
      </c>
      <c r="G103" s="382">
        <v>0.1</v>
      </c>
    </row>
    <row r="104" spans="1:7">
      <c r="A104" s="391" t="s">
        <v>286</v>
      </c>
      <c r="B104" s="380" t="s">
        <v>2752</v>
      </c>
      <c r="C104" s="381">
        <v>0.1</v>
      </c>
      <c r="D104" s="381">
        <v>0.1</v>
      </c>
      <c r="E104" s="381">
        <v>0.098</v>
      </c>
      <c r="F104" s="381">
        <v>0.1</v>
      </c>
      <c r="G104" s="382">
        <v>0.1</v>
      </c>
    </row>
    <row r="105" spans="1:7">
      <c r="A105" s="391" t="s">
        <v>286</v>
      </c>
      <c r="B105" s="380" t="s">
        <v>2753</v>
      </c>
      <c r="C105" s="381">
        <v>0.098</v>
      </c>
      <c r="D105" s="381">
        <v>0.098</v>
      </c>
      <c r="E105" s="381">
        <v>0.098</v>
      </c>
      <c r="F105" s="381">
        <v>0.1</v>
      </c>
      <c r="G105" s="382">
        <v>0.099</v>
      </c>
    </row>
    <row r="106" spans="1:7">
      <c r="A106" s="391" t="s">
        <v>286</v>
      </c>
      <c r="B106" s="380" t="s">
        <v>2754</v>
      </c>
      <c r="C106" s="381">
        <v>0.097</v>
      </c>
      <c r="D106" s="381">
        <v>0.097</v>
      </c>
      <c r="E106" s="381">
        <v>0.097</v>
      </c>
      <c r="F106" s="381">
        <v>0.1</v>
      </c>
      <c r="G106" s="382">
        <v>0.099</v>
      </c>
    </row>
    <row r="107" spans="1:7">
      <c r="A107" s="391" t="s">
        <v>286</v>
      </c>
      <c r="B107" s="380" t="s">
        <v>2755</v>
      </c>
      <c r="C107" s="381">
        <v>0.1</v>
      </c>
      <c r="D107" s="381">
        <v>0.1</v>
      </c>
      <c r="E107" s="381">
        <v>0.086</v>
      </c>
      <c r="F107" s="381">
        <v>0.09</v>
      </c>
      <c r="G107" s="382">
        <v>0.1</v>
      </c>
    </row>
    <row r="108" spans="1:7">
      <c r="A108" s="391" t="s">
        <v>286</v>
      </c>
      <c r="B108" s="380" t="s">
        <v>2756</v>
      </c>
      <c r="C108" s="381">
        <v>0.1</v>
      </c>
      <c r="D108" s="381">
        <v>0.1</v>
      </c>
      <c r="E108" s="381">
        <v>0.096</v>
      </c>
      <c r="F108" s="392"/>
      <c r="G108" s="382">
        <v>0.1</v>
      </c>
    </row>
    <row r="109" spans="1:7">
      <c r="A109" s="391" t="s">
        <v>286</v>
      </c>
      <c r="B109" s="380" t="s">
        <v>2757</v>
      </c>
      <c r="C109" s="381">
        <v>0.1</v>
      </c>
      <c r="D109" s="381">
        <v>0.1</v>
      </c>
      <c r="E109" s="381">
        <v>0.1</v>
      </c>
      <c r="F109" s="392"/>
      <c r="G109" s="382">
        <v>0.1</v>
      </c>
    </row>
    <row r="110" spans="1:7">
      <c r="A110" s="391" t="s">
        <v>286</v>
      </c>
      <c r="B110" s="380" t="s">
        <v>2758</v>
      </c>
      <c r="C110" s="381">
        <v>0.1</v>
      </c>
      <c r="D110" s="381">
        <v>0.1</v>
      </c>
      <c r="E110" s="381">
        <v>0.1</v>
      </c>
      <c r="F110" s="392"/>
      <c r="G110" s="382">
        <v>0.1</v>
      </c>
    </row>
    <row r="111" spans="1:7">
      <c r="A111" s="391" t="s">
        <v>286</v>
      </c>
      <c r="B111" s="380" t="s">
        <v>2759</v>
      </c>
      <c r="C111" s="381">
        <v>0.1</v>
      </c>
      <c r="D111" s="381">
        <v>0.1</v>
      </c>
      <c r="E111" s="381">
        <v>0.095</v>
      </c>
      <c r="F111" s="392"/>
      <c r="G111" s="382">
        <v>0.1</v>
      </c>
    </row>
    <row r="112" spans="1:7">
      <c r="A112" s="391" t="s">
        <v>286</v>
      </c>
      <c r="B112" s="380" t="s">
        <v>2760</v>
      </c>
      <c r="C112" s="381">
        <v>0.097</v>
      </c>
      <c r="D112" s="381">
        <v>0.097</v>
      </c>
      <c r="E112" s="381">
        <v>0.05</v>
      </c>
      <c r="F112" s="392"/>
      <c r="G112" s="382">
        <v>0.098</v>
      </c>
    </row>
    <row r="113" spans="1:7">
      <c r="A113" s="391" t="s">
        <v>286</v>
      </c>
      <c r="B113" s="380" t="s">
        <v>2761</v>
      </c>
      <c r="C113" s="381">
        <v>0.1</v>
      </c>
      <c r="D113" s="381">
        <v>0.1</v>
      </c>
      <c r="E113" s="392"/>
      <c r="F113" s="392"/>
      <c r="G113" s="382">
        <v>0.1</v>
      </c>
    </row>
    <row r="114" spans="1:7">
      <c r="A114" s="391" t="s">
        <v>286</v>
      </c>
      <c r="B114" s="380" t="s">
        <v>2762</v>
      </c>
      <c r="C114" s="381">
        <v>0.097</v>
      </c>
      <c r="D114" s="381">
        <v>0.097</v>
      </c>
      <c r="E114" s="392"/>
      <c r="F114" s="392"/>
      <c r="G114" s="382">
        <v>0.099</v>
      </c>
    </row>
    <row r="115" spans="1:7">
      <c r="A115" s="391" t="s">
        <v>286</v>
      </c>
      <c r="B115" s="380" t="s">
        <v>2763</v>
      </c>
      <c r="C115" s="381">
        <v>0.1</v>
      </c>
      <c r="D115" s="381">
        <v>0.1</v>
      </c>
      <c r="E115" s="392"/>
      <c r="F115" s="392"/>
      <c r="G115" s="382">
        <v>0.1</v>
      </c>
    </row>
    <row r="116" spans="1:7">
      <c r="A116" s="391" t="s">
        <v>286</v>
      </c>
      <c r="B116" s="380" t="s">
        <v>2764</v>
      </c>
      <c r="C116" s="381">
        <v>0.1</v>
      </c>
      <c r="D116" s="381">
        <v>0.1</v>
      </c>
      <c r="E116" s="392"/>
      <c r="F116" s="392"/>
      <c r="G116" s="382">
        <v>0.1</v>
      </c>
    </row>
    <row r="117" spans="1:7">
      <c r="A117" s="391" t="s">
        <v>286</v>
      </c>
      <c r="B117" s="380" t="s">
        <v>2765</v>
      </c>
      <c r="C117" s="381">
        <v>0.097</v>
      </c>
      <c r="D117" s="381">
        <v>0.097</v>
      </c>
      <c r="E117" s="392"/>
      <c r="F117" s="392"/>
      <c r="G117" s="382">
        <v>0.097</v>
      </c>
    </row>
    <row r="118" spans="1:7">
      <c r="A118" s="391" t="s">
        <v>286</v>
      </c>
      <c r="B118" s="380" t="s">
        <v>2766</v>
      </c>
      <c r="C118" s="381">
        <v>0.1</v>
      </c>
      <c r="D118" s="381">
        <v>0.1</v>
      </c>
      <c r="E118" s="392"/>
      <c r="F118" s="392"/>
      <c r="G118" s="382">
        <v>0.1</v>
      </c>
    </row>
    <row r="119" spans="1:7">
      <c r="A119" s="391" t="s">
        <v>286</v>
      </c>
      <c r="B119" s="380" t="s">
        <v>2767</v>
      </c>
      <c r="C119" s="381">
        <v>0.051</v>
      </c>
      <c r="D119" s="381">
        <v>0.052</v>
      </c>
      <c r="E119" s="392"/>
      <c r="F119" s="397"/>
      <c r="G119" s="382">
        <v>0.06</v>
      </c>
    </row>
    <row r="120" spans="1:7">
      <c r="A120" s="391" t="s">
        <v>286</v>
      </c>
      <c r="B120" s="380" t="s">
        <v>2768</v>
      </c>
      <c r="C120" s="392"/>
      <c r="D120" s="392"/>
      <c r="E120" s="392"/>
      <c r="F120" s="381">
        <v>0.1</v>
      </c>
      <c r="G120" s="398"/>
    </row>
    <row r="121" spans="1:7">
      <c r="A121" s="391" t="s">
        <v>286</v>
      </c>
      <c r="B121" s="380" t="s">
        <v>2769</v>
      </c>
      <c r="C121" s="392"/>
      <c r="D121" s="392"/>
      <c r="E121" s="392"/>
      <c r="F121" s="381">
        <v>0.1</v>
      </c>
      <c r="G121" s="398"/>
    </row>
    <row r="122" spans="1:7">
      <c r="A122" s="391" t="s">
        <v>286</v>
      </c>
      <c r="B122" s="380" t="s">
        <v>2770</v>
      </c>
      <c r="C122" s="381">
        <v>0.1</v>
      </c>
      <c r="D122" s="381">
        <v>0.1</v>
      </c>
      <c r="E122" s="381">
        <v>0.098</v>
      </c>
      <c r="F122" s="381">
        <v>0.1</v>
      </c>
      <c r="G122" s="382">
        <v>0.1</v>
      </c>
    </row>
    <row r="123" spans="1:7">
      <c r="A123" s="391" t="s">
        <v>286</v>
      </c>
      <c r="B123" s="380" t="s">
        <v>2771</v>
      </c>
      <c r="C123" s="381">
        <v>0.1</v>
      </c>
      <c r="D123" s="381">
        <v>0.1</v>
      </c>
      <c r="E123" s="381">
        <v>0.098</v>
      </c>
      <c r="F123" s="381">
        <v>0.1</v>
      </c>
      <c r="G123" s="382">
        <v>0.1</v>
      </c>
    </row>
    <row r="124" spans="1:7">
      <c r="A124" s="391" t="s">
        <v>286</v>
      </c>
      <c r="B124" s="380" t="s">
        <v>2772</v>
      </c>
      <c r="C124" s="381">
        <v>0.1</v>
      </c>
      <c r="D124" s="381">
        <v>0.1</v>
      </c>
      <c r="E124" s="381">
        <v>0.098</v>
      </c>
      <c r="F124" s="397"/>
      <c r="G124" s="382">
        <v>0.1</v>
      </c>
    </row>
    <row r="125" spans="1:7">
      <c r="A125" s="391" t="s">
        <v>286</v>
      </c>
      <c r="B125" s="380" t="s">
        <v>2773</v>
      </c>
      <c r="C125" s="381">
        <v>0.098</v>
      </c>
      <c r="D125" s="381">
        <v>0.098</v>
      </c>
      <c r="E125" s="381">
        <v>0.096</v>
      </c>
      <c r="F125" s="397"/>
      <c r="G125" s="382">
        <v>0.1</v>
      </c>
    </row>
    <row r="126" ht="14.25" spans="1:7">
      <c r="A126" s="394" t="s">
        <v>286</v>
      </c>
      <c r="B126" s="384" t="s">
        <v>2774</v>
      </c>
      <c r="C126" s="385">
        <v>0.1</v>
      </c>
      <c r="D126" s="385">
        <v>0.1</v>
      </c>
      <c r="E126" s="385">
        <v>0.098</v>
      </c>
      <c r="F126" s="385">
        <v>0.1</v>
      </c>
      <c r="G126" s="387">
        <v>0.1</v>
      </c>
    </row>
    <row r="127" spans="1:7">
      <c r="A127" s="390" t="s">
        <v>295</v>
      </c>
      <c r="B127" s="376" t="s">
        <v>2775</v>
      </c>
      <c r="C127" s="377">
        <v>0.121</v>
      </c>
      <c r="D127" s="377">
        <v>0.121</v>
      </c>
      <c r="E127" s="377">
        <v>0.107</v>
      </c>
      <c r="F127" s="377">
        <v>0.13</v>
      </c>
      <c r="G127" s="378">
        <v>0.122</v>
      </c>
    </row>
    <row r="128" spans="1:7">
      <c r="A128" s="391" t="s">
        <v>295</v>
      </c>
      <c r="B128" s="380" t="s">
        <v>2776</v>
      </c>
      <c r="C128" s="381">
        <v>0.116</v>
      </c>
      <c r="D128" s="381">
        <v>0.117</v>
      </c>
      <c r="E128" s="381">
        <v>0.104</v>
      </c>
      <c r="F128" s="381">
        <v>0.13</v>
      </c>
      <c r="G128" s="382">
        <v>0.117</v>
      </c>
    </row>
    <row r="129" spans="1:7">
      <c r="A129" s="391" t="s">
        <v>295</v>
      </c>
      <c r="B129" s="380" t="s">
        <v>2777</v>
      </c>
      <c r="C129" s="381">
        <v>0.107</v>
      </c>
      <c r="D129" s="381">
        <v>0.108</v>
      </c>
      <c r="E129" s="381">
        <v>0.1</v>
      </c>
      <c r="F129" s="381">
        <v>0.13</v>
      </c>
      <c r="G129" s="382">
        <v>0.117</v>
      </c>
    </row>
    <row r="130" spans="1:7">
      <c r="A130" s="391" t="s">
        <v>295</v>
      </c>
      <c r="B130" s="380" t="s">
        <v>2778</v>
      </c>
      <c r="C130" s="381">
        <v>0.13</v>
      </c>
      <c r="D130" s="381">
        <v>0.13</v>
      </c>
      <c r="E130" s="381">
        <v>0.126</v>
      </c>
      <c r="F130" s="381">
        <v>0.13</v>
      </c>
      <c r="G130" s="382">
        <v>0.13</v>
      </c>
    </row>
    <row r="131" spans="1:7">
      <c r="A131" s="391" t="s">
        <v>295</v>
      </c>
      <c r="B131" s="380" t="s">
        <v>2779</v>
      </c>
      <c r="C131" s="381">
        <v>0.13</v>
      </c>
      <c r="D131" s="381">
        <v>0.13</v>
      </c>
      <c r="E131" s="381">
        <v>0.13</v>
      </c>
      <c r="F131" s="381">
        <v>0.13</v>
      </c>
      <c r="G131" s="382">
        <v>0.13</v>
      </c>
    </row>
    <row r="132" spans="1:7">
      <c r="A132" s="391" t="s">
        <v>295</v>
      </c>
      <c r="B132" s="380" t="s">
        <v>2780</v>
      </c>
      <c r="C132" s="381">
        <v>0.13</v>
      </c>
      <c r="D132" s="381">
        <v>0.13</v>
      </c>
      <c r="E132" s="381">
        <v>0.126</v>
      </c>
      <c r="F132" s="381">
        <v>0.13</v>
      </c>
      <c r="G132" s="382">
        <v>0.13</v>
      </c>
    </row>
    <row r="133" spans="1:7">
      <c r="A133" s="391" t="s">
        <v>295</v>
      </c>
      <c r="B133" s="380" t="s">
        <v>2781</v>
      </c>
      <c r="C133" s="381">
        <v>0.111</v>
      </c>
      <c r="D133" s="381">
        <v>0.111</v>
      </c>
      <c r="E133" s="381">
        <v>0.102</v>
      </c>
      <c r="F133" s="381">
        <v>0.13</v>
      </c>
      <c r="G133" s="382">
        <v>0.121</v>
      </c>
    </row>
    <row r="134" spans="1:7">
      <c r="A134" s="391" t="s">
        <v>295</v>
      </c>
      <c r="B134" s="380" t="s">
        <v>2782</v>
      </c>
      <c r="C134" s="381">
        <v>0.121</v>
      </c>
      <c r="D134" s="381">
        <v>0.121</v>
      </c>
      <c r="E134" s="381">
        <v>0.1</v>
      </c>
      <c r="F134" s="381">
        <v>0.13</v>
      </c>
      <c r="G134" s="382">
        <v>0.123</v>
      </c>
    </row>
    <row r="135" spans="1:7">
      <c r="A135" s="391" t="s">
        <v>295</v>
      </c>
      <c r="B135" s="380" t="s">
        <v>2783</v>
      </c>
      <c r="C135" s="381">
        <v>0.105</v>
      </c>
      <c r="D135" s="381">
        <v>0.106</v>
      </c>
      <c r="E135" s="381">
        <v>0.1</v>
      </c>
      <c r="F135" s="381">
        <v>0.13</v>
      </c>
      <c r="G135" s="382">
        <v>0.115</v>
      </c>
    </row>
    <row r="136" spans="1:7">
      <c r="A136" s="391" t="s">
        <v>295</v>
      </c>
      <c r="B136" s="380" t="s">
        <v>2784</v>
      </c>
      <c r="C136" s="381">
        <v>0.127</v>
      </c>
      <c r="D136" s="381">
        <v>0.127</v>
      </c>
      <c r="E136" s="381">
        <v>0.121</v>
      </c>
      <c r="F136" s="381">
        <v>0.123</v>
      </c>
      <c r="G136" s="382">
        <v>0.129</v>
      </c>
    </row>
    <row r="137" spans="1:7">
      <c r="A137" s="391" t="s">
        <v>295</v>
      </c>
      <c r="B137" s="380" t="s">
        <v>2785</v>
      </c>
      <c r="C137" s="381">
        <v>0.13</v>
      </c>
      <c r="D137" s="381">
        <v>0.13</v>
      </c>
      <c r="E137" s="381">
        <v>0.129</v>
      </c>
      <c r="F137" s="381">
        <v>0.13</v>
      </c>
      <c r="G137" s="382">
        <v>0.13</v>
      </c>
    </row>
    <row r="138" spans="1:7">
      <c r="A138" s="391" t="s">
        <v>295</v>
      </c>
      <c r="B138" s="380" t="s">
        <v>2786</v>
      </c>
      <c r="C138" s="381">
        <v>0.13</v>
      </c>
      <c r="D138" s="381">
        <v>0.13</v>
      </c>
      <c r="E138" s="381">
        <v>0.125</v>
      </c>
      <c r="F138" s="381">
        <v>0.13</v>
      </c>
      <c r="G138" s="382">
        <v>0.13</v>
      </c>
    </row>
    <row r="139" spans="1:7">
      <c r="A139" s="391" t="s">
        <v>295</v>
      </c>
      <c r="B139" s="380" t="s">
        <v>2787</v>
      </c>
      <c r="C139" s="381">
        <v>0.13</v>
      </c>
      <c r="D139" s="381">
        <v>0.13</v>
      </c>
      <c r="E139" s="381">
        <v>0.126</v>
      </c>
      <c r="F139" s="381">
        <v>0.13</v>
      </c>
      <c r="G139" s="382">
        <v>0.13</v>
      </c>
    </row>
    <row r="140" spans="1:7">
      <c r="A140" s="391" t="s">
        <v>295</v>
      </c>
      <c r="B140" s="380" t="s">
        <v>2788</v>
      </c>
      <c r="C140" s="381">
        <v>0.1</v>
      </c>
      <c r="D140" s="381">
        <v>0.1</v>
      </c>
      <c r="E140" s="381">
        <v>0.1</v>
      </c>
      <c r="F140" s="381">
        <v>0.123</v>
      </c>
      <c r="G140" s="382">
        <v>0.107</v>
      </c>
    </row>
    <row r="141" spans="1:7">
      <c r="A141" s="391" t="s">
        <v>295</v>
      </c>
      <c r="B141" s="380" t="s">
        <v>2789</v>
      </c>
      <c r="C141" s="381">
        <v>0.127</v>
      </c>
      <c r="D141" s="381">
        <v>0.127</v>
      </c>
      <c r="E141" s="381">
        <v>0.122</v>
      </c>
      <c r="F141" s="381">
        <v>0.1</v>
      </c>
      <c r="G141" s="382">
        <v>0.129</v>
      </c>
    </row>
    <row r="142" spans="1:7">
      <c r="A142" s="391" t="s">
        <v>295</v>
      </c>
      <c r="B142" s="380" t="s">
        <v>2790</v>
      </c>
      <c r="C142" s="381">
        <v>0.121</v>
      </c>
      <c r="D142" s="381">
        <v>0.122</v>
      </c>
      <c r="E142" s="381">
        <v>0.1</v>
      </c>
      <c r="F142" s="381">
        <v>0.123</v>
      </c>
      <c r="G142" s="382">
        <v>0.123</v>
      </c>
    </row>
    <row r="143" spans="1:7">
      <c r="A143" s="391" t="s">
        <v>295</v>
      </c>
      <c r="B143" s="380" t="s">
        <v>2791</v>
      </c>
      <c r="C143" s="381">
        <v>0.1</v>
      </c>
      <c r="D143" s="381">
        <v>0.1</v>
      </c>
      <c r="E143" s="381">
        <v>0.1</v>
      </c>
      <c r="F143" s="381">
        <v>0.13</v>
      </c>
      <c r="G143" s="382">
        <v>0.1</v>
      </c>
    </row>
    <row r="144" spans="1:7">
      <c r="A144" s="391" t="s">
        <v>295</v>
      </c>
      <c r="B144" s="380" t="s">
        <v>2792</v>
      </c>
      <c r="C144" s="381">
        <v>0.106</v>
      </c>
      <c r="D144" s="381">
        <v>0.105</v>
      </c>
      <c r="E144" s="381">
        <v>0.1</v>
      </c>
      <c r="F144" s="381">
        <v>0.13</v>
      </c>
      <c r="G144" s="382">
        <v>0.118</v>
      </c>
    </row>
    <row r="145" spans="1:7">
      <c r="A145" s="391" t="s">
        <v>295</v>
      </c>
      <c r="B145" s="380" t="s">
        <v>2793</v>
      </c>
      <c r="C145" s="381">
        <v>0.123</v>
      </c>
      <c r="D145" s="381">
        <v>0.123</v>
      </c>
      <c r="E145" s="381">
        <v>0.117</v>
      </c>
      <c r="F145" s="381">
        <v>0.13</v>
      </c>
      <c r="G145" s="382">
        <v>0.126</v>
      </c>
    </row>
    <row r="146" spans="1:7">
      <c r="A146" s="391" t="s">
        <v>295</v>
      </c>
      <c r="B146" s="380" t="s">
        <v>2794</v>
      </c>
      <c r="C146" s="381">
        <v>0.127</v>
      </c>
      <c r="D146" s="381">
        <v>0.127</v>
      </c>
      <c r="E146" s="381">
        <v>0.12</v>
      </c>
      <c r="F146" s="392"/>
      <c r="G146" s="382">
        <v>0.129</v>
      </c>
    </row>
    <row r="147" spans="1:7">
      <c r="A147" s="391" t="s">
        <v>295</v>
      </c>
      <c r="B147" s="380" t="s">
        <v>2795</v>
      </c>
      <c r="C147" s="381">
        <v>0.13</v>
      </c>
      <c r="D147" s="381">
        <v>0.13</v>
      </c>
      <c r="E147" s="381">
        <v>0.126</v>
      </c>
      <c r="F147" s="392"/>
      <c r="G147" s="382">
        <v>0.13</v>
      </c>
    </row>
    <row r="148" spans="1:7">
      <c r="A148" s="391" t="s">
        <v>295</v>
      </c>
      <c r="B148" s="380" t="s">
        <v>2796</v>
      </c>
      <c r="C148" s="381">
        <v>0.13</v>
      </c>
      <c r="D148" s="381">
        <v>0.13</v>
      </c>
      <c r="E148" s="381">
        <v>0.13</v>
      </c>
      <c r="F148" s="392"/>
      <c r="G148" s="382">
        <v>0.13</v>
      </c>
    </row>
    <row r="149" spans="1:7">
      <c r="A149" s="391" t="s">
        <v>295</v>
      </c>
      <c r="B149" s="380" t="s">
        <v>2797</v>
      </c>
      <c r="C149" s="381">
        <v>0.13</v>
      </c>
      <c r="D149" s="381">
        <v>0.13</v>
      </c>
      <c r="E149" s="381">
        <v>0.13</v>
      </c>
      <c r="F149" s="381">
        <v>0.13</v>
      </c>
      <c r="G149" s="382">
        <v>0.13</v>
      </c>
    </row>
    <row r="150" spans="1:7">
      <c r="A150" s="391" t="s">
        <v>295</v>
      </c>
      <c r="B150" s="380" t="s">
        <v>2798</v>
      </c>
      <c r="C150" s="381">
        <v>0.13</v>
      </c>
      <c r="D150" s="381">
        <v>0.13</v>
      </c>
      <c r="E150" s="381">
        <v>0.127</v>
      </c>
      <c r="F150" s="381">
        <v>0.13</v>
      </c>
      <c r="G150" s="382">
        <v>0.13</v>
      </c>
    </row>
    <row r="151" spans="1:7">
      <c r="A151" s="391" t="s">
        <v>295</v>
      </c>
      <c r="B151" s="380" t="s">
        <v>2799</v>
      </c>
      <c r="C151" s="381">
        <v>0.13</v>
      </c>
      <c r="D151" s="381">
        <v>0.13</v>
      </c>
      <c r="E151" s="381">
        <v>0.13</v>
      </c>
      <c r="F151" s="381">
        <v>0.13</v>
      </c>
      <c r="G151" s="382">
        <v>0.13</v>
      </c>
    </row>
    <row r="152" spans="1:7">
      <c r="A152" s="391" t="s">
        <v>295</v>
      </c>
      <c r="B152" s="380" t="s">
        <v>2800</v>
      </c>
      <c r="C152" s="381">
        <v>0.13</v>
      </c>
      <c r="D152" s="381">
        <v>0.13</v>
      </c>
      <c r="E152" s="381">
        <v>0.13</v>
      </c>
      <c r="F152" s="381">
        <v>0.13</v>
      </c>
      <c r="G152" s="382">
        <v>0.13</v>
      </c>
    </row>
    <row r="153" spans="1:7">
      <c r="A153" s="391" t="s">
        <v>295</v>
      </c>
      <c r="B153" s="380" t="s">
        <v>2801</v>
      </c>
      <c r="C153" s="381">
        <v>0.13</v>
      </c>
      <c r="D153" s="381">
        <v>0.13</v>
      </c>
      <c r="E153" s="381">
        <v>0.13</v>
      </c>
      <c r="F153" s="381">
        <v>0.13</v>
      </c>
      <c r="G153" s="382">
        <v>0.13</v>
      </c>
    </row>
    <row r="154" spans="1:7">
      <c r="A154" s="391" t="s">
        <v>295</v>
      </c>
      <c r="B154" s="380" t="s">
        <v>2802</v>
      </c>
      <c r="C154" s="381">
        <v>0.121</v>
      </c>
      <c r="D154" s="381">
        <v>0.121</v>
      </c>
      <c r="E154" s="381">
        <v>0.105</v>
      </c>
      <c r="F154" s="381">
        <v>0.121</v>
      </c>
      <c r="G154" s="382">
        <v>0.123</v>
      </c>
    </row>
    <row r="155" spans="1:7">
      <c r="A155" s="391" t="s">
        <v>295</v>
      </c>
      <c r="B155" s="380" t="s">
        <v>2803</v>
      </c>
      <c r="C155" s="381">
        <v>0.1</v>
      </c>
      <c r="D155" s="381">
        <v>0.1</v>
      </c>
      <c r="E155" s="381">
        <v>0.1</v>
      </c>
      <c r="F155" s="381">
        <v>0.1</v>
      </c>
      <c r="G155" s="382">
        <v>0.1</v>
      </c>
    </row>
    <row r="156" spans="1:7">
      <c r="A156" s="391" t="s">
        <v>295</v>
      </c>
      <c r="B156" s="380" t="s">
        <v>2804</v>
      </c>
      <c r="C156" s="381">
        <v>0.13</v>
      </c>
      <c r="D156" s="381">
        <v>0.13</v>
      </c>
      <c r="E156" s="381">
        <v>0.13</v>
      </c>
      <c r="F156" s="381">
        <v>0.13</v>
      </c>
      <c r="G156" s="382">
        <v>0.13</v>
      </c>
    </row>
    <row r="157" spans="1:7">
      <c r="A157" s="391" t="s">
        <v>295</v>
      </c>
      <c r="B157" s="380" t="s">
        <v>2805</v>
      </c>
      <c r="C157" s="381">
        <v>0.13</v>
      </c>
      <c r="D157" s="381">
        <v>0.13</v>
      </c>
      <c r="E157" s="381">
        <v>0.125</v>
      </c>
      <c r="F157" s="381">
        <v>0.13</v>
      </c>
      <c r="G157" s="382">
        <v>0.13</v>
      </c>
    </row>
    <row r="158" spans="1:7">
      <c r="A158" s="391" t="s">
        <v>295</v>
      </c>
      <c r="B158" s="380" t="s">
        <v>2806</v>
      </c>
      <c r="C158" s="381">
        <v>0.124</v>
      </c>
      <c r="D158" s="381">
        <v>0.124</v>
      </c>
      <c r="E158" s="381">
        <v>0.117</v>
      </c>
      <c r="F158" s="381">
        <v>0.121</v>
      </c>
      <c r="G158" s="382">
        <v>0.124</v>
      </c>
    </row>
    <row r="159" spans="1:7">
      <c r="A159" s="391" t="s">
        <v>295</v>
      </c>
      <c r="B159" s="380" t="s">
        <v>2807</v>
      </c>
      <c r="C159" s="381">
        <v>0.127</v>
      </c>
      <c r="D159" s="381">
        <v>0.127</v>
      </c>
      <c r="E159" s="381">
        <v>0.122</v>
      </c>
      <c r="F159" s="381">
        <v>0.13</v>
      </c>
      <c r="G159" s="382">
        <v>0.129</v>
      </c>
    </row>
    <row r="160" spans="1:7">
      <c r="A160" s="391" t="s">
        <v>295</v>
      </c>
      <c r="B160" s="380" t="s">
        <v>2808</v>
      </c>
      <c r="C160" s="381">
        <v>0.13</v>
      </c>
      <c r="D160" s="381">
        <v>0.13</v>
      </c>
      <c r="E160" s="381">
        <v>0.124</v>
      </c>
      <c r="F160" s="381">
        <v>0.126</v>
      </c>
      <c r="G160" s="382">
        <v>0.13</v>
      </c>
    </row>
    <row r="161" spans="1:7">
      <c r="A161" s="391" t="s">
        <v>295</v>
      </c>
      <c r="B161" s="380" t="s">
        <v>2809</v>
      </c>
      <c r="C161" s="381">
        <v>0.13</v>
      </c>
      <c r="D161" s="381">
        <v>0.13</v>
      </c>
      <c r="E161" s="381">
        <v>0.124</v>
      </c>
      <c r="F161" s="381">
        <v>0.127</v>
      </c>
      <c r="G161" s="382">
        <v>0.13</v>
      </c>
    </row>
    <row r="162" spans="1:7">
      <c r="A162" s="391" t="s">
        <v>295</v>
      </c>
      <c r="B162" s="380" t="s">
        <v>2810</v>
      </c>
      <c r="C162" s="381">
        <v>0.1</v>
      </c>
      <c r="D162" s="381">
        <v>0.1</v>
      </c>
      <c r="E162" s="381">
        <v>0.1</v>
      </c>
      <c r="F162" s="381">
        <v>0.121</v>
      </c>
      <c r="G162" s="382">
        <v>0.105</v>
      </c>
    </row>
    <row r="163" spans="1:7">
      <c r="A163" s="391" t="s">
        <v>295</v>
      </c>
      <c r="B163" s="380" t="s">
        <v>2811</v>
      </c>
      <c r="C163" s="381">
        <v>0.1</v>
      </c>
      <c r="D163" s="381">
        <v>0.1</v>
      </c>
      <c r="E163" s="381">
        <v>0.1</v>
      </c>
      <c r="F163" s="381">
        <v>0.1</v>
      </c>
      <c r="G163" s="382">
        <v>0.1</v>
      </c>
    </row>
    <row r="164" spans="1:7">
      <c r="A164" s="391" t="s">
        <v>295</v>
      </c>
      <c r="B164" s="380" t="s">
        <v>2812</v>
      </c>
      <c r="C164" s="397"/>
      <c r="D164" s="397"/>
      <c r="E164" s="397"/>
      <c r="F164" s="381">
        <v>0.1</v>
      </c>
      <c r="G164" s="393"/>
    </row>
    <row r="165" spans="1:7">
      <c r="A165" s="391" t="s">
        <v>295</v>
      </c>
      <c r="B165" s="380" t="s">
        <v>2813</v>
      </c>
      <c r="C165" s="381">
        <v>0.126</v>
      </c>
      <c r="D165" s="381">
        <v>0.126</v>
      </c>
      <c r="E165" s="381">
        <v>0.119</v>
      </c>
      <c r="F165" s="381">
        <v>0.13</v>
      </c>
      <c r="G165" s="382">
        <v>0.128</v>
      </c>
    </row>
    <row r="166" spans="1:7">
      <c r="A166" s="391" t="s">
        <v>295</v>
      </c>
      <c r="B166" s="380" t="s">
        <v>2814</v>
      </c>
      <c r="C166" s="381">
        <v>0.129</v>
      </c>
      <c r="D166" s="381">
        <v>0.129</v>
      </c>
      <c r="E166" s="381">
        <v>0.123</v>
      </c>
      <c r="F166" s="381">
        <v>0.128</v>
      </c>
      <c r="G166" s="382">
        <v>0.13</v>
      </c>
    </row>
    <row r="167" spans="1:7">
      <c r="A167" s="391" t="s">
        <v>295</v>
      </c>
      <c r="B167" s="380" t="s">
        <v>2815</v>
      </c>
      <c r="C167" s="381">
        <v>0.125</v>
      </c>
      <c r="D167" s="381">
        <v>0.125</v>
      </c>
      <c r="E167" s="381">
        <v>0.117</v>
      </c>
      <c r="F167" s="381">
        <v>0.13</v>
      </c>
      <c r="G167" s="382">
        <v>0.126</v>
      </c>
    </row>
    <row r="168" spans="1:7">
      <c r="A168" s="391" t="s">
        <v>295</v>
      </c>
      <c r="B168" s="380" t="s">
        <v>2816</v>
      </c>
      <c r="C168" s="381">
        <v>0.128</v>
      </c>
      <c r="D168" s="381">
        <v>0.128</v>
      </c>
      <c r="E168" s="381">
        <v>0.123</v>
      </c>
      <c r="F168" s="392"/>
      <c r="G168" s="382">
        <v>0.13</v>
      </c>
    </row>
    <row r="169" spans="1:7">
      <c r="A169" s="391" t="s">
        <v>295</v>
      </c>
      <c r="B169" s="380" t="s">
        <v>2817</v>
      </c>
      <c r="C169" s="397"/>
      <c r="D169" s="397"/>
      <c r="E169" s="397"/>
      <c r="F169" s="381">
        <v>0.05</v>
      </c>
      <c r="G169" s="393"/>
    </row>
    <row r="170" spans="1:7">
      <c r="A170" s="391" t="s">
        <v>295</v>
      </c>
      <c r="B170" s="380" t="s">
        <v>2818</v>
      </c>
      <c r="C170" s="397"/>
      <c r="D170" s="397"/>
      <c r="E170" s="397"/>
      <c r="F170" s="381">
        <v>0.05</v>
      </c>
      <c r="G170" s="393"/>
    </row>
    <row r="171" spans="1:7">
      <c r="A171" s="391" t="s">
        <v>295</v>
      </c>
      <c r="B171" s="380" t="s">
        <v>2819</v>
      </c>
      <c r="C171" s="397"/>
      <c r="D171" s="397"/>
      <c r="E171" s="397"/>
      <c r="F171" s="381">
        <v>0.05</v>
      </c>
      <c r="G171" s="398"/>
    </row>
    <row r="172" spans="1:7">
      <c r="A172" s="391" t="s">
        <v>295</v>
      </c>
      <c r="B172" s="380" t="s">
        <v>2820</v>
      </c>
      <c r="C172" s="397"/>
      <c r="D172" s="397"/>
      <c r="E172" s="397"/>
      <c r="F172" s="381">
        <v>0.05</v>
      </c>
      <c r="G172" s="398"/>
    </row>
    <row r="173" spans="1:7">
      <c r="A173" s="391" t="s">
        <v>295</v>
      </c>
      <c r="B173" s="380" t="s">
        <v>2821</v>
      </c>
      <c r="C173" s="397"/>
      <c r="D173" s="397"/>
      <c r="E173" s="397"/>
      <c r="F173" s="381">
        <v>0.05</v>
      </c>
      <c r="G173" s="393"/>
    </row>
    <row r="174" spans="1:7">
      <c r="A174" s="391" t="s">
        <v>295</v>
      </c>
      <c r="B174" s="380" t="s">
        <v>2822</v>
      </c>
      <c r="C174" s="397"/>
      <c r="D174" s="397"/>
      <c r="E174" s="397"/>
      <c r="F174" s="381">
        <v>0.05</v>
      </c>
      <c r="G174" s="393"/>
    </row>
    <row r="175" spans="1:7">
      <c r="A175" s="391" t="s">
        <v>295</v>
      </c>
      <c r="B175" s="380" t="s">
        <v>2823</v>
      </c>
      <c r="C175" s="397"/>
      <c r="D175" s="397"/>
      <c r="E175" s="397"/>
      <c r="F175" s="381">
        <v>0.05</v>
      </c>
      <c r="G175" s="393"/>
    </row>
    <row r="176" spans="1:7">
      <c r="A176" s="391" t="s">
        <v>295</v>
      </c>
      <c r="B176" s="380" t="s">
        <v>2824</v>
      </c>
      <c r="C176" s="397"/>
      <c r="D176" s="397"/>
      <c r="E176" s="397"/>
      <c r="F176" s="381">
        <v>0.05</v>
      </c>
      <c r="G176" s="393"/>
    </row>
    <row r="177" spans="1:7">
      <c r="A177" s="391" t="s">
        <v>295</v>
      </c>
      <c r="B177" s="380" t="s">
        <v>2825</v>
      </c>
      <c r="C177" s="392"/>
      <c r="D177" s="392"/>
      <c r="E177" s="392"/>
      <c r="F177" s="381">
        <v>0.05</v>
      </c>
      <c r="G177" s="398"/>
    </row>
    <row r="178" spans="1:7">
      <c r="A178" s="391" t="s">
        <v>295</v>
      </c>
      <c r="B178" s="380" t="s">
        <v>2826</v>
      </c>
      <c r="C178" s="392"/>
      <c r="D178" s="392"/>
      <c r="E178" s="392"/>
      <c r="F178" s="381">
        <v>0.05</v>
      </c>
      <c r="G178" s="398"/>
    </row>
    <row r="179" spans="1:7">
      <c r="A179" s="391" t="s">
        <v>295</v>
      </c>
      <c r="B179" s="380" t="s">
        <v>2827</v>
      </c>
      <c r="C179" s="392"/>
      <c r="D179" s="392"/>
      <c r="E179" s="392"/>
      <c r="F179" s="381">
        <v>0.05</v>
      </c>
      <c r="G179" s="398"/>
    </row>
    <row r="180" spans="1:7">
      <c r="A180" s="391" t="s">
        <v>295</v>
      </c>
      <c r="B180" s="380" t="s">
        <v>2828</v>
      </c>
      <c r="C180" s="392"/>
      <c r="D180" s="392"/>
      <c r="E180" s="392"/>
      <c r="F180" s="381">
        <v>0.05</v>
      </c>
      <c r="G180" s="398"/>
    </row>
    <row r="181" spans="1:7">
      <c r="A181" s="391" t="s">
        <v>295</v>
      </c>
      <c r="B181" s="380" t="s">
        <v>2829</v>
      </c>
      <c r="C181" s="392"/>
      <c r="D181" s="392"/>
      <c r="E181" s="392"/>
      <c r="F181" s="381">
        <v>0.05</v>
      </c>
      <c r="G181" s="398"/>
    </row>
    <row r="182" spans="1:7">
      <c r="A182" s="391" t="s">
        <v>295</v>
      </c>
      <c r="B182" s="380" t="s">
        <v>2830</v>
      </c>
      <c r="C182" s="392"/>
      <c r="D182" s="392"/>
      <c r="E182" s="392"/>
      <c r="F182" s="381">
        <v>0.05</v>
      </c>
      <c r="G182" s="398"/>
    </row>
    <row r="183" spans="1:7">
      <c r="A183" s="391" t="s">
        <v>295</v>
      </c>
      <c r="B183" s="380" t="s">
        <v>2831</v>
      </c>
      <c r="C183" s="392"/>
      <c r="D183" s="392"/>
      <c r="E183" s="392"/>
      <c r="F183" s="381">
        <v>0.05</v>
      </c>
      <c r="G183" s="398"/>
    </row>
    <row r="184" spans="1:7">
      <c r="A184" s="391" t="s">
        <v>295</v>
      </c>
      <c r="B184" s="380" t="s">
        <v>2832</v>
      </c>
      <c r="C184" s="392"/>
      <c r="D184" s="392"/>
      <c r="E184" s="392"/>
      <c r="F184" s="381">
        <v>0.05</v>
      </c>
      <c r="G184" s="398"/>
    </row>
    <row r="185" spans="1:7">
      <c r="A185" s="391" t="s">
        <v>295</v>
      </c>
      <c r="B185" s="380" t="s">
        <v>2833</v>
      </c>
      <c r="C185" s="392"/>
      <c r="D185" s="392"/>
      <c r="E185" s="392"/>
      <c r="F185" s="381">
        <v>0.05</v>
      </c>
      <c r="G185" s="398"/>
    </row>
    <row r="186" spans="1:7">
      <c r="A186" s="391" t="s">
        <v>295</v>
      </c>
      <c r="B186" s="380" t="s">
        <v>2834</v>
      </c>
      <c r="C186" s="392"/>
      <c r="D186" s="392"/>
      <c r="E186" s="392"/>
      <c r="F186" s="381">
        <v>0.05</v>
      </c>
      <c r="G186" s="398"/>
    </row>
    <row r="187" spans="1:7">
      <c r="A187" s="391" t="s">
        <v>295</v>
      </c>
      <c r="B187" s="380" t="s">
        <v>2835</v>
      </c>
      <c r="C187" s="392"/>
      <c r="D187" s="392"/>
      <c r="E187" s="392"/>
      <c r="F187" s="381">
        <v>0.05</v>
      </c>
      <c r="G187" s="398"/>
    </row>
    <row r="188" spans="1:7">
      <c r="A188" s="391" t="s">
        <v>295</v>
      </c>
      <c r="B188" s="380" t="s">
        <v>2836</v>
      </c>
      <c r="C188" s="392"/>
      <c r="D188" s="392"/>
      <c r="E188" s="392"/>
      <c r="F188" s="381">
        <v>0.05</v>
      </c>
      <c r="G188" s="398"/>
    </row>
    <row r="189" ht="14.25" spans="1:7">
      <c r="A189" s="394" t="s">
        <v>295</v>
      </c>
      <c r="B189" s="384" t="s">
        <v>2837</v>
      </c>
      <c r="C189" s="386"/>
      <c r="D189" s="386"/>
      <c r="E189" s="386"/>
      <c r="F189" s="385">
        <v>0.05</v>
      </c>
      <c r="G189" s="399"/>
    </row>
    <row r="190" spans="1:7">
      <c r="A190" s="390" t="s">
        <v>303</v>
      </c>
      <c r="B190" s="376" t="s">
        <v>2838</v>
      </c>
      <c r="C190" s="377">
        <v>0.124</v>
      </c>
      <c r="D190" s="377">
        <v>0.124</v>
      </c>
      <c r="E190" s="377">
        <v>0.129</v>
      </c>
      <c r="F190" s="377">
        <v>0.13</v>
      </c>
      <c r="G190" s="378">
        <v>0.127</v>
      </c>
    </row>
    <row r="191" spans="1:7">
      <c r="A191" s="391" t="s">
        <v>303</v>
      </c>
      <c r="B191" s="380" t="s">
        <v>2839</v>
      </c>
      <c r="C191" s="381">
        <v>0.13</v>
      </c>
      <c r="D191" s="381">
        <v>0.13</v>
      </c>
      <c r="E191" s="381">
        <v>0.13</v>
      </c>
      <c r="F191" s="381">
        <v>0.13</v>
      </c>
      <c r="G191" s="382">
        <v>0.13</v>
      </c>
    </row>
    <row r="192" spans="1:7">
      <c r="A192" s="391" t="s">
        <v>303</v>
      </c>
      <c r="B192" s="380" t="s">
        <v>2840</v>
      </c>
      <c r="C192" s="381">
        <v>0.13</v>
      </c>
      <c r="D192" s="381">
        <v>0.13</v>
      </c>
      <c r="E192" s="381">
        <v>0.13</v>
      </c>
      <c r="F192" s="381">
        <v>0.13</v>
      </c>
      <c r="G192" s="382">
        <v>0.13</v>
      </c>
    </row>
    <row r="193" spans="1:7">
      <c r="A193" s="391" t="s">
        <v>303</v>
      </c>
      <c r="B193" s="380" t="s">
        <v>2841</v>
      </c>
      <c r="C193" s="381">
        <v>0.13</v>
      </c>
      <c r="D193" s="381">
        <v>0.13</v>
      </c>
      <c r="E193" s="381">
        <v>0.13</v>
      </c>
      <c r="F193" s="381">
        <v>0.13</v>
      </c>
      <c r="G193" s="382">
        <v>0.13</v>
      </c>
    </row>
    <row r="194" spans="1:7">
      <c r="A194" s="391" t="s">
        <v>303</v>
      </c>
      <c r="B194" s="380" t="s">
        <v>2842</v>
      </c>
      <c r="C194" s="381">
        <v>0.123</v>
      </c>
      <c r="D194" s="381">
        <v>0.123</v>
      </c>
      <c r="E194" s="381">
        <v>0.128</v>
      </c>
      <c r="F194" s="381">
        <v>0.13</v>
      </c>
      <c r="G194" s="382">
        <v>0.126</v>
      </c>
    </row>
    <row r="195" spans="1:7">
      <c r="A195" s="391" t="s">
        <v>303</v>
      </c>
      <c r="B195" s="380" t="s">
        <v>2843</v>
      </c>
      <c r="C195" s="381">
        <v>0.127</v>
      </c>
      <c r="D195" s="381">
        <v>0.127</v>
      </c>
      <c r="E195" s="381">
        <v>0.121</v>
      </c>
      <c r="F195" s="381">
        <v>0.129</v>
      </c>
      <c r="G195" s="382">
        <v>0.129</v>
      </c>
    </row>
    <row r="196" spans="1:7">
      <c r="A196" s="391" t="s">
        <v>303</v>
      </c>
      <c r="B196" s="380" t="s">
        <v>2844</v>
      </c>
      <c r="C196" s="381">
        <v>0.127</v>
      </c>
      <c r="D196" s="381">
        <v>0.128</v>
      </c>
      <c r="E196" s="381">
        <v>0.122</v>
      </c>
      <c r="F196" s="381">
        <v>0.13</v>
      </c>
      <c r="G196" s="382">
        <v>0.129</v>
      </c>
    </row>
    <row r="197" spans="1:7">
      <c r="A197" s="391" t="s">
        <v>303</v>
      </c>
      <c r="B197" s="380" t="s">
        <v>2845</v>
      </c>
      <c r="C197" s="381">
        <v>0.126</v>
      </c>
      <c r="D197" s="381">
        <v>0.126</v>
      </c>
      <c r="E197" s="381">
        <v>0.119</v>
      </c>
      <c r="F197" s="381">
        <v>0.13</v>
      </c>
      <c r="G197" s="382">
        <v>0.128</v>
      </c>
    </row>
    <row r="198" spans="1:7">
      <c r="A198" s="391" t="s">
        <v>303</v>
      </c>
      <c r="B198" s="380" t="s">
        <v>2846</v>
      </c>
      <c r="C198" s="381">
        <v>0.13</v>
      </c>
      <c r="D198" s="381">
        <v>0.13</v>
      </c>
      <c r="E198" s="381">
        <v>0.126</v>
      </c>
      <c r="F198" s="397"/>
      <c r="G198" s="382">
        <v>0.13</v>
      </c>
    </row>
    <row r="199" spans="1:7">
      <c r="A199" s="391" t="s">
        <v>303</v>
      </c>
      <c r="B199" s="380" t="s">
        <v>2847</v>
      </c>
      <c r="C199" s="381">
        <v>0.13</v>
      </c>
      <c r="D199" s="381">
        <v>0.13</v>
      </c>
      <c r="E199" s="381">
        <v>0.13</v>
      </c>
      <c r="F199" s="381">
        <v>0.13</v>
      </c>
      <c r="G199" s="382">
        <v>0.13</v>
      </c>
    </row>
    <row r="200" spans="1:7">
      <c r="A200" s="391" t="s">
        <v>303</v>
      </c>
      <c r="B200" s="380" t="s">
        <v>2848</v>
      </c>
      <c r="C200" s="397"/>
      <c r="D200" s="397"/>
      <c r="E200" s="397"/>
      <c r="F200" s="381">
        <v>0.13</v>
      </c>
      <c r="G200" s="393"/>
    </row>
    <row r="201" spans="1:7">
      <c r="A201" s="391" t="s">
        <v>303</v>
      </c>
      <c r="B201" s="380" t="s">
        <v>2849</v>
      </c>
      <c r="C201" s="381">
        <v>0.13</v>
      </c>
      <c r="D201" s="381">
        <v>0.13</v>
      </c>
      <c r="E201" s="381">
        <v>0.13</v>
      </c>
      <c r="F201" s="381">
        <v>0.129</v>
      </c>
      <c r="G201" s="382">
        <v>0.13</v>
      </c>
    </row>
    <row r="202" spans="1:7">
      <c r="A202" s="391" t="s">
        <v>303</v>
      </c>
      <c r="B202" s="380" t="s">
        <v>2850</v>
      </c>
      <c r="C202" s="381">
        <v>0.13</v>
      </c>
      <c r="D202" s="381">
        <v>0.13</v>
      </c>
      <c r="E202" s="381">
        <v>0.13</v>
      </c>
      <c r="F202" s="381">
        <v>0.13</v>
      </c>
      <c r="G202" s="382">
        <v>0.13</v>
      </c>
    </row>
    <row r="203" spans="1:7">
      <c r="A203" s="391" t="s">
        <v>303</v>
      </c>
      <c r="B203" s="380" t="s">
        <v>2851</v>
      </c>
      <c r="C203" s="381">
        <v>0.129</v>
      </c>
      <c r="D203" s="381">
        <v>0.129</v>
      </c>
      <c r="E203" s="381">
        <v>0.13</v>
      </c>
      <c r="F203" s="381">
        <v>0.13</v>
      </c>
      <c r="G203" s="382">
        <v>0.13</v>
      </c>
    </row>
    <row r="204" spans="1:7">
      <c r="A204" s="391" t="s">
        <v>303</v>
      </c>
      <c r="B204" s="380" t="s">
        <v>2852</v>
      </c>
      <c r="C204" s="381">
        <v>0.129</v>
      </c>
      <c r="D204" s="381">
        <v>0.129</v>
      </c>
      <c r="E204" s="381">
        <v>0.123</v>
      </c>
      <c r="F204" s="381">
        <v>0.13</v>
      </c>
      <c r="G204" s="382">
        <v>0.13</v>
      </c>
    </row>
    <row r="205" spans="1:7">
      <c r="A205" s="391" t="s">
        <v>303</v>
      </c>
      <c r="B205" s="380" t="s">
        <v>2853</v>
      </c>
      <c r="C205" s="381">
        <v>0.13</v>
      </c>
      <c r="D205" s="381">
        <v>0.13</v>
      </c>
      <c r="E205" s="381">
        <v>0.13</v>
      </c>
      <c r="F205" s="381">
        <v>0.13</v>
      </c>
      <c r="G205" s="382">
        <v>0.13</v>
      </c>
    </row>
    <row r="206" spans="1:7">
      <c r="A206" s="391" t="s">
        <v>303</v>
      </c>
      <c r="B206" s="380" t="s">
        <v>2854</v>
      </c>
      <c r="C206" s="381">
        <v>0.13</v>
      </c>
      <c r="D206" s="381">
        <v>0.13</v>
      </c>
      <c r="E206" s="381">
        <v>0.13</v>
      </c>
      <c r="F206" s="381">
        <v>0.128</v>
      </c>
      <c r="G206" s="382">
        <v>0.13</v>
      </c>
    </row>
    <row r="207" spans="1:7">
      <c r="A207" s="391" t="s">
        <v>303</v>
      </c>
      <c r="B207" s="380" t="s">
        <v>2855</v>
      </c>
      <c r="C207" s="381">
        <v>0.13</v>
      </c>
      <c r="D207" s="381">
        <v>0.13</v>
      </c>
      <c r="E207" s="381">
        <v>0.13</v>
      </c>
      <c r="F207" s="381">
        <v>0.13</v>
      </c>
      <c r="G207" s="382">
        <v>0.13</v>
      </c>
    </row>
    <row r="208" spans="1:7">
      <c r="A208" s="391" t="s">
        <v>303</v>
      </c>
      <c r="B208" s="380" t="s">
        <v>2856</v>
      </c>
      <c r="C208" s="381">
        <v>0.13</v>
      </c>
      <c r="D208" s="381">
        <v>0.13</v>
      </c>
      <c r="E208" s="381">
        <v>0.13</v>
      </c>
      <c r="F208" s="381">
        <v>0.13</v>
      </c>
      <c r="G208" s="382">
        <v>0.13</v>
      </c>
    </row>
    <row r="209" spans="1:7">
      <c r="A209" s="391" t="s">
        <v>303</v>
      </c>
      <c r="B209" s="380" t="s">
        <v>2857</v>
      </c>
      <c r="C209" s="381">
        <v>0.13</v>
      </c>
      <c r="D209" s="381">
        <v>0.13</v>
      </c>
      <c r="E209" s="381">
        <v>0.13</v>
      </c>
      <c r="F209" s="381">
        <v>0.13</v>
      </c>
      <c r="G209" s="382">
        <v>0.13</v>
      </c>
    </row>
    <row r="210" spans="1:7">
      <c r="A210" s="391" t="s">
        <v>303</v>
      </c>
      <c r="B210" s="380" t="s">
        <v>2858</v>
      </c>
      <c r="C210" s="381">
        <v>0.121</v>
      </c>
      <c r="D210" s="381">
        <v>0.121</v>
      </c>
      <c r="E210" s="381">
        <v>0.125</v>
      </c>
      <c r="F210" s="381">
        <v>0.13</v>
      </c>
      <c r="G210" s="382">
        <v>0.123</v>
      </c>
    </row>
    <row r="211" spans="1:7">
      <c r="A211" s="391" t="s">
        <v>303</v>
      </c>
      <c r="B211" s="380" t="s">
        <v>2859</v>
      </c>
      <c r="C211" s="381">
        <v>0.123</v>
      </c>
      <c r="D211" s="381">
        <v>0.123</v>
      </c>
      <c r="E211" s="381">
        <v>0.127</v>
      </c>
      <c r="F211" s="381">
        <v>0.115</v>
      </c>
      <c r="G211" s="382">
        <v>0.126</v>
      </c>
    </row>
    <row r="212" spans="1:7">
      <c r="A212" s="391" t="s">
        <v>303</v>
      </c>
      <c r="B212" s="380" t="s">
        <v>2860</v>
      </c>
      <c r="C212" s="381">
        <v>0.126</v>
      </c>
      <c r="D212" s="381">
        <v>0.126</v>
      </c>
      <c r="E212" s="381">
        <v>0.13</v>
      </c>
      <c r="F212" s="381">
        <v>0.13</v>
      </c>
      <c r="G212" s="382">
        <v>0.129</v>
      </c>
    </row>
    <row r="213" spans="1:7">
      <c r="A213" s="391" t="s">
        <v>303</v>
      </c>
      <c r="B213" s="380" t="s">
        <v>2861</v>
      </c>
      <c r="C213" s="381">
        <v>0.129</v>
      </c>
      <c r="D213" s="381">
        <v>0.13</v>
      </c>
      <c r="E213" s="381">
        <v>0.127</v>
      </c>
      <c r="F213" s="381">
        <v>0.13</v>
      </c>
      <c r="G213" s="382">
        <v>0.13</v>
      </c>
    </row>
    <row r="214" spans="1:7">
      <c r="A214" s="391" t="s">
        <v>303</v>
      </c>
      <c r="B214" s="380" t="s">
        <v>2862</v>
      </c>
      <c r="C214" s="381">
        <v>0.128</v>
      </c>
      <c r="D214" s="381">
        <v>0.128</v>
      </c>
      <c r="E214" s="381">
        <v>0.13</v>
      </c>
      <c r="F214" s="381">
        <v>0.13</v>
      </c>
      <c r="G214" s="382">
        <v>0.13</v>
      </c>
    </row>
    <row r="215" spans="1:7">
      <c r="A215" s="391" t="s">
        <v>303</v>
      </c>
      <c r="B215" s="380" t="s">
        <v>2863</v>
      </c>
      <c r="C215" s="381">
        <v>0.13</v>
      </c>
      <c r="D215" s="381">
        <v>0.13</v>
      </c>
      <c r="E215" s="381">
        <v>0.13</v>
      </c>
      <c r="F215" s="381">
        <v>0.129</v>
      </c>
      <c r="G215" s="382">
        <v>0.13</v>
      </c>
    </row>
    <row r="216" spans="1:7">
      <c r="A216" s="391" t="s">
        <v>303</v>
      </c>
      <c r="B216" s="380" t="s">
        <v>2864</v>
      </c>
      <c r="C216" s="381">
        <v>0.13</v>
      </c>
      <c r="D216" s="381">
        <v>0.13</v>
      </c>
      <c r="E216" s="381">
        <v>0.13</v>
      </c>
      <c r="F216" s="381">
        <v>0.13</v>
      </c>
      <c r="G216" s="382">
        <v>0.13</v>
      </c>
    </row>
    <row r="217" spans="1:7">
      <c r="A217" s="391" t="s">
        <v>303</v>
      </c>
      <c r="B217" s="380" t="s">
        <v>2865</v>
      </c>
      <c r="C217" s="381">
        <v>0.129</v>
      </c>
      <c r="D217" s="381">
        <v>0.129</v>
      </c>
      <c r="E217" s="381">
        <v>0.13</v>
      </c>
      <c r="F217" s="381">
        <v>0.13</v>
      </c>
      <c r="G217" s="382">
        <v>0.13</v>
      </c>
    </row>
    <row r="218" spans="1:7">
      <c r="A218" s="391" t="s">
        <v>303</v>
      </c>
      <c r="B218" s="380" t="s">
        <v>2866</v>
      </c>
      <c r="C218" s="392"/>
      <c r="D218" s="392"/>
      <c r="E218" s="392"/>
      <c r="F218" s="381">
        <v>0.05</v>
      </c>
      <c r="G218" s="398"/>
    </row>
    <row r="219" spans="1:7">
      <c r="A219" s="391" t="s">
        <v>303</v>
      </c>
      <c r="B219" s="380" t="s">
        <v>2867</v>
      </c>
      <c r="C219" s="392"/>
      <c r="D219" s="392"/>
      <c r="E219" s="392"/>
      <c r="F219" s="381">
        <v>0.05</v>
      </c>
      <c r="G219" s="398"/>
    </row>
    <row r="220" spans="1:7">
      <c r="A220" s="391" t="s">
        <v>303</v>
      </c>
      <c r="B220" s="380" t="s">
        <v>2868</v>
      </c>
      <c r="C220" s="392"/>
      <c r="D220" s="392"/>
      <c r="E220" s="392"/>
      <c r="F220" s="381">
        <v>0.05</v>
      </c>
      <c r="G220" s="398"/>
    </row>
    <row r="221" spans="1:7">
      <c r="A221" s="391" t="s">
        <v>303</v>
      </c>
      <c r="B221" s="380" t="s">
        <v>2869</v>
      </c>
      <c r="C221" s="392"/>
      <c r="D221" s="392"/>
      <c r="E221" s="392"/>
      <c r="F221" s="381">
        <v>0.05</v>
      </c>
      <c r="G221" s="398"/>
    </row>
    <row r="222" spans="1:7">
      <c r="A222" s="391" t="s">
        <v>303</v>
      </c>
      <c r="B222" s="380" t="s">
        <v>2870</v>
      </c>
      <c r="C222" s="392"/>
      <c r="D222" s="392"/>
      <c r="E222" s="392"/>
      <c r="F222" s="381">
        <v>0.05</v>
      </c>
      <c r="G222" s="398"/>
    </row>
    <row r="223" spans="1:7">
      <c r="A223" s="391" t="s">
        <v>303</v>
      </c>
      <c r="B223" s="380" t="s">
        <v>2871</v>
      </c>
      <c r="C223" s="392"/>
      <c r="D223" s="392"/>
      <c r="E223" s="392"/>
      <c r="F223" s="381">
        <v>0.05</v>
      </c>
      <c r="G223" s="398"/>
    </row>
    <row r="224" spans="1:7">
      <c r="A224" s="391" t="s">
        <v>303</v>
      </c>
      <c r="B224" s="380" t="s">
        <v>2872</v>
      </c>
      <c r="C224" s="392"/>
      <c r="D224" s="392"/>
      <c r="E224" s="392"/>
      <c r="F224" s="381">
        <v>0.05</v>
      </c>
      <c r="G224" s="398"/>
    </row>
    <row r="225" spans="1:7">
      <c r="A225" s="391" t="s">
        <v>303</v>
      </c>
      <c r="B225" s="380" t="s">
        <v>2873</v>
      </c>
      <c r="C225" s="392"/>
      <c r="D225" s="392"/>
      <c r="E225" s="392"/>
      <c r="F225" s="381">
        <v>0.05</v>
      </c>
      <c r="G225" s="398"/>
    </row>
    <row r="226" spans="1:7">
      <c r="A226" s="391" t="s">
        <v>303</v>
      </c>
      <c r="B226" s="380" t="s">
        <v>2874</v>
      </c>
      <c r="C226" s="392"/>
      <c r="D226" s="392"/>
      <c r="E226" s="392"/>
      <c r="F226" s="381">
        <v>0.05</v>
      </c>
      <c r="G226" s="398"/>
    </row>
    <row r="227" spans="1:7">
      <c r="A227" s="391" t="s">
        <v>303</v>
      </c>
      <c r="B227" s="380" t="s">
        <v>2875</v>
      </c>
      <c r="C227" s="392"/>
      <c r="D227" s="392"/>
      <c r="E227" s="392"/>
      <c r="F227" s="381">
        <v>0.05</v>
      </c>
      <c r="G227" s="398"/>
    </row>
    <row r="228" spans="1:7">
      <c r="A228" s="391" t="s">
        <v>303</v>
      </c>
      <c r="B228" s="380" t="s">
        <v>2876</v>
      </c>
      <c r="C228" s="392"/>
      <c r="D228" s="392"/>
      <c r="E228" s="392"/>
      <c r="F228" s="381">
        <v>0.05</v>
      </c>
      <c r="G228" s="398"/>
    </row>
    <row r="229" spans="1:7">
      <c r="A229" s="391" t="s">
        <v>303</v>
      </c>
      <c r="B229" s="380" t="s">
        <v>2877</v>
      </c>
      <c r="C229" s="392"/>
      <c r="D229" s="392"/>
      <c r="E229" s="392"/>
      <c r="F229" s="381">
        <v>0.05</v>
      </c>
      <c r="G229" s="398"/>
    </row>
    <row r="230" spans="1:7">
      <c r="A230" s="391" t="s">
        <v>303</v>
      </c>
      <c r="B230" s="380" t="s">
        <v>2878</v>
      </c>
      <c r="C230" s="392"/>
      <c r="D230" s="392"/>
      <c r="E230" s="392"/>
      <c r="F230" s="381">
        <v>0.05</v>
      </c>
      <c r="G230" s="398"/>
    </row>
    <row r="231" spans="1:7">
      <c r="A231" s="391" t="s">
        <v>303</v>
      </c>
      <c r="B231" s="380" t="s">
        <v>2879</v>
      </c>
      <c r="C231" s="392"/>
      <c r="D231" s="392"/>
      <c r="E231" s="392"/>
      <c r="F231" s="381">
        <v>0.05</v>
      </c>
      <c r="G231" s="398"/>
    </row>
    <row r="232" spans="1:7">
      <c r="A232" s="391" t="s">
        <v>303</v>
      </c>
      <c r="B232" s="380" t="s">
        <v>2880</v>
      </c>
      <c r="C232" s="392"/>
      <c r="D232" s="392"/>
      <c r="E232" s="392"/>
      <c r="F232" s="381">
        <v>0.05</v>
      </c>
      <c r="G232" s="398"/>
    </row>
    <row r="233" ht="14.25" spans="1:7">
      <c r="A233" s="394" t="s">
        <v>303</v>
      </c>
      <c r="B233" s="384" t="s">
        <v>2881</v>
      </c>
      <c r="C233" s="386"/>
      <c r="D233" s="386"/>
      <c r="E233" s="386"/>
      <c r="F233" s="385">
        <v>0.05</v>
      </c>
      <c r="G233" s="399"/>
    </row>
    <row r="234" spans="1:7">
      <c r="A234" s="390" t="s">
        <v>311</v>
      </c>
      <c r="B234" s="376" t="s">
        <v>2882</v>
      </c>
      <c r="C234" s="377">
        <v>0.13</v>
      </c>
      <c r="D234" s="377">
        <v>0.128</v>
      </c>
      <c r="E234" s="377">
        <v>0.142</v>
      </c>
      <c r="F234" s="377">
        <v>0.147</v>
      </c>
      <c r="G234" s="378">
        <v>0.14</v>
      </c>
    </row>
    <row r="235" spans="1:7">
      <c r="A235" s="391" t="s">
        <v>311</v>
      </c>
      <c r="B235" s="380" t="s">
        <v>2883</v>
      </c>
      <c r="C235" s="381">
        <v>0.136</v>
      </c>
      <c r="D235" s="381">
        <v>0.138</v>
      </c>
      <c r="E235" s="381">
        <v>0.145</v>
      </c>
      <c r="F235" s="381">
        <v>0.143</v>
      </c>
      <c r="G235" s="382">
        <v>0.141</v>
      </c>
    </row>
    <row r="236" spans="1:7">
      <c r="A236" s="391" t="s">
        <v>311</v>
      </c>
      <c r="B236" s="380" t="s">
        <v>2884</v>
      </c>
      <c r="C236" s="381">
        <v>0.15</v>
      </c>
      <c r="D236" s="381">
        <v>0.15</v>
      </c>
      <c r="E236" s="381">
        <v>0.15</v>
      </c>
      <c r="F236" s="381">
        <v>0.15</v>
      </c>
      <c r="G236" s="382">
        <v>0.15</v>
      </c>
    </row>
    <row r="237" spans="1:7">
      <c r="A237" s="391" t="s">
        <v>311</v>
      </c>
      <c r="B237" s="380" t="s">
        <v>2885</v>
      </c>
      <c r="C237" s="381">
        <v>0.15</v>
      </c>
      <c r="D237" s="381">
        <v>0.15</v>
      </c>
      <c r="E237" s="381">
        <v>0.15</v>
      </c>
      <c r="F237" s="381">
        <v>0.15</v>
      </c>
      <c r="G237" s="382">
        <v>0.15</v>
      </c>
    </row>
    <row r="238" spans="1:7">
      <c r="A238" s="391" t="s">
        <v>311</v>
      </c>
      <c r="B238" s="380" t="s">
        <v>2886</v>
      </c>
      <c r="C238" s="381">
        <v>0.149</v>
      </c>
      <c r="D238" s="381">
        <v>0.149</v>
      </c>
      <c r="E238" s="381">
        <v>0.15</v>
      </c>
      <c r="F238" s="381">
        <v>0.15</v>
      </c>
      <c r="G238" s="382">
        <v>0.15</v>
      </c>
    </row>
    <row r="239" spans="1:7">
      <c r="A239" s="391" t="s">
        <v>311</v>
      </c>
      <c r="B239" s="380" t="s">
        <v>2887</v>
      </c>
      <c r="C239" s="381">
        <v>0.15</v>
      </c>
      <c r="D239" s="381">
        <v>0.15</v>
      </c>
      <c r="E239" s="381">
        <v>0.15</v>
      </c>
      <c r="F239" s="381">
        <v>0.15</v>
      </c>
      <c r="G239" s="382">
        <v>0.15</v>
      </c>
    </row>
    <row r="240" spans="1:7">
      <c r="A240" s="391" t="s">
        <v>311</v>
      </c>
      <c r="B240" s="380" t="s">
        <v>2888</v>
      </c>
      <c r="C240" s="381">
        <v>0.15</v>
      </c>
      <c r="D240" s="381">
        <v>0.15</v>
      </c>
      <c r="E240" s="381">
        <v>0.15</v>
      </c>
      <c r="F240" s="381">
        <v>0.15</v>
      </c>
      <c r="G240" s="382">
        <v>0.15</v>
      </c>
    </row>
    <row r="241" spans="1:7">
      <c r="A241" s="391" t="s">
        <v>311</v>
      </c>
      <c r="B241" s="380" t="s">
        <v>2889</v>
      </c>
      <c r="C241" s="381">
        <v>0.141</v>
      </c>
      <c r="D241" s="381">
        <v>0.142</v>
      </c>
      <c r="E241" s="381">
        <v>0.149</v>
      </c>
      <c r="F241" s="381">
        <v>0.15</v>
      </c>
      <c r="G241" s="382">
        <v>0.144</v>
      </c>
    </row>
    <row r="242" spans="1:7">
      <c r="A242" s="391" t="s">
        <v>311</v>
      </c>
      <c r="B242" s="380" t="s">
        <v>2890</v>
      </c>
      <c r="C242" s="381">
        <v>0.141</v>
      </c>
      <c r="D242" s="381">
        <v>0.142</v>
      </c>
      <c r="E242" s="381">
        <v>0.148</v>
      </c>
      <c r="F242" s="381">
        <v>0.127</v>
      </c>
      <c r="G242" s="382">
        <v>0.144</v>
      </c>
    </row>
    <row r="243" spans="1:7">
      <c r="A243" s="391" t="s">
        <v>311</v>
      </c>
      <c r="B243" s="380" t="s">
        <v>2891</v>
      </c>
      <c r="C243" s="381">
        <v>0.147</v>
      </c>
      <c r="D243" s="381">
        <v>0.147</v>
      </c>
      <c r="E243" s="381">
        <v>0.15</v>
      </c>
      <c r="F243" s="381">
        <v>0.15</v>
      </c>
      <c r="G243" s="382">
        <v>0.149</v>
      </c>
    </row>
    <row r="244" spans="1:7">
      <c r="A244" s="391" t="s">
        <v>311</v>
      </c>
      <c r="B244" s="380" t="s">
        <v>2892</v>
      </c>
      <c r="C244" s="381">
        <v>0.15</v>
      </c>
      <c r="D244" s="381">
        <v>0.15</v>
      </c>
      <c r="E244" s="381">
        <v>0.15</v>
      </c>
      <c r="F244" s="381">
        <v>0.15</v>
      </c>
      <c r="G244" s="382">
        <v>0.15</v>
      </c>
    </row>
    <row r="245" spans="1:7">
      <c r="A245" s="391" t="s">
        <v>311</v>
      </c>
      <c r="B245" s="380" t="s">
        <v>2893</v>
      </c>
      <c r="C245" s="381">
        <v>0.142</v>
      </c>
      <c r="D245" s="381">
        <v>0.142</v>
      </c>
      <c r="E245" s="381">
        <v>0.15</v>
      </c>
      <c r="F245" s="381">
        <v>0.15</v>
      </c>
      <c r="G245" s="382">
        <v>0.145</v>
      </c>
    </row>
    <row r="246" spans="1:7">
      <c r="A246" s="391" t="s">
        <v>311</v>
      </c>
      <c r="B246" s="380" t="s">
        <v>2894</v>
      </c>
      <c r="C246" s="381">
        <v>0.142</v>
      </c>
      <c r="D246" s="381">
        <v>0.143</v>
      </c>
      <c r="E246" s="381">
        <v>0.15</v>
      </c>
      <c r="F246" s="381">
        <v>0.142</v>
      </c>
      <c r="G246" s="382">
        <v>0.144</v>
      </c>
    </row>
    <row r="247" spans="1:7">
      <c r="A247" s="391" t="s">
        <v>311</v>
      </c>
      <c r="B247" s="380" t="s">
        <v>2895</v>
      </c>
      <c r="C247" s="381">
        <v>0.149</v>
      </c>
      <c r="D247" s="381">
        <v>0.149</v>
      </c>
      <c r="E247" s="381">
        <v>0.15</v>
      </c>
      <c r="F247" s="381">
        <v>0.15</v>
      </c>
      <c r="G247" s="382">
        <v>0.15</v>
      </c>
    </row>
    <row r="248" spans="1:7">
      <c r="A248" s="391" t="s">
        <v>311</v>
      </c>
      <c r="B248" s="380" t="s">
        <v>2896</v>
      </c>
      <c r="C248" s="381">
        <v>0.144</v>
      </c>
      <c r="D248" s="381">
        <v>0.144</v>
      </c>
      <c r="E248" s="381">
        <v>0.149</v>
      </c>
      <c r="F248" s="381">
        <v>0.148</v>
      </c>
      <c r="G248" s="382">
        <v>0.146</v>
      </c>
    </row>
    <row r="249" spans="1:7">
      <c r="A249" s="391" t="s">
        <v>311</v>
      </c>
      <c r="B249" s="380" t="s">
        <v>2897</v>
      </c>
      <c r="C249" s="381">
        <v>0.14</v>
      </c>
      <c r="D249" s="381">
        <v>0.14</v>
      </c>
      <c r="E249" s="381">
        <v>0.147</v>
      </c>
      <c r="F249" s="381">
        <v>0.149</v>
      </c>
      <c r="G249" s="382">
        <v>0.142</v>
      </c>
    </row>
    <row r="250" spans="1:7">
      <c r="A250" s="391" t="s">
        <v>311</v>
      </c>
      <c r="B250" s="380" t="s">
        <v>2898</v>
      </c>
      <c r="C250" s="381">
        <v>0.144</v>
      </c>
      <c r="D250" s="381">
        <v>0.143</v>
      </c>
      <c r="E250" s="381">
        <v>0.149</v>
      </c>
      <c r="F250" s="381">
        <v>0.15</v>
      </c>
      <c r="G250" s="382">
        <v>0.146</v>
      </c>
    </row>
    <row r="251" spans="1:7">
      <c r="A251" s="391" t="s">
        <v>311</v>
      </c>
      <c r="B251" s="380" t="s">
        <v>2899</v>
      </c>
      <c r="C251" s="397"/>
      <c r="D251" s="392"/>
      <c r="E251" s="392"/>
      <c r="F251" s="381">
        <v>0.1</v>
      </c>
      <c r="G251" s="398"/>
    </row>
    <row r="252" spans="1:7">
      <c r="A252" s="391" t="s">
        <v>311</v>
      </c>
      <c r="B252" s="380" t="s">
        <v>2900</v>
      </c>
      <c r="C252" s="381">
        <v>0.144</v>
      </c>
      <c r="D252" s="381">
        <v>0.144</v>
      </c>
      <c r="E252" s="381">
        <v>0.15</v>
      </c>
      <c r="F252" s="381">
        <v>0.149</v>
      </c>
      <c r="G252" s="382">
        <v>0.146</v>
      </c>
    </row>
    <row r="253" spans="1:7">
      <c r="A253" s="391" t="s">
        <v>311</v>
      </c>
      <c r="B253" s="380" t="s">
        <v>2901</v>
      </c>
      <c r="C253" s="381">
        <v>0.142</v>
      </c>
      <c r="D253" s="381">
        <v>0.142</v>
      </c>
      <c r="E253" s="381">
        <v>0.146</v>
      </c>
      <c r="F253" s="381">
        <v>0.148</v>
      </c>
      <c r="G253" s="382">
        <v>0.145</v>
      </c>
    </row>
    <row r="254" spans="1:7">
      <c r="A254" s="391" t="s">
        <v>311</v>
      </c>
      <c r="B254" s="380" t="s">
        <v>2902</v>
      </c>
      <c r="C254" s="381">
        <v>0.15</v>
      </c>
      <c r="D254" s="381">
        <v>0.15</v>
      </c>
      <c r="E254" s="381">
        <v>0.15</v>
      </c>
      <c r="F254" s="381">
        <v>0.15</v>
      </c>
      <c r="G254" s="382">
        <v>0.15</v>
      </c>
    </row>
    <row r="255" spans="1:7">
      <c r="A255" s="391" t="s">
        <v>311</v>
      </c>
      <c r="B255" s="380" t="s">
        <v>2903</v>
      </c>
      <c r="C255" s="381">
        <v>0.143</v>
      </c>
      <c r="D255" s="381">
        <v>0.143</v>
      </c>
      <c r="E255" s="381">
        <v>0.15</v>
      </c>
      <c r="F255" s="381">
        <v>0.15</v>
      </c>
      <c r="G255" s="382">
        <v>0.145</v>
      </c>
    </row>
    <row r="256" spans="1:7">
      <c r="A256" s="391" t="s">
        <v>311</v>
      </c>
      <c r="B256" s="380" t="s">
        <v>2904</v>
      </c>
      <c r="C256" s="381">
        <v>0.15</v>
      </c>
      <c r="D256" s="381">
        <v>0.15</v>
      </c>
      <c r="E256" s="381">
        <v>0.15</v>
      </c>
      <c r="F256" s="381">
        <v>0.146</v>
      </c>
      <c r="G256" s="382">
        <v>0.15</v>
      </c>
    </row>
    <row r="257" spans="1:7">
      <c r="A257" s="391" t="s">
        <v>311</v>
      </c>
      <c r="B257" s="380" t="s">
        <v>2905</v>
      </c>
      <c r="C257" s="381">
        <v>0.142</v>
      </c>
      <c r="D257" s="381">
        <v>0.143</v>
      </c>
      <c r="E257" s="381">
        <v>0.148</v>
      </c>
      <c r="F257" s="381">
        <v>0.15</v>
      </c>
      <c r="G257" s="382">
        <v>0.145</v>
      </c>
    </row>
    <row r="258" spans="1:7">
      <c r="A258" s="391" t="s">
        <v>311</v>
      </c>
      <c r="B258" s="380" t="s">
        <v>2906</v>
      </c>
      <c r="C258" s="381">
        <v>0.143</v>
      </c>
      <c r="D258" s="381">
        <v>0.143</v>
      </c>
      <c r="E258" s="381">
        <v>0.15</v>
      </c>
      <c r="F258" s="381">
        <v>0.148</v>
      </c>
      <c r="G258" s="382">
        <v>0.146</v>
      </c>
    </row>
    <row r="259" spans="1:7">
      <c r="A259" s="391" t="s">
        <v>311</v>
      </c>
      <c r="B259" s="380" t="s">
        <v>2907</v>
      </c>
      <c r="C259" s="381">
        <v>0.144</v>
      </c>
      <c r="D259" s="381">
        <v>0.144</v>
      </c>
      <c r="E259" s="381">
        <v>0.149</v>
      </c>
      <c r="F259" s="381">
        <v>0.147</v>
      </c>
      <c r="G259" s="382">
        <v>0.146</v>
      </c>
    </row>
    <row r="260" spans="1:7">
      <c r="A260" s="391" t="s">
        <v>311</v>
      </c>
      <c r="B260" s="380" t="s">
        <v>2908</v>
      </c>
      <c r="C260" s="381">
        <v>0.109</v>
      </c>
      <c r="D260" s="381">
        <v>0.111</v>
      </c>
      <c r="E260" s="381">
        <v>0.131</v>
      </c>
      <c r="F260" s="381">
        <v>0.126</v>
      </c>
      <c r="G260" s="382">
        <v>0.119</v>
      </c>
    </row>
    <row r="261" spans="1:7">
      <c r="A261" s="391" t="s">
        <v>311</v>
      </c>
      <c r="B261" s="380" t="s">
        <v>2909</v>
      </c>
      <c r="C261" s="381">
        <v>0.1</v>
      </c>
      <c r="D261" s="381">
        <v>0.1</v>
      </c>
      <c r="E261" s="381">
        <v>0.118</v>
      </c>
      <c r="F261" s="381">
        <v>0.108</v>
      </c>
      <c r="G261" s="382">
        <v>0.107</v>
      </c>
    </row>
    <row r="262" spans="1:7">
      <c r="A262" s="391" t="s">
        <v>311</v>
      </c>
      <c r="B262" s="380" t="s">
        <v>2910</v>
      </c>
      <c r="C262" s="381">
        <v>0.1</v>
      </c>
      <c r="D262" s="381">
        <v>0.1</v>
      </c>
      <c r="E262" s="381">
        <v>0.1</v>
      </c>
      <c r="F262" s="381">
        <v>0.141</v>
      </c>
      <c r="G262" s="382">
        <v>0.1</v>
      </c>
    </row>
    <row r="263" spans="1:7">
      <c r="A263" s="391" t="s">
        <v>311</v>
      </c>
      <c r="B263" s="380" t="s">
        <v>2911</v>
      </c>
      <c r="C263" s="381">
        <v>0.148</v>
      </c>
      <c r="D263" s="381">
        <v>0.148</v>
      </c>
      <c r="E263" s="381">
        <v>0.15</v>
      </c>
      <c r="F263" s="381">
        <v>0.147</v>
      </c>
      <c r="G263" s="382">
        <v>0.15</v>
      </c>
    </row>
    <row r="264" spans="1:7">
      <c r="A264" s="391" t="s">
        <v>311</v>
      </c>
      <c r="B264" s="380" t="s">
        <v>2912</v>
      </c>
      <c r="C264" s="381">
        <v>0.143</v>
      </c>
      <c r="D264" s="381">
        <v>0.143</v>
      </c>
      <c r="E264" s="381">
        <v>0.15</v>
      </c>
      <c r="F264" s="381">
        <v>0.149</v>
      </c>
      <c r="G264" s="382">
        <v>0.146</v>
      </c>
    </row>
    <row r="265" spans="1:7">
      <c r="A265" s="391" t="s">
        <v>311</v>
      </c>
      <c r="B265" s="380" t="s">
        <v>2913</v>
      </c>
      <c r="C265" s="392"/>
      <c r="D265" s="392"/>
      <c r="E265" s="392"/>
      <c r="F265" s="381">
        <v>0.05</v>
      </c>
      <c r="G265" s="398"/>
    </row>
    <row r="266" spans="1:7">
      <c r="A266" s="391" t="s">
        <v>311</v>
      </c>
      <c r="B266" s="380" t="s">
        <v>2914</v>
      </c>
      <c r="C266" s="392"/>
      <c r="D266" s="392"/>
      <c r="E266" s="392"/>
      <c r="F266" s="381">
        <v>0.05</v>
      </c>
      <c r="G266" s="398"/>
    </row>
    <row r="267" spans="1:7">
      <c r="A267" s="391" t="s">
        <v>311</v>
      </c>
      <c r="B267" s="380" t="s">
        <v>2915</v>
      </c>
      <c r="C267" s="392"/>
      <c r="D267" s="392"/>
      <c r="E267" s="392"/>
      <c r="F267" s="381">
        <v>0.05</v>
      </c>
      <c r="G267" s="398"/>
    </row>
    <row r="268" spans="1:7">
      <c r="A268" s="391" t="s">
        <v>311</v>
      </c>
      <c r="B268" s="380" t="s">
        <v>2916</v>
      </c>
      <c r="C268" s="392"/>
      <c r="D268" s="392"/>
      <c r="E268" s="392"/>
      <c r="F268" s="381">
        <v>0.05</v>
      </c>
      <c r="G268" s="398"/>
    </row>
    <row r="269" spans="1:7">
      <c r="A269" s="391" t="s">
        <v>311</v>
      </c>
      <c r="B269" s="380" t="s">
        <v>2917</v>
      </c>
      <c r="C269" s="392"/>
      <c r="D269" s="392"/>
      <c r="E269" s="392"/>
      <c r="F269" s="381">
        <v>0.05</v>
      </c>
      <c r="G269" s="398"/>
    </row>
    <row r="270" spans="1:7">
      <c r="A270" s="391" t="s">
        <v>311</v>
      </c>
      <c r="B270" s="380" t="s">
        <v>2918</v>
      </c>
      <c r="C270" s="392"/>
      <c r="D270" s="392"/>
      <c r="E270" s="392"/>
      <c r="F270" s="381">
        <v>0.05</v>
      </c>
      <c r="G270" s="398"/>
    </row>
    <row r="271" spans="1:7">
      <c r="A271" s="391" t="s">
        <v>311</v>
      </c>
      <c r="B271" s="380" t="s">
        <v>2919</v>
      </c>
      <c r="C271" s="392"/>
      <c r="D271" s="392"/>
      <c r="E271" s="392"/>
      <c r="F271" s="381">
        <v>0.05</v>
      </c>
      <c r="G271" s="398"/>
    </row>
    <row r="272" spans="1:7">
      <c r="A272" s="391" t="s">
        <v>311</v>
      </c>
      <c r="B272" s="380" t="s">
        <v>2920</v>
      </c>
      <c r="C272" s="392"/>
      <c r="D272" s="392"/>
      <c r="E272" s="392"/>
      <c r="F272" s="381">
        <v>0.05</v>
      </c>
      <c r="G272" s="398"/>
    </row>
    <row r="273" spans="1:7">
      <c r="A273" s="391" t="s">
        <v>311</v>
      </c>
      <c r="B273" s="380" t="s">
        <v>2921</v>
      </c>
      <c r="C273" s="392"/>
      <c r="D273" s="392"/>
      <c r="E273" s="392"/>
      <c r="F273" s="381">
        <v>0.05</v>
      </c>
      <c r="G273" s="398"/>
    </row>
    <row r="274" spans="1:7">
      <c r="A274" s="391" t="s">
        <v>311</v>
      </c>
      <c r="B274" s="380" t="s">
        <v>2922</v>
      </c>
      <c r="C274" s="392"/>
      <c r="D274" s="392"/>
      <c r="E274" s="392"/>
      <c r="F274" s="381">
        <v>0.05</v>
      </c>
      <c r="G274" s="398"/>
    </row>
    <row r="275" spans="1:7">
      <c r="A275" s="391" t="s">
        <v>311</v>
      </c>
      <c r="B275" s="380" t="s">
        <v>2923</v>
      </c>
      <c r="C275" s="392"/>
      <c r="D275" s="392"/>
      <c r="E275" s="392"/>
      <c r="F275" s="381">
        <v>0.05</v>
      </c>
      <c r="G275" s="398"/>
    </row>
    <row r="276" ht="14.25" spans="1:7">
      <c r="A276" s="394" t="s">
        <v>311</v>
      </c>
      <c r="B276" s="384" t="s">
        <v>2924</v>
      </c>
      <c r="C276" s="386"/>
      <c r="D276" s="386"/>
      <c r="E276" s="386"/>
      <c r="F276" s="385">
        <v>0.05</v>
      </c>
      <c r="G276" s="399"/>
    </row>
    <row r="277" spans="1:7">
      <c r="A277" s="390" t="s">
        <v>318</v>
      </c>
      <c r="B277" s="376" t="s">
        <v>2925</v>
      </c>
      <c r="C277" s="377">
        <v>0.15</v>
      </c>
      <c r="D277" s="377">
        <v>0.15</v>
      </c>
      <c r="E277" s="377">
        <v>0.15</v>
      </c>
      <c r="F277" s="377">
        <v>0.15</v>
      </c>
      <c r="G277" s="378">
        <v>0.15</v>
      </c>
    </row>
    <row r="278" spans="1:7">
      <c r="A278" s="391" t="s">
        <v>318</v>
      </c>
      <c r="B278" s="380" t="s">
        <v>2926</v>
      </c>
      <c r="C278" s="381">
        <v>0.15</v>
      </c>
      <c r="D278" s="381">
        <v>0.15</v>
      </c>
      <c r="E278" s="381">
        <v>0.15</v>
      </c>
      <c r="F278" s="381">
        <v>0.15</v>
      </c>
      <c r="G278" s="382">
        <v>0.15</v>
      </c>
    </row>
    <row r="279" spans="1:7">
      <c r="A279" s="391" t="s">
        <v>318</v>
      </c>
      <c r="B279" s="380" t="s">
        <v>2927</v>
      </c>
      <c r="C279" s="381">
        <v>0.15</v>
      </c>
      <c r="D279" s="381">
        <v>0.15</v>
      </c>
      <c r="E279" s="381">
        <v>0.15</v>
      </c>
      <c r="F279" s="381">
        <v>0.15</v>
      </c>
      <c r="G279" s="382">
        <v>0.15</v>
      </c>
    </row>
    <row r="280" spans="1:7">
      <c r="A280" s="391" t="s">
        <v>318</v>
      </c>
      <c r="B280" s="380" t="s">
        <v>2928</v>
      </c>
      <c r="C280" s="381">
        <v>0.15</v>
      </c>
      <c r="D280" s="381">
        <v>0.15</v>
      </c>
      <c r="E280" s="381">
        <v>0.15</v>
      </c>
      <c r="F280" s="381">
        <v>0.15</v>
      </c>
      <c r="G280" s="382">
        <v>0.15</v>
      </c>
    </row>
    <row r="281" spans="1:7">
      <c r="A281" s="391" t="s">
        <v>318</v>
      </c>
      <c r="B281" s="380" t="s">
        <v>2929</v>
      </c>
      <c r="C281" s="381">
        <v>0.15</v>
      </c>
      <c r="D281" s="381">
        <v>0.15</v>
      </c>
      <c r="E281" s="381">
        <v>0.15</v>
      </c>
      <c r="F281" s="381">
        <v>0.15</v>
      </c>
      <c r="G281" s="382">
        <v>0.15</v>
      </c>
    </row>
    <row r="282" spans="1:7">
      <c r="A282" s="391" t="s">
        <v>318</v>
      </c>
      <c r="B282" s="380" t="s">
        <v>2930</v>
      </c>
      <c r="C282" s="381">
        <v>0.15</v>
      </c>
      <c r="D282" s="381">
        <v>0.15</v>
      </c>
      <c r="E282" s="381">
        <v>0.15</v>
      </c>
      <c r="F282" s="381">
        <v>0.145</v>
      </c>
      <c r="G282" s="382">
        <v>0.15</v>
      </c>
    </row>
    <row r="283" spans="1:7">
      <c r="A283" s="391" t="s">
        <v>318</v>
      </c>
      <c r="B283" s="380" t="s">
        <v>2931</v>
      </c>
      <c r="C283" s="381">
        <v>0.15</v>
      </c>
      <c r="D283" s="381">
        <v>0.15</v>
      </c>
      <c r="E283" s="381">
        <v>0.15</v>
      </c>
      <c r="F283" s="381">
        <v>0.142</v>
      </c>
      <c r="G283" s="382">
        <v>0.15</v>
      </c>
    </row>
    <row r="284" spans="1:7">
      <c r="A284" s="391" t="s">
        <v>318</v>
      </c>
      <c r="B284" s="380" t="s">
        <v>2932</v>
      </c>
      <c r="C284" s="381">
        <v>0.15</v>
      </c>
      <c r="D284" s="381">
        <v>0.15</v>
      </c>
      <c r="E284" s="381">
        <v>0.15</v>
      </c>
      <c r="F284" s="381">
        <v>0.15</v>
      </c>
      <c r="G284" s="382">
        <v>0.15</v>
      </c>
    </row>
    <row r="285" spans="1:7">
      <c r="A285" s="391" t="s">
        <v>318</v>
      </c>
      <c r="B285" s="380" t="s">
        <v>2933</v>
      </c>
      <c r="C285" s="381">
        <v>0.15</v>
      </c>
      <c r="D285" s="381">
        <v>0.15</v>
      </c>
      <c r="E285" s="381">
        <v>0.15</v>
      </c>
      <c r="F285" s="381">
        <v>0.15</v>
      </c>
      <c r="G285" s="382">
        <v>0.15</v>
      </c>
    </row>
    <row r="286" spans="1:7">
      <c r="A286" s="391" t="s">
        <v>318</v>
      </c>
      <c r="B286" s="380" t="s">
        <v>2934</v>
      </c>
      <c r="C286" s="381">
        <v>0.145</v>
      </c>
      <c r="D286" s="381">
        <v>0.145</v>
      </c>
      <c r="E286" s="381">
        <v>0.15</v>
      </c>
      <c r="F286" s="381">
        <v>0.141</v>
      </c>
      <c r="G286" s="382">
        <v>0.145</v>
      </c>
    </row>
    <row r="287" spans="1:7">
      <c r="A287" s="391" t="s">
        <v>318</v>
      </c>
      <c r="B287" s="380" t="s">
        <v>2935</v>
      </c>
      <c r="C287" s="381">
        <v>0.11</v>
      </c>
      <c r="D287" s="381">
        <v>0.111</v>
      </c>
      <c r="E287" s="381">
        <v>0.141</v>
      </c>
      <c r="F287" s="381">
        <v>0.11</v>
      </c>
      <c r="G287" s="382">
        <v>0.12</v>
      </c>
    </row>
    <row r="288" spans="1:7">
      <c r="A288" s="391" t="s">
        <v>318</v>
      </c>
      <c r="B288" s="380" t="s">
        <v>2936</v>
      </c>
      <c r="C288" s="381">
        <v>0.142</v>
      </c>
      <c r="D288" s="381">
        <v>0.143</v>
      </c>
      <c r="E288" s="381">
        <v>0.15</v>
      </c>
      <c r="F288" s="381">
        <v>0.142</v>
      </c>
      <c r="G288" s="382">
        <v>0.144</v>
      </c>
    </row>
    <row r="289" spans="1:7">
      <c r="A289" s="391" t="s">
        <v>318</v>
      </c>
      <c r="B289" s="380" t="s">
        <v>2937</v>
      </c>
      <c r="C289" s="381">
        <v>0.143</v>
      </c>
      <c r="D289" s="381">
        <v>0.143</v>
      </c>
      <c r="E289" s="381">
        <v>0.148</v>
      </c>
      <c r="F289" s="381">
        <v>0.144</v>
      </c>
      <c r="G289" s="382">
        <v>0.144</v>
      </c>
    </row>
    <row r="290" spans="1:7">
      <c r="A290" s="391" t="s">
        <v>318</v>
      </c>
      <c r="B290" s="380" t="s">
        <v>2938</v>
      </c>
      <c r="C290" s="381">
        <v>0.148</v>
      </c>
      <c r="D290" s="381">
        <v>0.149</v>
      </c>
      <c r="E290" s="381">
        <v>0.15</v>
      </c>
      <c r="F290" s="381">
        <v>0.127</v>
      </c>
      <c r="G290" s="382">
        <v>0.15</v>
      </c>
    </row>
    <row r="291" spans="1:7">
      <c r="A291" s="391" t="s">
        <v>318</v>
      </c>
      <c r="B291" s="380" t="s">
        <v>2939</v>
      </c>
      <c r="C291" s="381">
        <v>0.15</v>
      </c>
      <c r="D291" s="381">
        <v>0.15</v>
      </c>
      <c r="E291" s="381">
        <v>0.15</v>
      </c>
      <c r="F291" s="381">
        <v>0.149</v>
      </c>
      <c r="G291" s="382">
        <v>0.15</v>
      </c>
    </row>
    <row r="292" spans="1:7">
      <c r="A292" s="391" t="s">
        <v>318</v>
      </c>
      <c r="B292" s="380" t="s">
        <v>2940</v>
      </c>
      <c r="C292" s="381">
        <v>0.15</v>
      </c>
      <c r="D292" s="381">
        <v>0.15</v>
      </c>
      <c r="E292" s="381">
        <v>0.15</v>
      </c>
      <c r="F292" s="381">
        <v>0.144</v>
      </c>
      <c r="G292" s="382">
        <v>0.15</v>
      </c>
    </row>
    <row r="293" spans="1:7">
      <c r="A293" s="391" t="s">
        <v>318</v>
      </c>
      <c r="B293" s="380" t="s">
        <v>2941</v>
      </c>
      <c r="C293" s="381">
        <v>0.15</v>
      </c>
      <c r="D293" s="381">
        <v>0.15</v>
      </c>
      <c r="E293" s="381">
        <v>0.15</v>
      </c>
      <c r="F293" s="381">
        <v>0.145</v>
      </c>
      <c r="G293" s="382">
        <v>0.15</v>
      </c>
    </row>
    <row r="294" spans="1:7">
      <c r="A294" s="391" t="s">
        <v>318</v>
      </c>
      <c r="B294" s="380" t="s">
        <v>2942</v>
      </c>
      <c r="C294" s="381">
        <v>0.15</v>
      </c>
      <c r="D294" s="381">
        <v>0.15</v>
      </c>
      <c r="E294" s="381">
        <v>0.15</v>
      </c>
      <c r="F294" s="381">
        <v>0.149</v>
      </c>
      <c r="G294" s="382">
        <v>0.15</v>
      </c>
    </row>
    <row r="295" spans="1:7">
      <c r="A295" s="391" t="s">
        <v>318</v>
      </c>
      <c r="B295" s="380" t="s">
        <v>2943</v>
      </c>
      <c r="C295" s="381">
        <v>0.15</v>
      </c>
      <c r="D295" s="381">
        <v>0.15</v>
      </c>
      <c r="E295" s="381">
        <v>0.15</v>
      </c>
      <c r="F295" s="381">
        <v>0.148</v>
      </c>
      <c r="G295" s="382">
        <v>0.15</v>
      </c>
    </row>
    <row r="296" spans="1:7">
      <c r="A296" s="391" t="s">
        <v>318</v>
      </c>
      <c r="B296" s="380" t="s">
        <v>2944</v>
      </c>
      <c r="C296" s="381">
        <v>0.15</v>
      </c>
      <c r="D296" s="381">
        <v>0.15</v>
      </c>
      <c r="E296" s="381">
        <v>0.15</v>
      </c>
      <c r="F296" s="381">
        <v>0.144</v>
      </c>
      <c r="G296" s="382">
        <v>0.15</v>
      </c>
    </row>
    <row r="297" spans="1:7">
      <c r="A297" s="391" t="s">
        <v>318</v>
      </c>
      <c r="B297" s="380" t="s">
        <v>2945</v>
      </c>
      <c r="C297" s="381">
        <v>0.15</v>
      </c>
      <c r="D297" s="381">
        <v>0.15</v>
      </c>
      <c r="E297" s="381">
        <v>0.15</v>
      </c>
      <c r="F297" s="381">
        <v>0.145</v>
      </c>
      <c r="G297" s="382">
        <v>0.15</v>
      </c>
    </row>
    <row r="298" spans="1:7">
      <c r="A298" s="391" t="s">
        <v>318</v>
      </c>
      <c r="B298" s="380" t="s">
        <v>2946</v>
      </c>
      <c r="C298" s="381">
        <v>0.15</v>
      </c>
      <c r="D298" s="381">
        <v>0.15</v>
      </c>
      <c r="E298" s="381">
        <v>0.15</v>
      </c>
      <c r="F298" s="381">
        <v>0.15</v>
      </c>
      <c r="G298" s="382">
        <v>0.15</v>
      </c>
    </row>
    <row r="299" spans="1:7">
      <c r="A299" s="391" t="s">
        <v>318</v>
      </c>
      <c r="B299" s="400" t="s">
        <v>2947</v>
      </c>
      <c r="C299" s="381">
        <v>0.15</v>
      </c>
      <c r="D299" s="381">
        <v>0.15</v>
      </c>
      <c r="E299" s="381">
        <v>0.15</v>
      </c>
      <c r="F299" s="381">
        <v>0.145</v>
      </c>
      <c r="G299" s="382">
        <v>0.15</v>
      </c>
    </row>
    <row r="300" spans="1:7">
      <c r="A300" s="391" t="s">
        <v>318</v>
      </c>
      <c r="B300" s="400" t="s">
        <v>2948</v>
      </c>
      <c r="C300" s="381">
        <v>0.15</v>
      </c>
      <c r="D300" s="381">
        <v>0.15</v>
      </c>
      <c r="E300" s="381">
        <v>0.15</v>
      </c>
      <c r="F300" s="381">
        <v>0.146</v>
      </c>
      <c r="G300" s="382">
        <v>0.15</v>
      </c>
    </row>
    <row r="301" spans="1:7">
      <c r="A301" s="391" t="s">
        <v>318</v>
      </c>
      <c r="B301" s="400" t="s">
        <v>2949</v>
      </c>
      <c r="C301" s="381">
        <v>0.126</v>
      </c>
      <c r="D301" s="381">
        <v>0.124</v>
      </c>
      <c r="E301" s="381">
        <v>0.141</v>
      </c>
      <c r="F301" s="381">
        <v>0.144</v>
      </c>
      <c r="G301" s="382">
        <v>0.13</v>
      </c>
    </row>
    <row r="302" spans="1:7">
      <c r="A302" s="391" t="s">
        <v>318</v>
      </c>
      <c r="B302" s="380" t="s">
        <v>2950</v>
      </c>
      <c r="C302" s="381">
        <v>0.15</v>
      </c>
      <c r="D302" s="381">
        <v>0.15</v>
      </c>
      <c r="E302" s="381">
        <v>0.15</v>
      </c>
      <c r="F302" s="381">
        <v>0.147</v>
      </c>
      <c r="G302" s="382">
        <v>0.15</v>
      </c>
    </row>
    <row r="303" spans="1:7">
      <c r="A303" s="391" t="s">
        <v>318</v>
      </c>
      <c r="B303" s="380" t="s">
        <v>2951</v>
      </c>
      <c r="C303" s="381">
        <v>0.15</v>
      </c>
      <c r="D303" s="381">
        <v>0.15</v>
      </c>
      <c r="E303" s="381">
        <v>0.15</v>
      </c>
      <c r="F303" s="381">
        <v>0.142</v>
      </c>
      <c r="G303" s="382">
        <v>0.15</v>
      </c>
    </row>
    <row r="304" spans="1:7">
      <c r="A304" s="391" t="s">
        <v>318</v>
      </c>
      <c r="B304" s="380" t="s">
        <v>2952</v>
      </c>
      <c r="C304" s="381">
        <v>0.15</v>
      </c>
      <c r="D304" s="381">
        <v>0.15</v>
      </c>
      <c r="E304" s="381">
        <v>0.15</v>
      </c>
      <c r="F304" s="381">
        <v>0.145</v>
      </c>
      <c r="G304" s="382">
        <v>0.15</v>
      </c>
    </row>
    <row r="305" spans="1:7">
      <c r="A305" s="391" t="s">
        <v>318</v>
      </c>
      <c r="B305" s="380" t="s">
        <v>2953</v>
      </c>
      <c r="C305" s="381">
        <v>0.15</v>
      </c>
      <c r="D305" s="381">
        <v>0.15</v>
      </c>
      <c r="E305" s="381">
        <v>0.15</v>
      </c>
      <c r="F305" s="381">
        <v>0.111</v>
      </c>
      <c r="G305" s="382">
        <v>0.15</v>
      </c>
    </row>
    <row r="306" spans="1:7">
      <c r="A306" s="391" t="s">
        <v>318</v>
      </c>
      <c r="B306" s="380" t="s">
        <v>2954</v>
      </c>
      <c r="C306" s="381">
        <v>0.15</v>
      </c>
      <c r="D306" s="381">
        <v>0.15</v>
      </c>
      <c r="E306" s="381">
        <v>0.15</v>
      </c>
      <c r="F306" s="381">
        <v>0.126</v>
      </c>
      <c r="G306" s="382">
        <v>0.15</v>
      </c>
    </row>
    <row r="307" spans="1:7">
      <c r="A307" s="391" t="s">
        <v>318</v>
      </c>
      <c r="B307" s="380" t="s">
        <v>2955</v>
      </c>
      <c r="C307" s="381">
        <v>0.15</v>
      </c>
      <c r="D307" s="381">
        <v>0.15</v>
      </c>
      <c r="E307" s="381">
        <v>0.15</v>
      </c>
      <c r="F307" s="381">
        <v>0.12</v>
      </c>
      <c r="G307" s="382">
        <v>0.15</v>
      </c>
    </row>
    <row r="308" spans="1:7">
      <c r="A308" s="391" t="s">
        <v>318</v>
      </c>
      <c r="B308" s="380" t="s">
        <v>2956</v>
      </c>
      <c r="C308" s="381">
        <v>0.15</v>
      </c>
      <c r="D308" s="381">
        <v>0.15</v>
      </c>
      <c r="E308" s="381">
        <v>0.15</v>
      </c>
      <c r="F308" s="381">
        <v>0.13</v>
      </c>
      <c r="G308" s="382">
        <v>0.15</v>
      </c>
    </row>
    <row r="309" spans="1:7">
      <c r="A309" s="391" t="s">
        <v>318</v>
      </c>
      <c r="B309" s="380" t="s">
        <v>2957</v>
      </c>
      <c r="C309" s="381">
        <v>0.15</v>
      </c>
      <c r="D309" s="381">
        <v>0.15</v>
      </c>
      <c r="E309" s="381">
        <v>0.15</v>
      </c>
      <c r="F309" s="381">
        <v>0.141</v>
      </c>
      <c r="G309" s="382">
        <v>0.15</v>
      </c>
    </row>
    <row r="310" spans="1:7">
      <c r="A310" s="391" t="s">
        <v>318</v>
      </c>
      <c r="B310" s="380" t="s">
        <v>2958</v>
      </c>
      <c r="C310" s="381">
        <v>0.15</v>
      </c>
      <c r="D310" s="381">
        <v>0.15</v>
      </c>
      <c r="E310" s="381">
        <v>0.15</v>
      </c>
      <c r="F310" s="381">
        <v>0.15</v>
      </c>
      <c r="G310" s="382">
        <v>0.15</v>
      </c>
    </row>
    <row r="311" spans="1:7">
      <c r="A311" s="391" t="s">
        <v>318</v>
      </c>
      <c r="B311" s="380" t="s">
        <v>2959</v>
      </c>
      <c r="C311" s="381">
        <v>0.132</v>
      </c>
      <c r="D311" s="381">
        <v>0.133</v>
      </c>
      <c r="E311" s="381">
        <v>0.145</v>
      </c>
      <c r="F311" s="381">
        <v>0.142</v>
      </c>
      <c r="G311" s="382">
        <v>0.14</v>
      </c>
    </row>
    <row r="312" spans="1:7">
      <c r="A312" s="391" t="s">
        <v>318</v>
      </c>
      <c r="B312" s="380" t="s">
        <v>2960</v>
      </c>
      <c r="C312" s="381">
        <v>0.138</v>
      </c>
      <c r="D312" s="381">
        <v>0.14</v>
      </c>
      <c r="E312" s="381">
        <v>0.146</v>
      </c>
      <c r="F312" s="381">
        <v>0.149</v>
      </c>
      <c r="G312" s="382">
        <v>0.142</v>
      </c>
    </row>
    <row r="313" spans="1:7">
      <c r="A313" s="391" t="s">
        <v>318</v>
      </c>
      <c r="B313" s="380" t="s">
        <v>2961</v>
      </c>
      <c r="C313" s="381">
        <v>0.125</v>
      </c>
      <c r="D313" s="381">
        <v>0.127</v>
      </c>
      <c r="E313" s="381">
        <v>0.144</v>
      </c>
      <c r="F313" s="381">
        <v>0.115</v>
      </c>
      <c r="G313" s="382">
        <v>0.136</v>
      </c>
    </row>
    <row r="314" spans="1:7">
      <c r="A314" s="391" t="s">
        <v>318</v>
      </c>
      <c r="B314" s="380" t="s">
        <v>2962</v>
      </c>
      <c r="C314" s="397"/>
      <c r="D314" s="397"/>
      <c r="E314" s="397"/>
      <c r="F314" s="381">
        <v>0.05</v>
      </c>
      <c r="G314" s="398"/>
    </row>
    <row r="315" spans="1:7">
      <c r="A315" s="391" t="s">
        <v>318</v>
      </c>
      <c r="B315" s="380" t="s">
        <v>2963</v>
      </c>
      <c r="C315" s="397"/>
      <c r="D315" s="397"/>
      <c r="E315" s="397"/>
      <c r="F315" s="381">
        <v>0.05</v>
      </c>
      <c r="G315" s="398"/>
    </row>
    <row r="316" spans="1:7">
      <c r="A316" s="391" t="s">
        <v>318</v>
      </c>
      <c r="B316" s="380" t="s">
        <v>2964</v>
      </c>
      <c r="C316" s="392"/>
      <c r="D316" s="392"/>
      <c r="E316" s="392"/>
      <c r="F316" s="381">
        <v>0.05</v>
      </c>
      <c r="G316" s="398"/>
    </row>
    <row r="317" spans="1:7">
      <c r="A317" s="391" t="s">
        <v>318</v>
      </c>
      <c r="B317" s="380" t="s">
        <v>2965</v>
      </c>
      <c r="C317" s="392"/>
      <c r="D317" s="392"/>
      <c r="E317" s="392"/>
      <c r="F317" s="381">
        <v>0.05</v>
      </c>
      <c r="G317" s="398"/>
    </row>
    <row r="318" spans="1:7">
      <c r="A318" s="391" t="s">
        <v>318</v>
      </c>
      <c r="B318" s="380" t="s">
        <v>2966</v>
      </c>
      <c r="C318" s="392"/>
      <c r="D318" s="392"/>
      <c r="E318" s="392"/>
      <c r="F318" s="381">
        <v>0.05</v>
      </c>
      <c r="G318" s="398"/>
    </row>
    <row r="319" spans="1:7">
      <c r="A319" s="391" t="s">
        <v>318</v>
      </c>
      <c r="B319" s="380" t="s">
        <v>2967</v>
      </c>
      <c r="C319" s="392"/>
      <c r="D319" s="392"/>
      <c r="E319" s="392"/>
      <c r="F319" s="381">
        <v>0.05</v>
      </c>
      <c r="G319" s="398"/>
    </row>
    <row r="320" spans="1:7">
      <c r="A320" s="391" t="s">
        <v>318</v>
      </c>
      <c r="B320" s="380" t="s">
        <v>2968</v>
      </c>
      <c r="C320" s="392"/>
      <c r="D320" s="392"/>
      <c r="E320" s="392"/>
      <c r="F320" s="381">
        <v>0.05</v>
      </c>
      <c r="G320" s="398"/>
    </row>
    <row r="321" spans="1:7">
      <c r="A321" s="391" t="s">
        <v>318</v>
      </c>
      <c r="B321" s="380" t="s">
        <v>2969</v>
      </c>
      <c r="C321" s="392"/>
      <c r="D321" s="392"/>
      <c r="E321" s="392"/>
      <c r="F321" s="381">
        <v>0.05</v>
      </c>
      <c r="G321" s="398"/>
    </row>
    <row r="322" spans="1:7">
      <c r="A322" s="391" t="s">
        <v>318</v>
      </c>
      <c r="B322" s="380" t="s">
        <v>2970</v>
      </c>
      <c r="C322" s="392"/>
      <c r="D322" s="392"/>
      <c r="E322" s="392"/>
      <c r="F322" s="381">
        <v>0.05</v>
      </c>
      <c r="G322" s="398"/>
    </row>
    <row r="323" spans="1:7">
      <c r="A323" s="391" t="s">
        <v>318</v>
      </c>
      <c r="B323" s="380" t="s">
        <v>2971</v>
      </c>
      <c r="C323" s="392"/>
      <c r="D323" s="392"/>
      <c r="E323" s="392"/>
      <c r="F323" s="381">
        <v>0.05</v>
      </c>
      <c r="G323" s="398"/>
    </row>
    <row r="324" spans="1:7">
      <c r="A324" s="391" t="s">
        <v>318</v>
      </c>
      <c r="B324" s="380" t="s">
        <v>2972</v>
      </c>
      <c r="C324" s="392"/>
      <c r="D324" s="392"/>
      <c r="E324" s="392"/>
      <c r="F324" s="381">
        <v>0.05</v>
      </c>
      <c r="G324" s="398"/>
    </row>
    <row r="325" spans="1:7">
      <c r="A325" s="391" t="s">
        <v>318</v>
      </c>
      <c r="B325" s="380" t="s">
        <v>2973</v>
      </c>
      <c r="C325" s="392"/>
      <c r="D325" s="392"/>
      <c r="E325" s="392"/>
      <c r="F325" s="381">
        <v>0.05</v>
      </c>
      <c r="G325" s="398"/>
    </row>
    <row r="326" ht="14.25" spans="1:7">
      <c r="A326" s="394" t="s">
        <v>318</v>
      </c>
      <c r="B326" s="384" t="s">
        <v>2974</v>
      </c>
      <c r="C326" s="386"/>
      <c r="D326" s="386"/>
      <c r="E326" s="386"/>
      <c r="F326" s="385">
        <v>0.05</v>
      </c>
      <c r="G326" s="399"/>
    </row>
    <row r="327" spans="1:7">
      <c r="A327" s="390" t="s">
        <v>324</v>
      </c>
      <c r="B327" s="376" t="s">
        <v>2975</v>
      </c>
      <c r="C327" s="377">
        <v>0.15</v>
      </c>
      <c r="D327" s="377">
        <v>0.15</v>
      </c>
      <c r="E327" s="377">
        <v>0.15</v>
      </c>
      <c r="F327" s="377">
        <v>0.15</v>
      </c>
      <c r="G327" s="378">
        <v>0.15</v>
      </c>
    </row>
    <row r="328" spans="1:7">
      <c r="A328" s="391" t="s">
        <v>324</v>
      </c>
      <c r="B328" s="380" t="s">
        <v>2976</v>
      </c>
      <c r="C328" s="381">
        <v>0.15</v>
      </c>
      <c r="D328" s="381">
        <v>0.15</v>
      </c>
      <c r="E328" s="381">
        <v>0.15</v>
      </c>
      <c r="F328" s="381">
        <v>0.126</v>
      </c>
      <c r="G328" s="382">
        <v>0.15</v>
      </c>
    </row>
    <row r="329" spans="1:7">
      <c r="A329" s="391" t="s">
        <v>324</v>
      </c>
      <c r="B329" s="380" t="s">
        <v>2977</v>
      </c>
      <c r="C329" s="381">
        <v>0.15</v>
      </c>
      <c r="D329" s="381">
        <v>0.15</v>
      </c>
      <c r="E329" s="381">
        <v>0.15</v>
      </c>
      <c r="F329" s="381">
        <v>0.15</v>
      </c>
      <c r="G329" s="382">
        <v>0.15</v>
      </c>
    </row>
    <row r="330" spans="1:7">
      <c r="A330" s="391" t="s">
        <v>324</v>
      </c>
      <c r="B330" s="380" t="s">
        <v>2978</v>
      </c>
      <c r="C330" s="381">
        <v>0.15</v>
      </c>
      <c r="D330" s="381">
        <v>0.15</v>
      </c>
      <c r="E330" s="381">
        <v>0.15</v>
      </c>
      <c r="F330" s="381">
        <v>0.15</v>
      </c>
      <c r="G330" s="382">
        <v>0.15</v>
      </c>
    </row>
    <row r="331" spans="1:7">
      <c r="A331" s="391" t="s">
        <v>324</v>
      </c>
      <c r="B331" s="380" t="s">
        <v>2979</v>
      </c>
      <c r="C331" s="381">
        <v>0.15</v>
      </c>
      <c r="D331" s="381">
        <v>0.15</v>
      </c>
      <c r="E331" s="381">
        <v>0.15</v>
      </c>
      <c r="F331" s="381">
        <v>0.15</v>
      </c>
      <c r="G331" s="382">
        <v>0.15</v>
      </c>
    </row>
    <row r="332" spans="1:7">
      <c r="A332" s="391" t="s">
        <v>324</v>
      </c>
      <c r="B332" s="380" t="s">
        <v>2980</v>
      </c>
      <c r="C332" s="381">
        <v>0.15</v>
      </c>
      <c r="D332" s="381">
        <v>0.15</v>
      </c>
      <c r="E332" s="381">
        <v>0.15</v>
      </c>
      <c r="F332" s="381">
        <v>0.15</v>
      </c>
      <c r="G332" s="382">
        <v>0.15</v>
      </c>
    </row>
    <row r="333" spans="1:7">
      <c r="A333" s="391" t="s">
        <v>324</v>
      </c>
      <c r="B333" s="380" t="s">
        <v>2981</v>
      </c>
      <c r="C333" s="381">
        <v>0.149</v>
      </c>
      <c r="D333" s="381">
        <v>0.149</v>
      </c>
      <c r="E333" s="381">
        <v>0.15</v>
      </c>
      <c r="F333" s="381">
        <v>0.116</v>
      </c>
      <c r="G333" s="382">
        <v>0.15</v>
      </c>
    </row>
    <row r="334" spans="1:7">
      <c r="A334" s="391" t="s">
        <v>324</v>
      </c>
      <c r="B334" s="380" t="s">
        <v>2982</v>
      </c>
      <c r="C334" s="381">
        <v>0.15</v>
      </c>
      <c r="D334" s="381">
        <v>0.15</v>
      </c>
      <c r="E334" s="381">
        <v>0.15</v>
      </c>
      <c r="F334" s="381">
        <v>0.13</v>
      </c>
      <c r="G334" s="382">
        <v>0.15</v>
      </c>
    </row>
    <row r="335" spans="1:7">
      <c r="A335" s="391" t="s">
        <v>324</v>
      </c>
      <c r="B335" s="380" t="s">
        <v>2983</v>
      </c>
      <c r="C335" s="381">
        <v>0.15</v>
      </c>
      <c r="D335" s="381">
        <v>0.15</v>
      </c>
      <c r="E335" s="381">
        <v>0.15</v>
      </c>
      <c r="F335" s="381">
        <v>0.144</v>
      </c>
      <c r="G335" s="382">
        <v>0.15</v>
      </c>
    </row>
    <row r="336" spans="1:7">
      <c r="A336" s="391" t="s">
        <v>324</v>
      </c>
      <c r="B336" s="380" t="s">
        <v>2984</v>
      </c>
      <c r="C336" s="381">
        <v>0.15</v>
      </c>
      <c r="D336" s="381">
        <v>0.15</v>
      </c>
      <c r="E336" s="381">
        <v>0.15</v>
      </c>
      <c r="F336" s="381">
        <v>0.142</v>
      </c>
      <c r="G336" s="382">
        <v>0.15</v>
      </c>
    </row>
    <row r="337" spans="1:7">
      <c r="A337" s="391" t="s">
        <v>324</v>
      </c>
      <c r="B337" s="380" t="s">
        <v>2985</v>
      </c>
      <c r="C337" s="381">
        <v>0.15</v>
      </c>
      <c r="D337" s="381">
        <v>0.15</v>
      </c>
      <c r="E337" s="381">
        <v>0.15</v>
      </c>
      <c r="F337" s="381">
        <v>0.145</v>
      </c>
      <c r="G337" s="382">
        <v>0.15</v>
      </c>
    </row>
    <row r="338" spans="1:7">
      <c r="A338" s="391" t="s">
        <v>324</v>
      </c>
      <c r="B338" s="380" t="s">
        <v>2986</v>
      </c>
      <c r="C338" s="381">
        <v>0.15</v>
      </c>
      <c r="D338" s="381">
        <v>0.15</v>
      </c>
      <c r="E338" s="381">
        <v>0.15</v>
      </c>
      <c r="F338" s="381">
        <v>0.15</v>
      </c>
      <c r="G338" s="382">
        <v>0.15</v>
      </c>
    </row>
    <row r="339" spans="1:7">
      <c r="A339" s="391" t="s">
        <v>324</v>
      </c>
      <c r="B339" s="380" t="s">
        <v>2987</v>
      </c>
      <c r="C339" s="381">
        <v>0.15</v>
      </c>
      <c r="D339" s="381">
        <v>0.15</v>
      </c>
      <c r="E339" s="381">
        <v>0.15</v>
      </c>
      <c r="F339" s="381">
        <v>0.147</v>
      </c>
      <c r="G339" s="382">
        <v>0.15</v>
      </c>
    </row>
    <row r="340" spans="1:7">
      <c r="A340" s="391" t="s">
        <v>324</v>
      </c>
      <c r="B340" s="380" t="s">
        <v>2988</v>
      </c>
      <c r="C340" s="381">
        <v>0.146</v>
      </c>
      <c r="D340" s="381">
        <v>0.146</v>
      </c>
      <c r="E340" s="381">
        <v>0.15</v>
      </c>
      <c r="F340" s="381">
        <v>0.141</v>
      </c>
      <c r="G340" s="382">
        <v>0.147</v>
      </c>
    </row>
    <row r="341" spans="1:7">
      <c r="A341" s="391" t="s">
        <v>324</v>
      </c>
      <c r="B341" s="380" t="s">
        <v>2989</v>
      </c>
      <c r="C341" s="381">
        <v>0.126</v>
      </c>
      <c r="D341" s="381">
        <v>0.124</v>
      </c>
      <c r="E341" s="381">
        <v>0.141</v>
      </c>
      <c r="F341" s="381">
        <v>0.144</v>
      </c>
      <c r="G341" s="382">
        <v>0.13</v>
      </c>
    </row>
    <row r="342" spans="1:7">
      <c r="A342" s="391" t="s">
        <v>324</v>
      </c>
      <c r="B342" s="380" t="s">
        <v>2990</v>
      </c>
      <c r="C342" s="381">
        <v>0.15</v>
      </c>
      <c r="D342" s="381">
        <v>0.15</v>
      </c>
      <c r="E342" s="381">
        <v>0.15</v>
      </c>
      <c r="F342" s="381">
        <v>0.144</v>
      </c>
      <c r="G342" s="382">
        <v>0.15</v>
      </c>
    </row>
    <row r="343" spans="1:7">
      <c r="A343" s="391" t="s">
        <v>324</v>
      </c>
      <c r="B343" s="380" t="s">
        <v>2991</v>
      </c>
      <c r="C343" s="381">
        <v>0.15</v>
      </c>
      <c r="D343" s="381">
        <v>0.15</v>
      </c>
      <c r="E343" s="381">
        <v>0.15</v>
      </c>
      <c r="F343" s="381">
        <v>0.128</v>
      </c>
      <c r="G343" s="382">
        <v>0.15</v>
      </c>
    </row>
    <row r="344" spans="1:7">
      <c r="A344" s="391" t="s">
        <v>324</v>
      </c>
      <c r="B344" s="380" t="s">
        <v>2992</v>
      </c>
      <c r="C344" s="381">
        <v>0.15</v>
      </c>
      <c r="D344" s="381">
        <v>0.15</v>
      </c>
      <c r="E344" s="381">
        <v>0.15</v>
      </c>
      <c r="F344" s="381">
        <v>0.148</v>
      </c>
      <c r="G344" s="382">
        <v>0.15</v>
      </c>
    </row>
    <row r="345" spans="1:7">
      <c r="A345" s="391" t="s">
        <v>324</v>
      </c>
      <c r="B345" s="380" t="s">
        <v>2993</v>
      </c>
      <c r="C345" s="381">
        <v>0.15</v>
      </c>
      <c r="D345" s="381">
        <v>0.15</v>
      </c>
      <c r="E345" s="381">
        <v>0.15</v>
      </c>
      <c r="F345" s="381">
        <v>0.138</v>
      </c>
      <c r="G345" s="382">
        <v>0.15</v>
      </c>
    </row>
    <row r="346" spans="1:7">
      <c r="A346" s="391" t="s">
        <v>324</v>
      </c>
      <c r="B346" s="380" t="s">
        <v>2994</v>
      </c>
      <c r="C346" s="381">
        <v>0.15</v>
      </c>
      <c r="D346" s="381">
        <v>0.15</v>
      </c>
      <c r="E346" s="381">
        <v>0.15</v>
      </c>
      <c r="F346" s="381">
        <v>0.144</v>
      </c>
      <c r="G346" s="382">
        <v>0.15</v>
      </c>
    </row>
    <row r="347" spans="1:7">
      <c r="A347" s="391" t="s">
        <v>324</v>
      </c>
      <c r="B347" s="380" t="s">
        <v>2995</v>
      </c>
      <c r="C347" s="381">
        <v>0.15</v>
      </c>
      <c r="D347" s="381">
        <v>0.15</v>
      </c>
      <c r="E347" s="381">
        <v>0.15</v>
      </c>
      <c r="F347" s="381">
        <v>0.146</v>
      </c>
      <c r="G347" s="382">
        <v>0.15</v>
      </c>
    </row>
    <row r="348" spans="1:7">
      <c r="A348" s="391" t="s">
        <v>324</v>
      </c>
      <c r="B348" s="380" t="s">
        <v>2996</v>
      </c>
      <c r="C348" s="381">
        <v>0.15</v>
      </c>
      <c r="D348" s="381">
        <v>0.15</v>
      </c>
      <c r="E348" s="381">
        <v>0.15</v>
      </c>
      <c r="F348" s="381">
        <v>0.144</v>
      </c>
      <c r="G348" s="382">
        <v>0.15</v>
      </c>
    </row>
    <row r="349" spans="1:7">
      <c r="A349" s="391" t="s">
        <v>324</v>
      </c>
      <c r="B349" s="380" t="s">
        <v>2997</v>
      </c>
      <c r="C349" s="381">
        <v>0.15</v>
      </c>
      <c r="D349" s="381">
        <v>0.15</v>
      </c>
      <c r="E349" s="381">
        <v>0.15</v>
      </c>
      <c r="F349" s="381">
        <v>0.15</v>
      </c>
      <c r="G349" s="382">
        <v>0.15</v>
      </c>
    </row>
    <row r="350" spans="1:7">
      <c r="A350" s="391" t="s">
        <v>324</v>
      </c>
      <c r="B350" s="380" t="s">
        <v>2998</v>
      </c>
      <c r="C350" s="381">
        <v>0.15</v>
      </c>
      <c r="D350" s="381">
        <v>0.15</v>
      </c>
      <c r="E350" s="381">
        <v>0.15</v>
      </c>
      <c r="F350" s="381">
        <v>0.147</v>
      </c>
      <c r="G350" s="382">
        <v>0.15</v>
      </c>
    </row>
    <row r="351" spans="1:7">
      <c r="A351" s="391" t="s">
        <v>324</v>
      </c>
      <c r="B351" s="380" t="s">
        <v>2999</v>
      </c>
      <c r="C351" s="381">
        <v>0.15</v>
      </c>
      <c r="D351" s="381">
        <v>0.15</v>
      </c>
      <c r="E351" s="381">
        <v>0.15</v>
      </c>
      <c r="F351" s="381">
        <v>0.13</v>
      </c>
      <c r="G351" s="382">
        <v>0.15</v>
      </c>
    </row>
    <row r="352" spans="1:7">
      <c r="A352" s="391" t="s">
        <v>324</v>
      </c>
      <c r="B352" s="380" t="s">
        <v>3000</v>
      </c>
      <c r="C352" s="381">
        <v>0.15</v>
      </c>
      <c r="D352" s="381">
        <v>0.15</v>
      </c>
      <c r="E352" s="381">
        <v>0.15</v>
      </c>
      <c r="F352" s="381">
        <v>0.146</v>
      </c>
      <c r="G352" s="382">
        <v>0.15</v>
      </c>
    </row>
    <row r="353" spans="1:7">
      <c r="A353" s="391" t="s">
        <v>324</v>
      </c>
      <c r="B353" s="380" t="s">
        <v>3001</v>
      </c>
      <c r="C353" s="381">
        <v>0.15</v>
      </c>
      <c r="D353" s="381">
        <v>0.15</v>
      </c>
      <c r="E353" s="381">
        <v>0.15</v>
      </c>
      <c r="F353" s="381">
        <v>0.145</v>
      </c>
      <c r="G353" s="382">
        <v>0.15</v>
      </c>
    </row>
    <row r="354" spans="1:7">
      <c r="A354" s="391" t="s">
        <v>324</v>
      </c>
      <c r="B354" s="380" t="s">
        <v>3002</v>
      </c>
      <c r="C354" s="381">
        <v>0.15</v>
      </c>
      <c r="D354" s="381">
        <v>0.15</v>
      </c>
      <c r="E354" s="381">
        <v>0.15</v>
      </c>
      <c r="F354" s="381">
        <v>0.141</v>
      </c>
      <c r="G354" s="382">
        <v>0.15</v>
      </c>
    </row>
    <row r="355" spans="1:7">
      <c r="A355" s="391" t="s">
        <v>324</v>
      </c>
      <c r="B355" s="380" t="s">
        <v>3003</v>
      </c>
      <c r="C355" s="381">
        <v>0.15</v>
      </c>
      <c r="D355" s="381">
        <v>0.15</v>
      </c>
      <c r="E355" s="381">
        <v>0.15</v>
      </c>
      <c r="F355" s="381">
        <v>0.15</v>
      </c>
      <c r="G355" s="382">
        <v>0.15</v>
      </c>
    </row>
    <row r="356" spans="1:7">
      <c r="A356" s="391" t="s">
        <v>324</v>
      </c>
      <c r="B356" s="380" t="s">
        <v>3004</v>
      </c>
      <c r="C356" s="381">
        <v>0.15</v>
      </c>
      <c r="D356" s="381">
        <v>0.15</v>
      </c>
      <c r="E356" s="381">
        <v>0.15</v>
      </c>
      <c r="F356" s="381">
        <v>0.15</v>
      </c>
      <c r="G356" s="382">
        <v>0.15</v>
      </c>
    </row>
    <row r="357" ht="14.25" spans="1:7">
      <c r="A357" s="394" t="s">
        <v>324</v>
      </c>
      <c r="B357" s="384" t="s">
        <v>3005</v>
      </c>
      <c r="C357" s="385">
        <v>0.126</v>
      </c>
      <c r="D357" s="385">
        <v>0.127</v>
      </c>
      <c r="E357" s="385">
        <v>0.143</v>
      </c>
      <c r="F357" s="385">
        <v>0.125</v>
      </c>
      <c r="G357" s="387">
        <v>0.129</v>
      </c>
    </row>
    <row r="358" spans="1:7">
      <c r="A358" s="390" t="s">
        <v>330</v>
      </c>
      <c r="B358" s="376" t="s">
        <v>3006</v>
      </c>
      <c r="C358" s="377">
        <v>0.15</v>
      </c>
      <c r="D358" s="377">
        <v>0.15</v>
      </c>
      <c r="E358" s="377">
        <v>0.15</v>
      </c>
      <c r="F358" s="377">
        <v>0.15</v>
      </c>
      <c r="G358" s="378">
        <v>0.15</v>
      </c>
    </row>
    <row r="359" spans="1:7">
      <c r="A359" s="391" t="s">
        <v>330</v>
      </c>
      <c r="B359" s="380" t="s">
        <v>3007</v>
      </c>
      <c r="C359" s="381">
        <v>0.1</v>
      </c>
      <c r="D359" s="381">
        <v>0.1</v>
      </c>
      <c r="E359" s="381">
        <v>0.1</v>
      </c>
      <c r="F359" s="381">
        <v>0.1</v>
      </c>
      <c r="G359" s="382">
        <v>0.1</v>
      </c>
    </row>
    <row r="360" spans="1:7">
      <c r="A360" s="391" t="s">
        <v>330</v>
      </c>
      <c r="B360" s="380" t="s">
        <v>3008</v>
      </c>
      <c r="C360" s="381">
        <v>0.15</v>
      </c>
      <c r="D360" s="381">
        <v>0.15</v>
      </c>
      <c r="E360" s="381">
        <v>0.15</v>
      </c>
      <c r="F360" s="381">
        <v>0.149</v>
      </c>
      <c r="G360" s="382">
        <v>0.15</v>
      </c>
    </row>
    <row r="361" spans="1:7">
      <c r="A361" s="391" t="s">
        <v>330</v>
      </c>
      <c r="B361" s="380" t="s">
        <v>3009</v>
      </c>
      <c r="C361" s="381">
        <v>0.15</v>
      </c>
      <c r="D361" s="381">
        <v>0.15</v>
      </c>
      <c r="E361" s="381">
        <v>0.15</v>
      </c>
      <c r="F361" s="381">
        <v>0.115</v>
      </c>
      <c r="G361" s="382">
        <v>0.15</v>
      </c>
    </row>
    <row r="362" spans="1:7">
      <c r="A362" s="391" t="s">
        <v>330</v>
      </c>
      <c r="B362" s="380" t="s">
        <v>3010</v>
      </c>
      <c r="C362" s="381">
        <v>0.15</v>
      </c>
      <c r="D362" s="381">
        <v>0.15</v>
      </c>
      <c r="E362" s="381">
        <v>0.15</v>
      </c>
      <c r="F362" s="381">
        <v>0.106</v>
      </c>
      <c r="G362" s="382">
        <v>0.15</v>
      </c>
    </row>
    <row r="363" spans="1:7">
      <c r="A363" s="391" t="s">
        <v>330</v>
      </c>
      <c r="B363" s="380" t="s">
        <v>3011</v>
      </c>
      <c r="C363" s="381">
        <v>0.15</v>
      </c>
      <c r="D363" s="381">
        <v>0.15</v>
      </c>
      <c r="E363" s="381">
        <v>0.15</v>
      </c>
      <c r="F363" s="381">
        <v>0.147</v>
      </c>
      <c r="G363" s="382">
        <v>0.15</v>
      </c>
    </row>
    <row r="364" spans="1:7">
      <c r="A364" s="391" t="s">
        <v>330</v>
      </c>
      <c r="B364" s="380" t="s">
        <v>3012</v>
      </c>
      <c r="C364" s="381">
        <v>0.15</v>
      </c>
      <c r="D364" s="381">
        <v>0.15</v>
      </c>
      <c r="E364" s="381">
        <v>0.15</v>
      </c>
      <c r="F364" s="381">
        <v>0.148</v>
      </c>
      <c r="G364" s="382">
        <v>0.15</v>
      </c>
    </row>
    <row r="365" spans="1:7">
      <c r="A365" s="391" t="s">
        <v>330</v>
      </c>
      <c r="B365" s="380" t="s">
        <v>3013</v>
      </c>
      <c r="C365" s="381">
        <v>0.15</v>
      </c>
      <c r="D365" s="381">
        <v>0.15</v>
      </c>
      <c r="E365" s="381">
        <v>0.15</v>
      </c>
      <c r="F365" s="381">
        <v>0.15</v>
      </c>
      <c r="G365" s="382">
        <v>0.15</v>
      </c>
    </row>
    <row r="366" spans="1:7">
      <c r="A366" s="391" t="s">
        <v>330</v>
      </c>
      <c r="B366" s="380" t="s">
        <v>3014</v>
      </c>
      <c r="C366" s="381">
        <v>0.15</v>
      </c>
      <c r="D366" s="381">
        <v>0.15</v>
      </c>
      <c r="E366" s="381">
        <v>0.15</v>
      </c>
      <c r="F366" s="381">
        <v>0.15</v>
      </c>
      <c r="G366" s="382">
        <v>0.15</v>
      </c>
    </row>
    <row r="367" spans="1:7">
      <c r="A367" s="391" t="s">
        <v>330</v>
      </c>
      <c r="B367" s="380" t="s">
        <v>3015</v>
      </c>
      <c r="C367" s="381">
        <v>0.15</v>
      </c>
      <c r="D367" s="381">
        <v>0.15</v>
      </c>
      <c r="E367" s="381">
        <v>0.15</v>
      </c>
      <c r="F367" s="381">
        <v>0.147</v>
      </c>
      <c r="G367" s="382">
        <v>0.15</v>
      </c>
    </row>
    <row r="368" spans="1:7">
      <c r="A368" s="391" t="s">
        <v>330</v>
      </c>
      <c r="B368" s="380" t="s">
        <v>3016</v>
      </c>
      <c r="C368" s="381">
        <v>0.15</v>
      </c>
      <c r="D368" s="381">
        <v>0.15</v>
      </c>
      <c r="E368" s="381">
        <v>0.15</v>
      </c>
      <c r="F368" s="381">
        <v>0.136</v>
      </c>
      <c r="G368" s="382">
        <v>0.15</v>
      </c>
    </row>
    <row r="369" spans="1:7">
      <c r="A369" s="391" t="s">
        <v>330</v>
      </c>
      <c r="B369" s="380" t="s">
        <v>3017</v>
      </c>
      <c r="C369" s="381">
        <v>0.15</v>
      </c>
      <c r="D369" s="381">
        <v>0.15</v>
      </c>
      <c r="E369" s="381">
        <v>0.15</v>
      </c>
      <c r="F369" s="381">
        <v>0.144</v>
      </c>
      <c r="G369" s="382">
        <v>0.15</v>
      </c>
    </row>
    <row r="370" spans="1:7">
      <c r="A370" s="391" t="s">
        <v>330</v>
      </c>
      <c r="B370" s="380" t="s">
        <v>3018</v>
      </c>
      <c r="C370" s="381">
        <v>0.15</v>
      </c>
      <c r="D370" s="381">
        <v>0.15</v>
      </c>
      <c r="E370" s="381">
        <v>0.15</v>
      </c>
      <c r="F370" s="381">
        <v>0.146</v>
      </c>
      <c r="G370" s="382">
        <v>0.15</v>
      </c>
    </row>
    <row r="371" spans="1:7">
      <c r="A371" s="391" t="s">
        <v>330</v>
      </c>
      <c r="B371" s="380" t="s">
        <v>3019</v>
      </c>
      <c r="C371" s="381">
        <v>0.15</v>
      </c>
      <c r="D371" s="381">
        <v>0.15</v>
      </c>
      <c r="E371" s="381">
        <v>0.15</v>
      </c>
      <c r="F371" s="381">
        <v>0.12</v>
      </c>
      <c r="G371" s="382">
        <v>0.15</v>
      </c>
    </row>
    <row r="372" spans="1:7">
      <c r="A372" s="391" t="s">
        <v>330</v>
      </c>
      <c r="B372" s="380" t="s">
        <v>3020</v>
      </c>
      <c r="C372" s="381">
        <v>0.15</v>
      </c>
      <c r="D372" s="381">
        <v>0.15</v>
      </c>
      <c r="E372" s="381">
        <v>0.15</v>
      </c>
      <c r="F372" s="381">
        <v>0.143</v>
      </c>
      <c r="G372" s="382">
        <v>0.15</v>
      </c>
    </row>
    <row r="373" spans="1:7">
      <c r="A373" s="391" t="s">
        <v>330</v>
      </c>
      <c r="B373" s="380" t="s">
        <v>3021</v>
      </c>
      <c r="C373" s="381">
        <v>0.15</v>
      </c>
      <c r="D373" s="381">
        <v>0.15</v>
      </c>
      <c r="E373" s="381">
        <v>0.15</v>
      </c>
      <c r="F373" s="381">
        <v>0.146</v>
      </c>
      <c r="G373" s="382">
        <v>0.15</v>
      </c>
    </row>
    <row r="374" spans="1:7">
      <c r="A374" s="391" t="s">
        <v>330</v>
      </c>
      <c r="B374" s="380" t="s">
        <v>3022</v>
      </c>
      <c r="C374" s="381">
        <v>0.15</v>
      </c>
      <c r="D374" s="381">
        <v>0.15</v>
      </c>
      <c r="E374" s="381">
        <v>0.15</v>
      </c>
      <c r="F374" s="381">
        <v>0.144</v>
      </c>
      <c r="G374" s="382">
        <v>0.15</v>
      </c>
    </row>
    <row r="375" spans="1:7">
      <c r="A375" s="391" t="s">
        <v>330</v>
      </c>
      <c r="B375" s="380" t="s">
        <v>3023</v>
      </c>
      <c r="C375" s="381">
        <v>0.15</v>
      </c>
      <c r="D375" s="381">
        <v>0.15</v>
      </c>
      <c r="E375" s="381">
        <v>0.15</v>
      </c>
      <c r="F375" s="381">
        <v>0.13</v>
      </c>
      <c r="G375" s="382">
        <v>0.15</v>
      </c>
    </row>
    <row r="376" spans="1:7">
      <c r="A376" s="391" t="s">
        <v>330</v>
      </c>
      <c r="B376" s="380" t="s">
        <v>3024</v>
      </c>
      <c r="C376" s="381">
        <v>0.15</v>
      </c>
      <c r="D376" s="381">
        <v>0.15</v>
      </c>
      <c r="E376" s="381">
        <v>0.15</v>
      </c>
      <c r="F376" s="381">
        <v>0.142</v>
      </c>
      <c r="G376" s="382">
        <v>0.15</v>
      </c>
    </row>
    <row r="377" ht="14.25" spans="1:7">
      <c r="A377" s="394" t="s">
        <v>330</v>
      </c>
      <c r="B377" s="384" t="s">
        <v>3025</v>
      </c>
      <c r="C377" s="385">
        <v>0.15</v>
      </c>
      <c r="D377" s="385">
        <v>0.15</v>
      </c>
      <c r="E377" s="385">
        <v>0.15</v>
      </c>
      <c r="F377" s="385">
        <v>0.14</v>
      </c>
      <c r="G377" s="387">
        <v>0.15</v>
      </c>
    </row>
    <row r="378" spans="1:7">
      <c r="A378" s="390" t="s">
        <v>336</v>
      </c>
      <c r="B378" s="376" t="s">
        <v>3026</v>
      </c>
      <c r="C378" s="377">
        <v>0.15</v>
      </c>
      <c r="D378" s="377">
        <v>0.15</v>
      </c>
      <c r="E378" s="377">
        <v>0.15</v>
      </c>
      <c r="F378" s="377">
        <v>0.107</v>
      </c>
      <c r="G378" s="378">
        <v>0.15</v>
      </c>
    </row>
    <row r="379" spans="1:7">
      <c r="A379" s="391" t="s">
        <v>336</v>
      </c>
      <c r="B379" s="380" t="s">
        <v>3027</v>
      </c>
      <c r="C379" s="381">
        <v>0.15</v>
      </c>
      <c r="D379" s="381">
        <v>0.15</v>
      </c>
      <c r="E379" s="381">
        <v>0.15</v>
      </c>
      <c r="F379" s="381">
        <v>0.115</v>
      </c>
      <c r="G379" s="382">
        <v>0.149</v>
      </c>
    </row>
    <row r="380" spans="1:7">
      <c r="A380" s="391" t="s">
        <v>336</v>
      </c>
      <c r="B380" s="380" t="s">
        <v>3028</v>
      </c>
      <c r="C380" s="381">
        <v>0.15</v>
      </c>
      <c r="D380" s="381">
        <v>0.15</v>
      </c>
      <c r="E380" s="381">
        <v>0.15</v>
      </c>
      <c r="F380" s="381">
        <v>0.1</v>
      </c>
      <c r="G380" s="382">
        <v>0.148</v>
      </c>
    </row>
    <row r="381" spans="1:7">
      <c r="A381" s="391" t="s">
        <v>336</v>
      </c>
      <c r="B381" s="380" t="s">
        <v>3029</v>
      </c>
      <c r="C381" s="381">
        <v>0.15</v>
      </c>
      <c r="D381" s="381">
        <v>0.15</v>
      </c>
      <c r="E381" s="381">
        <v>0.15</v>
      </c>
      <c r="F381" s="381">
        <v>0.126</v>
      </c>
      <c r="G381" s="382">
        <v>0.15</v>
      </c>
    </row>
    <row r="382" spans="1:7">
      <c r="A382" s="391" t="s">
        <v>336</v>
      </c>
      <c r="B382" s="380" t="s">
        <v>3030</v>
      </c>
      <c r="C382" s="381">
        <v>0.15</v>
      </c>
      <c r="D382" s="381">
        <v>0.15</v>
      </c>
      <c r="E382" s="381">
        <v>0.15</v>
      </c>
      <c r="F382" s="381">
        <v>0.15</v>
      </c>
      <c r="G382" s="382">
        <v>0.15</v>
      </c>
    </row>
    <row r="383" spans="1:7">
      <c r="A383" s="391" t="s">
        <v>336</v>
      </c>
      <c r="B383" s="380" t="s">
        <v>3031</v>
      </c>
      <c r="C383" s="381">
        <v>0.15</v>
      </c>
      <c r="D383" s="381">
        <v>0.15</v>
      </c>
      <c r="E383" s="381">
        <v>0.15</v>
      </c>
      <c r="F383" s="381">
        <v>0.147</v>
      </c>
      <c r="G383" s="382">
        <v>0.15</v>
      </c>
    </row>
    <row r="384" ht="14.25" spans="1:7">
      <c r="A384" s="401" t="s">
        <v>336</v>
      </c>
      <c r="B384" s="402" t="s">
        <v>3032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3033</v>
      </c>
      <c r="B1" s="360"/>
      <c r="C1" s="360"/>
      <c r="D1" s="360"/>
      <c r="E1" s="360"/>
      <c r="F1" s="361"/>
    </row>
    <row r="2" spans="1:6">
      <c r="A2" s="362" t="s">
        <v>3034</v>
      </c>
      <c r="B2" s="363"/>
      <c r="C2" s="363"/>
      <c r="D2" s="363"/>
      <c r="E2" s="363"/>
      <c r="F2" s="363"/>
    </row>
    <row r="3" spans="1:6">
      <c r="A3" s="362" t="s">
        <v>3035</v>
      </c>
      <c r="B3" s="363"/>
      <c r="C3" s="363"/>
      <c r="D3" s="363"/>
      <c r="E3" s="363"/>
      <c r="F3" s="364" t="s">
        <v>3036</v>
      </c>
    </row>
    <row r="4" spans="1:6">
      <c r="A4" s="365" t="s">
        <v>451</v>
      </c>
      <c r="B4" s="365" t="s">
        <v>229</v>
      </c>
      <c r="C4" s="365" t="s">
        <v>230</v>
      </c>
      <c r="D4" s="365" t="s">
        <v>3037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3038</v>
      </c>
      <c r="C1" s="279"/>
      <c r="D1" s="279"/>
      <c r="E1" s="279"/>
      <c r="F1" s="279"/>
      <c r="G1" s="279"/>
      <c r="H1" s="279"/>
      <c r="I1" s="279"/>
      <c r="J1" s="280"/>
      <c r="K1" s="279" t="s">
        <v>3039</v>
      </c>
      <c r="L1" s="279"/>
      <c r="M1" s="279"/>
      <c r="N1" s="279"/>
      <c r="O1" s="279"/>
      <c r="P1" s="279"/>
      <c r="Q1" s="280"/>
      <c r="R1" s="281" t="s">
        <v>3040</v>
      </c>
      <c r="S1" s="276"/>
      <c r="T1" s="276"/>
      <c r="U1" s="276"/>
      <c r="V1" s="276"/>
      <c r="W1" s="276"/>
      <c r="X1" s="280"/>
      <c r="Y1" s="281" t="s">
        <v>3041</v>
      </c>
      <c r="Z1" s="276"/>
      <c r="AA1" s="276"/>
      <c r="AB1" s="276"/>
      <c r="AC1" s="276"/>
      <c r="AD1" s="276"/>
    </row>
    <row r="2" s="270" customFormat="1" ht="14.25" spans="1:44">
      <c r="B2" s="282"/>
      <c r="C2" s="283"/>
      <c r="D2" s="129" t="s">
        <v>3042</v>
      </c>
      <c r="E2" s="130" t="s">
        <v>229</v>
      </c>
      <c r="F2" s="130" t="s">
        <v>230</v>
      </c>
      <c r="G2" s="130" t="s">
        <v>232</v>
      </c>
      <c r="H2" s="130" t="s">
        <v>233</v>
      </c>
      <c r="I2" s="130" t="s">
        <v>231</v>
      </c>
      <c r="J2" s="284"/>
      <c r="K2" s="129" t="s">
        <v>3042</v>
      </c>
      <c r="L2" s="130" t="s">
        <v>229</v>
      </c>
      <c r="M2" s="130" t="s">
        <v>230</v>
      </c>
      <c r="N2" s="130" t="s">
        <v>232</v>
      </c>
      <c r="O2" s="130" t="s">
        <v>233</v>
      </c>
      <c r="P2" s="130" t="s">
        <v>231</v>
      </c>
      <c r="Q2" s="284"/>
      <c r="R2" s="129" t="s">
        <v>3042</v>
      </c>
      <c r="S2" s="130" t="s">
        <v>229</v>
      </c>
      <c r="T2" s="130" t="s">
        <v>230</v>
      </c>
      <c r="U2" s="130" t="s">
        <v>232</v>
      </c>
      <c r="V2" s="130" t="s">
        <v>233</v>
      </c>
      <c r="W2" s="130" t="s">
        <v>231</v>
      </c>
      <c r="X2" s="284"/>
      <c r="Y2" s="129" t="s">
        <v>3042</v>
      </c>
      <c r="Z2" s="130" t="s">
        <v>229</v>
      </c>
      <c r="AA2" s="130" t="s">
        <v>230</v>
      </c>
      <c r="AB2" s="130" t="s">
        <v>232</v>
      </c>
      <c r="AC2" s="130" t="s">
        <v>233</v>
      </c>
      <c r="AD2" s="130" t="s">
        <v>231</v>
      </c>
      <c r="AF2" t="s">
        <v>3042</v>
      </c>
      <c r="AG2" t="s">
        <v>229</v>
      </c>
      <c r="AH2" t="s">
        <v>230</v>
      </c>
      <c r="AI2" t="s">
        <v>232</v>
      </c>
      <c r="AJ2" t="s">
        <v>233</v>
      </c>
      <c r="AK2" t="s">
        <v>231</v>
      </c>
      <c r="AM2" t="s">
        <v>3042</v>
      </c>
      <c r="AN2" t="s">
        <v>229</v>
      </c>
      <c r="AO2" t="s">
        <v>230</v>
      </c>
      <c r="AP2" t="s">
        <v>232</v>
      </c>
      <c r="AQ2" t="s">
        <v>233</v>
      </c>
      <c r="AR2" t="s">
        <v>231</v>
      </c>
    </row>
    <row r="3" s="271" customFormat="1" ht="12.75" spans="1:44">
      <c r="A3" s="285" t="s">
        <v>3043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3045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3046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3047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3048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3049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3050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3051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3052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3053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3054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3055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3056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3057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3058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3059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3060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3061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3062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3063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3064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3065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3066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3067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3068</v>
      </c>
    </row>
    <row r="31" customFormat="1" spans="1:44">
      <c r="I31" s="342" t="s">
        <v>1817</v>
      </c>
    </row>
    <row r="32" customFormat="1"/>
    <row r="33" s="276" customFormat="1" ht="12.75" spans="1:44">
      <c r="B33" s="278" t="s">
        <v>3069</v>
      </c>
      <c r="C33" s="279"/>
      <c r="D33" s="279"/>
      <c r="E33" s="279"/>
      <c r="F33" s="279"/>
      <c r="G33" s="279"/>
      <c r="H33" s="279"/>
      <c r="I33" s="279"/>
      <c r="J33" s="280"/>
      <c r="K33" s="279" t="s">
        <v>3039</v>
      </c>
      <c r="L33" s="279"/>
      <c r="M33" s="279"/>
      <c r="N33" s="279"/>
      <c r="O33" s="279"/>
      <c r="P33" s="279"/>
      <c r="Q33" s="280"/>
      <c r="R33" s="281" t="s">
        <v>3040</v>
      </c>
      <c r="X33" s="280"/>
      <c r="Y33" s="281" t="s">
        <v>3041</v>
      </c>
    </row>
    <row r="34" s="270" customFormat="1" ht="14.25" spans="1:44">
      <c r="B34" s="282"/>
      <c r="C34" s="283"/>
      <c r="D34" s="129" t="s">
        <v>3042</v>
      </c>
      <c r="E34" s="130" t="s">
        <v>229</v>
      </c>
      <c r="F34" s="130" t="s">
        <v>230</v>
      </c>
      <c r="G34" s="130" t="s">
        <v>232</v>
      </c>
      <c r="H34" s="130"/>
      <c r="I34" s="130" t="s">
        <v>231</v>
      </c>
      <c r="J34" s="284"/>
      <c r="K34" s="129" t="s">
        <v>3042</v>
      </c>
      <c r="L34" s="130" t="s">
        <v>229</v>
      </c>
      <c r="M34" s="130" t="s">
        <v>230</v>
      </c>
      <c r="N34" s="130" t="s">
        <v>232</v>
      </c>
      <c r="O34" s="130"/>
      <c r="P34" s="130" t="s">
        <v>231</v>
      </c>
      <c r="Q34" s="284"/>
      <c r="R34" s="129" t="s">
        <v>3042</v>
      </c>
      <c r="S34" s="130" t="s">
        <v>229</v>
      </c>
      <c r="T34" s="130" t="s">
        <v>230</v>
      </c>
      <c r="U34" s="130" t="s">
        <v>232</v>
      </c>
      <c r="V34" s="130"/>
      <c r="W34" s="130" t="s">
        <v>231</v>
      </c>
      <c r="X34" s="284"/>
      <c r="Y34" s="129" t="s">
        <v>3042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3043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3045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3046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3047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3048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3049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3050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3051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3052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3053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3054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3055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3056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3057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3058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3059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3060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3061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3062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3063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3064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3065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3066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3067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3071</v>
      </c>
      <c r="C1" s="127"/>
      <c r="D1" s="127"/>
      <c r="E1" s="127"/>
      <c r="F1" s="127"/>
      <c r="G1" s="116" t="s">
        <v>3072</v>
      </c>
      <c r="N1" s="116" t="s">
        <v>3039</v>
      </c>
      <c r="S1" s="116" t="s">
        <v>3073</v>
      </c>
      <c r="X1" s="128" t="s">
        <v>3040</v>
      </c>
      <c r="AD1" s="128" t="s">
        <v>3041</v>
      </c>
    </row>
    <row r="2" s="117" customFormat="1" ht="14.25" spans="1:34">
      <c r="B2" s="129" t="s">
        <v>3074</v>
      </c>
      <c r="C2" s="129" t="s">
        <v>3075</v>
      </c>
      <c r="D2" s="130" t="s">
        <v>230</v>
      </c>
      <c r="E2" s="130" t="s">
        <v>232</v>
      </c>
      <c r="F2" s="129" t="s">
        <v>3076</v>
      </c>
      <c r="G2" s="131"/>
      <c r="I2" s="129" t="s">
        <v>3074</v>
      </c>
      <c r="J2" s="130" t="s">
        <v>2372</v>
      </c>
      <c r="K2" s="130" t="s">
        <v>232</v>
      </c>
      <c r="L2" s="129" t="s">
        <v>3076</v>
      </c>
      <c r="N2" s="129" t="s">
        <v>3074</v>
      </c>
      <c r="O2" s="130" t="s">
        <v>2372</v>
      </c>
      <c r="P2" s="130" t="s">
        <v>232</v>
      </c>
      <c r="Q2" s="129" t="s">
        <v>3076</v>
      </c>
      <c r="S2" s="129" t="s">
        <v>3074</v>
      </c>
      <c r="T2" s="130" t="s">
        <v>2372</v>
      </c>
      <c r="U2" s="130" t="s">
        <v>232</v>
      </c>
      <c r="V2" s="129" t="s">
        <v>3076</v>
      </c>
      <c r="X2" s="129" t="s">
        <v>3074</v>
      </c>
      <c r="Y2" s="129" t="s">
        <v>3075</v>
      </c>
      <c r="Z2" s="130" t="s">
        <v>230</v>
      </c>
      <c r="AA2" s="130" t="s">
        <v>232</v>
      </c>
      <c r="AB2" s="129" t="s">
        <v>3076</v>
      </c>
      <c r="AD2" s="129" t="s">
        <v>3074</v>
      </c>
      <c r="AE2" s="129" t="s">
        <v>3075</v>
      </c>
      <c r="AF2" s="130" t="s">
        <v>230</v>
      </c>
      <c r="AG2" s="130" t="s">
        <v>232</v>
      </c>
      <c r="AH2" s="129" t="s">
        <v>3076</v>
      </c>
    </row>
    <row r="3" s="118" customFormat="1" ht="14.25" spans="1:34">
      <c r="A3" s="132" t="s">
        <v>3043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3083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3085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3097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3098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3102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3104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3105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3107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3111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3114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3115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3118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3119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3122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3123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3127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3130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3131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3135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3139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3143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3146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3147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3150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3151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3154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3155</v>
      </c>
      <c r="G91" s="259"/>
      <c r="N91" s="259"/>
      <c r="S91" s="259"/>
    </row>
    <row r="92" s="124" customFormat="1" spans="1:26">
      <c r="A92" s="124" t="s">
        <v>3156</v>
      </c>
      <c r="G92" s="259"/>
      <c r="N92" s="259"/>
      <c r="S92" s="259"/>
    </row>
    <row r="93" s="124" customFormat="1" spans="1:26">
      <c r="A93" s="124" t="s">
        <v>3157</v>
      </c>
      <c r="G93" s="259"/>
      <c r="I93" s="260"/>
      <c r="J93" s="260"/>
      <c r="K93" s="260"/>
      <c r="L93" s="260"/>
      <c r="N93" s="261"/>
      <c r="O93" s="260"/>
      <c r="P93" s="260"/>
      <c r="Q93" s="260"/>
      <c r="S93" s="261"/>
      <c r="T93" s="260"/>
      <c r="U93" s="260"/>
      <c r="V93" s="260"/>
    </row>
    <row r="94" s="124" customFormat="1" spans="1:26">
      <c r="A94" s="124" t="s">
        <v>3158</v>
      </c>
      <c r="G94" s="259"/>
      <c r="N94" s="259"/>
      <c r="S94" s="259"/>
    </row>
    <row r="101" ht="13.5"/>
    <row r="102" spans="7:22">
      <c r="G102" s="125"/>
      <c r="S102" s="262" t="s">
        <v>3159</v>
      </c>
      <c r="T102" s="263" t="s">
        <v>3160</v>
      </c>
      <c r="U102" s="263" t="s">
        <v>3161</v>
      </c>
      <c r="V102" s="263" t="s">
        <v>3162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 spans="1:9">
      <c r="A3" s="4681"/>
      <c r="B3" s="4681"/>
      <c r="C3" s="4681"/>
      <c r="D3" s="4681" t="s">
        <v>110</v>
      </c>
      <c r="E3" s="4681" t="s">
        <v>111</v>
      </c>
      <c r="F3" s="4681" t="s">
        <v>110</v>
      </c>
      <c r="G3" s="4681" t="s">
        <v>111</v>
      </c>
      <c r="H3" s="4681" t="s">
        <v>110</v>
      </c>
      <c r="I3" s="4681" t="s">
        <v>111</v>
      </c>
    </row>
    <row r="4" ht="15" spans="1:9">
      <c r="A4" s="4682" t="str">
        <f>项目基本情况!S2</f>
        <v>北京市房地产</v>
      </c>
      <c r="B4" s="4681">
        <f>项目基本情况!C17</f>
        <v>138.87</v>
      </c>
      <c r="C4" s="4681">
        <f>项目基本情况!C18</f>
        <v>0</v>
      </c>
      <c r="D4" s="4681" t="e">
        <f ca="1">结果表!D118</f>
        <v>#REF!</v>
      </c>
      <c r="E4" s="4681">
        <f ca="1">结果表!E118</f>
        <v>53302</v>
      </c>
      <c r="F4" s="4681" t="e">
        <f ca="1">结果表!F118</f>
        <v>#REF!</v>
      </c>
      <c r="G4" s="4681">
        <f ca="1">结果表!G118</f>
        <v>0</v>
      </c>
      <c r="H4" s="4681">
        <f ca="1">结果表!H118</f>
        <v>740.2049</v>
      </c>
      <c r="I4" s="4681">
        <f ca="1">结果表!I118</f>
        <v>53302</v>
      </c>
    </row>
    <row r="5" ht="30" customHeight="1" spans="1:9">
      <c r="A5" s="4681" t="s">
        <v>112</v>
      </c>
      <c r="B5" s="4681"/>
      <c r="C5" s="4681"/>
      <c r="D5" s="4681" t="e">
        <f ca="1">结果表!D119</f>
        <v>#REF!</v>
      </c>
      <c r="E5" s="4681"/>
      <c r="F5" s="4681" t="e">
        <f ca="1">结果表!F119</f>
        <v>#REF!</v>
      </c>
      <c r="G5" s="4681"/>
      <c r="H5" s="4681" t="str">
        <f ca="1">结果表!H119</f>
        <v>柒佰肆拾万贰仟零肆拾玖元整</v>
      </c>
      <c r="I5" s="4681"/>
    </row>
    <row r="6" ht="15.75"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75" spans="1:9">
      <c r="A8" s="4683" t="str">
        <f>结果表!A122</f>
        <v>房地产抵押价值</v>
      </c>
      <c r="B8" s="4683"/>
      <c r="C8" s="4683"/>
      <c r="D8" s="4683">
        <f ca="1">结果表!H122</f>
        <v>740.2049</v>
      </c>
      <c r="E8" s="4683"/>
      <c r="F8" s="4683"/>
      <c r="G8" s="4683"/>
      <c r="H8" s="4683"/>
      <c r="I8" s="4683"/>
    </row>
    <row r="9" ht="15" spans="1:9">
      <c r="A9" s="4681" t="s">
        <v>112</v>
      </c>
      <c r="B9" s="4681"/>
      <c r="C9" s="4681"/>
      <c r="D9" s="4681" t="str">
        <f ca="1">结果表!H123</f>
        <v>柒佰肆拾万贰仟零肆拾玖元整</v>
      </c>
      <c r="E9" s="4681"/>
      <c r="F9" s="4681"/>
      <c r="G9" s="4681"/>
      <c r="H9" s="4681"/>
      <c r="I9" s="4681"/>
    </row>
    <row r="10" ht="15.75"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75"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spans="1:9">
      <c r="A14" s="4688" t="s">
        <v>113</v>
      </c>
      <c r="B14" s="4688"/>
      <c r="C14" s="4688"/>
      <c r="D14" s="4688"/>
      <c r="E14" s="4688"/>
      <c r="F14" s="4688"/>
      <c r="G14" s="4688"/>
      <c r="H14" s="4688"/>
      <c r="I14" s="4688"/>
    </row>
    <row r="16" ht="18.75" spans="1:9">
      <c r="A16" s="4689"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3163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3164</v>
      </c>
      <c r="B2" s="85"/>
      <c r="C2" s="85"/>
      <c r="D2" s="85"/>
      <c r="E2" s="85"/>
      <c r="F2" s="85"/>
      <c r="G2" s="86" t="s">
        <v>3165</v>
      </c>
      <c r="I2" s="87" t="s">
        <v>2653</v>
      </c>
      <c r="J2" s="87" t="s">
        <v>2658</v>
      </c>
      <c r="K2" s="87" t="s">
        <v>2678</v>
      </c>
      <c r="L2" s="87" t="s">
        <v>2703</v>
      </c>
      <c r="M2" s="87" t="s">
        <v>2735</v>
      </c>
      <c r="N2" s="87" t="s">
        <v>2775</v>
      </c>
      <c r="O2" s="87" t="s">
        <v>2838</v>
      </c>
      <c r="P2" s="87" t="s">
        <v>2882</v>
      </c>
      <c r="Q2" s="87" t="s">
        <v>2925</v>
      </c>
      <c r="R2" s="87" t="s">
        <v>2975</v>
      </c>
      <c r="S2" s="87" t="s">
        <v>3006</v>
      </c>
      <c r="T2" s="87" t="s">
        <v>3026</v>
      </c>
    </row>
    <row r="3" s="77" customFormat="1" spans="1:20">
      <c r="A3" s="88" t="s">
        <v>2651</v>
      </c>
      <c r="B3" s="89"/>
      <c r="C3" s="90" t="s">
        <v>229</v>
      </c>
      <c r="D3" s="90" t="s">
        <v>230</v>
      </c>
      <c r="E3" s="90" t="s">
        <v>232</v>
      </c>
      <c r="F3" s="90" t="s">
        <v>233</v>
      </c>
      <c r="G3" s="90" t="s">
        <v>231</v>
      </c>
      <c r="H3" s="91"/>
      <c r="I3" s="92" t="s">
        <v>2654</v>
      </c>
      <c r="J3" s="93" t="s">
        <v>2659</v>
      </c>
      <c r="K3" s="93" t="s">
        <v>2679</v>
      </c>
      <c r="L3" s="92" t="s">
        <v>2704</v>
      </c>
      <c r="M3" s="92" t="s">
        <v>2736</v>
      </c>
      <c r="N3" s="92" t="s">
        <v>2776</v>
      </c>
      <c r="O3" s="92" t="s">
        <v>2839</v>
      </c>
      <c r="P3" s="92" t="s">
        <v>2883</v>
      </c>
      <c r="Q3" s="92" t="s">
        <v>2926</v>
      </c>
      <c r="R3" s="92" t="s">
        <v>2976</v>
      </c>
      <c r="S3" s="92" t="s">
        <v>3007</v>
      </c>
      <c r="T3" s="92" t="s">
        <v>3027</v>
      </c>
    </row>
    <row r="4" s="77" customFormat="1" ht="12" spans="1:20">
      <c r="A4" s="94"/>
      <c r="B4" s="95" t="s">
        <v>2652</v>
      </c>
      <c r="C4" s="95" t="s">
        <v>3166</v>
      </c>
      <c r="D4" s="95" t="s">
        <v>3166</v>
      </c>
      <c r="E4" s="95" t="s">
        <v>3166</v>
      </c>
      <c r="F4" s="96" t="s">
        <v>3166</v>
      </c>
      <c r="G4" s="96" t="s">
        <v>3166</v>
      </c>
      <c r="H4" s="91"/>
      <c r="I4" s="93" t="s">
        <v>2655</v>
      </c>
      <c r="J4" s="93" t="s">
        <v>2660</v>
      </c>
      <c r="K4" s="93" t="s">
        <v>2680</v>
      </c>
      <c r="L4" s="92" t="s">
        <v>2705</v>
      </c>
      <c r="M4" s="92" t="s">
        <v>2737</v>
      </c>
      <c r="N4" s="92" t="s">
        <v>2777</v>
      </c>
      <c r="O4" s="92" t="s">
        <v>2840</v>
      </c>
      <c r="P4" s="92" t="s">
        <v>2884</v>
      </c>
      <c r="Q4" s="92" t="s">
        <v>2927</v>
      </c>
      <c r="R4" s="92" t="s">
        <v>2977</v>
      </c>
      <c r="S4" s="92" t="s">
        <v>3008</v>
      </c>
      <c r="T4" s="92" t="s">
        <v>3028</v>
      </c>
    </row>
    <row r="5" spans="1:20">
      <c r="A5" s="97" t="s">
        <v>235</v>
      </c>
      <c r="B5" s="87" t="s">
        <v>2653</v>
      </c>
      <c r="C5" s="98">
        <v>34550</v>
      </c>
      <c r="D5" s="98">
        <v>34470</v>
      </c>
      <c r="E5" s="98">
        <v>34330</v>
      </c>
      <c r="F5" s="98">
        <v>13400</v>
      </c>
      <c r="G5" s="98">
        <v>25450</v>
      </c>
      <c r="H5" s="91"/>
      <c r="I5" s="92" t="s">
        <v>2656</v>
      </c>
      <c r="J5" s="93" t="s">
        <v>2661</v>
      </c>
      <c r="K5" s="93" t="s">
        <v>2681</v>
      </c>
      <c r="L5" s="92" t="s">
        <v>2706</v>
      </c>
      <c r="M5" s="92" t="s">
        <v>2738</v>
      </c>
      <c r="N5" s="92" t="s">
        <v>2778</v>
      </c>
      <c r="O5" s="92" t="s">
        <v>2841</v>
      </c>
      <c r="P5" s="92" t="s">
        <v>2885</v>
      </c>
      <c r="Q5" s="92" t="s">
        <v>2928</v>
      </c>
      <c r="R5" s="92" t="s">
        <v>2978</v>
      </c>
      <c r="S5" s="92" t="s">
        <v>3009</v>
      </c>
      <c r="T5" s="92" t="s">
        <v>3029</v>
      </c>
    </row>
    <row r="6" ht="12" spans="1:20">
      <c r="A6" s="92" t="s">
        <v>235</v>
      </c>
      <c r="B6" s="92" t="s">
        <v>2654</v>
      </c>
      <c r="C6" s="99">
        <v>36990</v>
      </c>
      <c r="D6" s="99">
        <v>36850</v>
      </c>
      <c r="E6" s="99">
        <v>36700</v>
      </c>
      <c r="F6" s="99">
        <v>14590</v>
      </c>
      <c r="G6" s="99">
        <v>27450</v>
      </c>
      <c r="H6" s="91"/>
      <c r="I6" s="100" t="s">
        <v>2657</v>
      </c>
      <c r="J6" s="93" t="s">
        <v>2662</v>
      </c>
      <c r="K6" s="93" t="s">
        <v>2682</v>
      </c>
      <c r="L6" s="92" t="s">
        <v>2707</v>
      </c>
      <c r="M6" s="92" t="s">
        <v>2739</v>
      </c>
      <c r="N6" s="92" t="s">
        <v>2779</v>
      </c>
      <c r="O6" s="92" t="s">
        <v>2842</v>
      </c>
      <c r="P6" s="92" t="s">
        <v>2886</v>
      </c>
      <c r="Q6" s="92" t="s">
        <v>2929</v>
      </c>
      <c r="R6" s="92" t="s">
        <v>2979</v>
      </c>
      <c r="S6" s="92" t="s">
        <v>3010</v>
      </c>
      <c r="T6" s="92" t="s">
        <v>3030</v>
      </c>
    </row>
    <row r="7" spans="1:20">
      <c r="A7" s="92" t="s">
        <v>235</v>
      </c>
      <c r="B7" s="93" t="s">
        <v>2655</v>
      </c>
      <c r="C7" s="99">
        <v>34850</v>
      </c>
      <c r="D7" s="99">
        <v>34690</v>
      </c>
      <c r="E7" s="99">
        <v>34550</v>
      </c>
      <c r="F7" s="99">
        <v>14360</v>
      </c>
      <c r="G7" s="99">
        <v>25620</v>
      </c>
      <c r="H7" s="91"/>
      <c r="J7" s="93" t="s">
        <v>2663</v>
      </c>
      <c r="K7" s="93" t="s">
        <v>2683</v>
      </c>
      <c r="L7" s="92" t="s">
        <v>2708</v>
      </c>
      <c r="M7" s="92" t="s">
        <v>2740</v>
      </c>
      <c r="N7" s="92" t="s">
        <v>2780</v>
      </c>
      <c r="O7" s="92" t="s">
        <v>2843</v>
      </c>
      <c r="P7" s="92" t="s">
        <v>2887</v>
      </c>
      <c r="Q7" s="92" t="s">
        <v>2930</v>
      </c>
      <c r="R7" s="92" t="s">
        <v>2980</v>
      </c>
      <c r="S7" s="92" t="s">
        <v>3011</v>
      </c>
      <c r="T7" s="92" t="s">
        <v>3031</v>
      </c>
    </row>
    <row r="8" ht="12" spans="1:20">
      <c r="A8" s="92" t="s">
        <v>235</v>
      </c>
      <c r="B8" s="92" t="s">
        <v>2656</v>
      </c>
      <c r="C8" s="99">
        <v>32630</v>
      </c>
      <c r="D8" s="99">
        <v>32510</v>
      </c>
      <c r="E8" s="99">
        <v>32420</v>
      </c>
      <c r="F8" s="99">
        <v>13300</v>
      </c>
      <c r="G8" s="99">
        <v>24010</v>
      </c>
      <c r="H8" s="91"/>
      <c r="J8" s="93" t="s">
        <v>2664</v>
      </c>
      <c r="K8" s="93" t="s">
        <v>2684</v>
      </c>
      <c r="L8" s="92" t="s">
        <v>2709</v>
      </c>
      <c r="M8" s="92" t="s">
        <v>2741</v>
      </c>
      <c r="N8" s="92" t="s">
        <v>2781</v>
      </c>
      <c r="O8" s="92" t="s">
        <v>2844</v>
      </c>
      <c r="P8" s="92" t="s">
        <v>2888</v>
      </c>
      <c r="Q8" s="92" t="s">
        <v>2931</v>
      </c>
      <c r="R8" s="92" t="s">
        <v>2981</v>
      </c>
      <c r="S8" s="92" t="s">
        <v>3012</v>
      </c>
      <c r="T8" s="101" t="s">
        <v>3032</v>
      </c>
    </row>
    <row r="9" ht="12" spans="1:20">
      <c r="A9" s="102" t="s">
        <v>235</v>
      </c>
      <c r="B9" s="100" t="s">
        <v>2657</v>
      </c>
      <c r="C9" s="103">
        <v>36370</v>
      </c>
      <c r="D9" s="103">
        <v>36210</v>
      </c>
      <c r="E9" s="103">
        <v>36050</v>
      </c>
      <c r="F9" s="103"/>
      <c r="G9" s="103">
        <v>26740</v>
      </c>
      <c r="H9" s="91"/>
      <c r="J9" s="93" t="s">
        <v>2665</v>
      </c>
      <c r="K9" s="93" t="s">
        <v>2685</v>
      </c>
      <c r="L9" s="92" t="s">
        <v>2710</v>
      </c>
      <c r="M9" s="92" t="s">
        <v>2742</v>
      </c>
      <c r="N9" s="92" t="s">
        <v>2782</v>
      </c>
      <c r="O9" s="92" t="s">
        <v>2845</v>
      </c>
      <c r="P9" s="92" t="s">
        <v>2889</v>
      </c>
      <c r="Q9" s="92" t="s">
        <v>2932</v>
      </c>
      <c r="R9" s="92" t="s">
        <v>2982</v>
      </c>
      <c r="S9" s="92" t="s">
        <v>3013</v>
      </c>
    </row>
    <row r="10" spans="1:20">
      <c r="A10" s="97" t="s">
        <v>251</v>
      </c>
      <c r="B10" s="87" t="s">
        <v>2658</v>
      </c>
      <c r="C10" s="99">
        <v>32350</v>
      </c>
      <c r="D10" s="99">
        <v>31430</v>
      </c>
      <c r="E10" s="99">
        <v>31320</v>
      </c>
      <c r="F10" s="99">
        <v>10850</v>
      </c>
      <c r="G10" s="99">
        <v>22860</v>
      </c>
      <c r="H10" s="91"/>
      <c r="J10" s="93" t="s">
        <v>2666</v>
      </c>
      <c r="K10" s="93" t="s">
        <v>2686</v>
      </c>
      <c r="L10" s="92" t="s">
        <v>2711</v>
      </c>
      <c r="M10" s="92" t="s">
        <v>2743</v>
      </c>
      <c r="N10" s="92" t="s">
        <v>2783</v>
      </c>
      <c r="O10" s="92" t="s">
        <v>2846</v>
      </c>
      <c r="P10" s="92" t="s">
        <v>2890</v>
      </c>
      <c r="Q10" s="92" t="s">
        <v>2933</v>
      </c>
      <c r="R10" s="92" t="s">
        <v>2983</v>
      </c>
      <c r="S10" s="92" t="s">
        <v>3014</v>
      </c>
    </row>
    <row r="11" spans="1:20">
      <c r="A11" s="92" t="s">
        <v>251</v>
      </c>
      <c r="B11" s="93" t="s">
        <v>2659</v>
      </c>
      <c r="C11" s="99">
        <v>31590</v>
      </c>
      <c r="D11" s="99">
        <v>29490</v>
      </c>
      <c r="E11" s="99">
        <v>28700</v>
      </c>
      <c r="F11" s="99">
        <v>10410</v>
      </c>
      <c r="G11" s="99">
        <v>21460</v>
      </c>
      <c r="H11" s="91"/>
      <c r="J11" s="93" t="s">
        <v>2667</v>
      </c>
      <c r="K11" s="93" t="s">
        <v>2687</v>
      </c>
      <c r="L11" s="92" t="s">
        <v>2712</v>
      </c>
      <c r="M11" s="92" t="s">
        <v>2744</v>
      </c>
      <c r="N11" s="92" t="s">
        <v>2784</v>
      </c>
      <c r="O11" s="92" t="s">
        <v>2847</v>
      </c>
      <c r="P11" s="92" t="s">
        <v>2891</v>
      </c>
      <c r="Q11" s="92" t="s">
        <v>2934</v>
      </c>
      <c r="R11" s="92" t="s">
        <v>2984</v>
      </c>
      <c r="S11" s="92" t="s">
        <v>3015</v>
      </c>
    </row>
    <row r="12" spans="1:20">
      <c r="A12" s="92" t="s">
        <v>251</v>
      </c>
      <c r="B12" s="93" t="s">
        <v>2660</v>
      </c>
      <c r="C12" s="99">
        <v>29640</v>
      </c>
      <c r="D12" s="99">
        <v>27550</v>
      </c>
      <c r="E12" s="99">
        <v>28010</v>
      </c>
      <c r="F12" s="99">
        <v>8730</v>
      </c>
      <c r="G12" s="99">
        <v>20050</v>
      </c>
      <c r="H12" s="91"/>
      <c r="J12" s="93" t="s">
        <v>2668</v>
      </c>
      <c r="K12" s="93" t="s">
        <v>2688</v>
      </c>
      <c r="L12" s="92" t="s">
        <v>2713</v>
      </c>
      <c r="M12" s="92" t="s">
        <v>2745</v>
      </c>
      <c r="N12" s="92" t="s">
        <v>2785</v>
      </c>
      <c r="O12" s="92" t="s">
        <v>2848</v>
      </c>
      <c r="P12" s="92" t="s">
        <v>2892</v>
      </c>
      <c r="Q12" s="92" t="s">
        <v>2935</v>
      </c>
      <c r="R12" s="92" t="s">
        <v>2985</v>
      </c>
      <c r="S12" s="92" t="s">
        <v>3016</v>
      </c>
    </row>
    <row r="13" spans="1:20">
      <c r="A13" s="92" t="s">
        <v>251</v>
      </c>
      <c r="B13" s="93" t="s">
        <v>2661</v>
      </c>
      <c r="C13" s="99">
        <v>29680</v>
      </c>
      <c r="D13" s="99">
        <v>27660</v>
      </c>
      <c r="E13" s="99">
        <v>28210</v>
      </c>
      <c r="F13" s="99">
        <v>9590</v>
      </c>
      <c r="G13" s="99">
        <v>20120</v>
      </c>
      <c r="H13" s="91"/>
      <c r="J13" s="93" t="s">
        <v>2669</v>
      </c>
      <c r="K13" s="93" t="s">
        <v>2689</v>
      </c>
      <c r="L13" s="92" t="s">
        <v>2714</v>
      </c>
      <c r="M13" s="92" t="s">
        <v>2746</v>
      </c>
      <c r="N13" s="92" t="s">
        <v>2786</v>
      </c>
      <c r="O13" s="92" t="s">
        <v>2849</v>
      </c>
      <c r="P13" s="92" t="s">
        <v>2893</v>
      </c>
      <c r="Q13" s="92" t="s">
        <v>2936</v>
      </c>
      <c r="R13" s="92" t="s">
        <v>2986</v>
      </c>
      <c r="S13" s="92" t="s">
        <v>3017</v>
      </c>
    </row>
    <row r="14" spans="1:20">
      <c r="A14" s="92" t="s">
        <v>251</v>
      </c>
      <c r="B14" s="93" t="s">
        <v>2662</v>
      </c>
      <c r="C14" s="99">
        <v>30520</v>
      </c>
      <c r="D14" s="99">
        <v>29510</v>
      </c>
      <c r="E14" s="99">
        <v>29400</v>
      </c>
      <c r="F14" s="99">
        <v>9630</v>
      </c>
      <c r="G14" s="99">
        <v>21480</v>
      </c>
      <c r="H14" s="91"/>
      <c r="J14" s="93" t="s">
        <v>2670</v>
      </c>
      <c r="K14" s="93" t="s">
        <v>2690</v>
      </c>
      <c r="L14" s="92" t="s">
        <v>2715</v>
      </c>
      <c r="M14" s="92" t="s">
        <v>2747</v>
      </c>
      <c r="N14" s="92" t="s">
        <v>2787</v>
      </c>
      <c r="O14" s="92" t="s">
        <v>2850</v>
      </c>
      <c r="P14" s="92" t="s">
        <v>2894</v>
      </c>
      <c r="Q14" s="92" t="s">
        <v>2937</v>
      </c>
      <c r="R14" s="92" t="s">
        <v>2987</v>
      </c>
      <c r="S14" s="92" t="s">
        <v>3018</v>
      </c>
    </row>
    <row r="15" spans="1:20">
      <c r="A15" s="92" t="s">
        <v>251</v>
      </c>
      <c r="B15" s="93" t="s">
        <v>2663</v>
      </c>
      <c r="C15" s="99">
        <v>29090</v>
      </c>
      <c r="D15" s="99">
        <v>27590</v>
      </c>
      <c r="E15" s="99">
        <v>28120</v>
      </c>
      <c r="F15" s="99">
        <v>9110</v>
      </c>
      <c r="G15" s="99">
        <v>20070</v>
      </c>
      <c r="H15" s="91"/>
      <c r="J15" s="93" t="s">
        <v>2671</v>
      </c>
      <c r="K15" s="93" t="s">
        <v>2691</v>
      </c>
      <c r="L15" s="92" t="s">
        <v>2716</v>
      </c>
      <c r="M15" s="92" t="s">
        <v>2748</v>
      </c>
      <c r="N15" s="92" t="s">
        <v>2788</v>
      </c>
      <c r="O15" s="92" t="s">
        <v>2851</v>
      </c>
      <c r="P15" s="92" t="s">
        <v>2895</v>
      </c>
      <c r="Q15" s="92" t="s">
        <v>2938</v>
      </c>
      <c r="R15" s="92" t="s">
        <v>2988</v>
      </c>
      <c r="S15" s="92" t="s">
        <v>3019</v>
      </c>
    </row>
    <row r="16" spans="1:20">
      <c r="A16" s="92" t="s">
        <v>251</v>
      </c>
      <c r="B16" s="93" t="s">
        <v>2664</v>
      </c>
      <c r="C16" s="99">
        <v>26790</v>
      </c>
      <c r="D16" s="99">
        <v>30370</v>
      </c>
      <c r="E16" s="99">
        <v>30240</v>
      </c>
      <c r="F16" s="99">
        <v>11590</v>
      </c>
      <c r="G16" s="99">
        <v>22090</v>
      </c>
      <c r="H16" s="91"/>
      <c r="J16" s="93" t="s">
        <v>2672</v>
      </c>
      <c r="K16" s="93" t="s">
        <v>2692</v>
      </c>
      <c r="L16" s="92" t="s">
        <v>2717</v>
      </c>
      <c r="M16" s="92" t="s">
        <v>2749</v>
      </c>
      <c r="N16" s="92" t="s">
        <v>2789</v>
      </c>
      <c r="O16" s="92" t="s">
        <v>2852</v>
      </c>
      <c r="P16" s="92" t="s">
        <v>2896</v>
      </c>
      <c r="Q16" s="92" t="s">
        <v>2939</v>
      </c>
      <c r="R16" s="92" t="s">
        <v>2989</v>
      </c>
      <c r="S16" s="92" t="s">
        <v>3020</v>
      </c>
    </row>
    <row r="17" ht="14.25" customHeight="1" spans="1:19">
      <c r="A17" s="92" t="s">
        <v>251</v>
      </c>
      <c r="B17" s="93" t="s">
        <v>2665</v>
      </c>
      <c r="C17" s="99">
        <v>29180</v>
      </c>
      <c r="D17" s="99">
        <v>27620</v>
      </c>
      <c r="E17" s="99">
        <v>28180</v>
      </c>
      <c r="F17" s="99">
        <v>10790</v>
      </c>
      <c r="G17" s="99">
        <v>20090</v>
      </c>
      <c r="H17" s="91"/>
      <c r="J17" s="93" t="s">
        <v>2673</v>
      </c>
      <c r="K17" s="93" t="s">
        <v>2693</v>
      </c>
      <c r="L17" s="92" t="s">
        <v>2718</v>
      </c>
      <c r="M17" s="92" t="s">
        <v>2750</v>
      </c>
      <c r="N17" s="92" t="s">
        <v>2790</v>
      </c>
      <c r="O17" s="92" t="s">
        <v>2853</v>
      </c>
      <c r="P17" s="92" t="s">
        <v>2897</v>
      </c>
      <c r="Q17" s="92" t="s">
        <v>2940</v>
      </c>
      <c r="R17" s="92" t="s">
        <v>2990</v>
      </c>
      <c r="S17" s="92" t="s">
        <v>3021</v>
      </c>
    </row>
    <row r="18" ht="14.25" customHeight="1" spans="1:19">
      <c r="A18" s="92" t="s">
        <v>251</v>
      </c>
      <c r="B18" s="93" t="s">
        <v>2666</v>
      </c>
      <c r="C18" s="99">
        <v>26840</v>
      </c>
      <c r="D18" s="99">
        <v>28930</v>
      </c>
      <c r="E18" s="99">
        <v>28820</v>
      </c>
      <c r="F18" s="99"/>
      <c r="G18" s="99">
        <v>21050</v>
      </c>
      <c r="H18" s="91"/>
      <c r="J18" s="93" t="s">
        <v>2674</v>
      </c>
      <c r="K18" s="93" t="s">
        <v>2694</v>
      </c>
      <c r="L18" s="92" t="s">
        <v>2719</v>
      </c>
      <c r="M18" s="92" t="s">
        <v>2751</v>
      </c>
      <c r="N18" s="92" t="s">
        <v>2791</v>
      </c>
      <c r="O18" s="92" t="s">
        <v>2854</v>
      </c>
      <c r="P18" s="92" t="s">
        <v>2898</v>
      </c>
      <c r="Q18" s="92" t="s">
        <v>2941</v>
      </c>
      <c r="R18" s="92" t="s">
        <v>2991</v>
      </c>
      <c r="S18" s="92" t="s">
        <v>3022</v>
      </c>
    </row>
    <row r="19" ht="14.25" customHeight="1" spans="1:19">
      <c r="A19" s="92" t="s">
        <v>251</v>
      </c>
      <c r="B19" s="93" t="s">
        <v>2667</v>
      </c>
      <c r="C19" s="99">
        <v>27750</v>
      </c>
      <c r="D19" s="99">
        <v>26680</v>
      </c>
      <c r="E19" s="99">
        <v>26590</v>
      </c>
      <c r="F19" s="99"/>
      <c r="G19" s="99">
        <v>19420</v>
      </c>
      <c r="H19" s="91"/>
      <c r="J19" s="93" t="s">
        <v>2675</v>
      </c>
      <c r="K19" s="93" t="s">
        <v>2695</v>
      </c>
      <c r="L19" s="92" t="s">
        <v>2720</v>
      </c>
      <c r="M19" s="92" t="s">
        <v>2752</v>
      </c>
      <c r="N19" s="92" t="s">
        <v>2792</v>
      </c>
      <c r="O19" s="92" t="s">
        <v>2855</v>
      </c>
      <c r="P19" s="92" t="s">
        <v>2899</v>
      </c>
      <c r="Q19" s="92" t="s">
        <v>2942</v>
      </c>
      <c r="R19" s="92" t="s">
        <v>2992</v>
      </c>
      <c r="S19" s="92" t="s">
        <v>3023</v>
      </c>
    </row>
    <row r="20" ht="14.25" customHeight="1" spans="1:19">
      <c r="A20" s="92" t="s">
        <v>251</v>
      </c>
      <c r="B20" s="93" t="s">
        <v>2668</v>
      </c>
      <c r="C20" s="99">
        <v>27050</v>
      </c>
      <c r="D20" s="99">
        <v>29010</v>
      </c>
      <c r="E20" s="99">
        <v>28910</v>
      </c>
      <c r="F20" s="99"/>
      <c r="G20" s="99">
        <v>21110</v>
      </c>
      <c r="J20" s="93" t="s">
        <v>2676</v>
      </c>
      <c r="K20" s="93" t="s">
        <v>2696</v>
      </c>
      <c r="L20" s="92" t="s">
        <v>2721</v>
      </c>
      <c r="M20" s="92" t="s">
        <v>2753</v>
      </c>
      <c r="N20" s="92" t="s">
        <v>2793</v>
      </c>
      <c r="O20" s="92" t="s">
        <v>2856</v>
      </c>
      <c r="P20" s="92" t="s">
        <v>2900</v>
      </c>
      <c r="Q20" s="92" t="s">
        <v>2943</v>
      </c>
      <c r="R20" s="92" t="s">
        <v>2993</v>
      </c>
      <c r="S20" s="92" t="s">
        <v>3024</v>
      </c>
    </row>
    <row r="21" ht="14.25" customHeight="1" spans="1:19">
      <c r="A21" s="92" t="s">
        <v>251</v>
      </c>
      <c r="B21" s="93" t="s">
        <v>2669</v>
      </c>
      <c r="C21" s="99">
        <v>32370</v>
      </c>
      <c r="D21" s="99">
        <v>26730</v>
      </c>
      <c r="E21" s="99">
        <v>26640</v>
      </c>
      <c r="F21" s="99"/>
      <c r="G21" s="99">
        <v>19440</v>
      </c>
      <c r="J21" s="101" t="s">
        <v>2677</v>
      </c>
      <c r="K21" s="93" t="s">
        <v>2697</v>
      </c>
      <c r="L21" s="92" t="s">
        <v>2722</v>
      </c>
      <c r="M21" s="92" t="s">
        <v>2754</v>
      </c>
      <c r="N21" s="92" t="s">
        <v>2794</v>
      </c>
      <c r="O21" s="92" t="s">
        <v>2857</v>
      </c>
      <c r="P21" s="92" t="s">
        <v>2901</v>
      </c>
      <c r="Q21" s="92" t="s">
        <v>2944</v>
      </c>
      <c r="R21" s="92" t="s">
        <v>2994</v>
      </c>
      <c r="S21" s="101" t="s">
        <v>3025</v>
      </c>
    </row>
    <row r="22" ht="14.25" customHeight="1" spans="1:19">
      <c r="A22" s="92" t="s">
        <v>251</v>
      </c>
      <c r="B22" s="93" t="s">
        <v>2670</v>
      </c>
      <c r="C22" s="99">
        <v>29830</v>
      </c>
      <c r="D22" s="99">
        <v>27600</v>
      </c>
      <c r="E22" s="99">
        <v>28150</v>
      </c>
      <c r="F22" s="99"/>
      <c r="G22" s="99">
        <v>20080</v>
      </c>
      <c r="K22" s="93" t="s">
        <v>2698</v>
      </c>
      <c r="L22" s="92" t="s">
        <v>2723</v>
      </c>
      <c r="M22" s="92" t="s">
        <v>2755</v>
      </c>
      <c r="N22" s="92" t="s">
        <v>2795</v>
      </c>
      <c r="O22" s="92" t="s">
        <v>2858</v>
      </c>
      <c r="P22" s="92" t="s">
        <v>2902</v>
      </c>
      <c r="Q22" s="92" t="s">
        <v>2945</v>
      </c>
      <c r="R22" s="92" t="s">
        <v>2995</v>
      </c>
    </row>
    <row r="23" ht="14.25" customHeight="1" spans="1:19">
      <c r="A23" s="92" t="s">
        <v>251</v>
      </c>
      <c r="B23" s="93" t="s">
        <v>2671</v>
      </c>
      <c r="C23" s="99">
        <v>27800</v>
      </c>
      <c r="D23" s="99">
        <v>26900</v>
      </c>
      <c r="E23" s="99">
        <v>27170</v>
      </c>
      <c r="F23" s="99"/>
      <c r="G23" s="99">
        <v>19570</v>
      </c>
      <c r="K23" s="93" t="s">
        <v>2699</v>
      </c>
      <c r="L23" s="92" t="s">
        <v>2724</v>
      </c>
      <c r="M23" s="92" t="s">
        <v>2756</v>
      </c>
      <c r="N23" s="92" t="s">
        <v>2796</v>
      </c>
      <c r="O23" s="92" t="s">
        <v>2859</v>
      </c>
      <c r="P23" s="92" t="s">
        <v>2903</v>
      </c>
      <c r="Q23" s="92" t="s">
        <v>2946</v>
      </c>
      <c r="R23" s="92" t="s">
        <v>2996</v>
      </c>
    </row>
    <row r="24" ht="14.25" customHeight="1" spans="1:19">
      <c r="A24" s="92" t="s">
        <v>251</v>
      </c>
      <c r="B24" s="93" t="s">
        <v>2672</v>
      </c>
      <c r="C24" s="99">
        <v>27930</v>
      </c>
      <c r="D24" s="99">
        <v>32260</v>
      </c>
      <c r="E24" s="99">
        <v>32120</v>
      </c>
      <c r="F24" s="99"/>
      <c r="G24" s="99">
        <v>23470</v>
      </c>
      <c r="K24" s="93" t="s">
        <v>2700</v>
      </c>
      <c r="L24" s="92" t="s">
        <v>2725</v>
      </c>
      <c r="M24" s="92" t="s">
        <v>2757</v>
      </c>
      <c r="N24" s="92" t="s">
        <v>2797</v>
      </c>
      <c r="O24" s="92" t="s">
        <v>2860</v>
      </c>
      <c r="P24" s="92" t="s">
        <v>2904</v>
      </c>
      <c r="Q24" s="104" t="s">
        <v>2947</v>
      </c>
      <c r="R24" s="92" t="s">
        <v>2997</v>
      </c>
    </row>
    <row r="25" ht="14.25" customHeight="1" spans="1:19">
      <c r="A25" s="92" t="s">
        <v>251</v>
      </c>
      <c r="B25" s="93" t="s">
        <v>2673</v>
      </c>
      <c r="C25" s="99">
        <v>32230</v>
      </c>
      <c r="D25" s="99">
        <v>29640</v>
      </c>
      <c r="E25" s="99">
        <v>29510</v>
      </c>
      <c r="F25" s="99"/>
      <c r="G25" s="99">
        <v>21560</v>
      </c>
      <c r="K25" s="93" t="s">
        <v>2701</v>
      </c>
      <c r="L25" s="92" t="s">
        <v>2726</v>
      </c>
      <c r="M25" s="92" t="s">
        <v>2758</v>
      </c>
      <c r="N25" s="92" t="s">
        <v>2798</v>
      </c>
      <c r="O25" s="92" t="s">
        <v>2861</v>
      </c>
      <c r="P25" s="92" t="s">
        <v>2905</v>
      </c>
      <c r="Q25" s="104" t="s">
        <v>2948</v>
      </c>
      <c r="R25" s="92" t="s">
        <v>2998</v>
      </c>
    </row>
    <row r="26" ht="14.25" customHeight="1" spans="1:19">
      <c r="A26" s="92" t="s">
        <v>251</v>
      </c>
      <c r="B26" s="93" t="s">
        <v>2674</v>
      </c>
      <c r="C26" s="99">
        <v>31690</v>
      </c>
      <c r="D26" s="99">
        <v>27650</v>
      </c>
      <c r="E26" s="99">
        <v>28200</v>
      </c>
      <c r="F26" s="99"/>
      <c r="G26" s="99">
        <v>20110</v>
      </c>
      <c r="K26" s="100" t="s">
        <v>2702</v>
      </c>
      <c r="L26" s="92" t="s">
        <v>2727</v>
      </c>
      <c r="M26" s="92" t="s">
        <v>2759</v>
      </c>
      <c r="N26" s="92" t="s">
        <v>2799</v>
      </c>
      <c r="O26" s="92" t="s">
        <v>2862</v>
      </c>
      <c r="P26" s="92" t="s">
        <v>2906</v>
      </c>
      <c r="Q26" s="104" t="s">
        <v>2949</v>
      </c>
      <c r="R26" s="92" t="s">
        <v>2999</v>
      </c>
    </row>
    <row r="27" ht="14.25" customHeight="1" spans="1:19">
      <c r="A27" s="92" t="s">
        <v>251</v>
      </c>
      <c r="B27" s="93" t="s">
        <v>2675</v>
      </c>
      <c r="C27" s="99">
        <v>29610</v>
      </c>
      <c r="D27" s="99">
        <v>27770</v>
      </c>
      <c r="E27" s="99">
        <v>28300</v>
      </c>
      <c r="F27" s="99"/>
      <c r="G27" s="99">
        <v>20210</v>
      </c>
      <c r="L27" s="92" t="s">
        <v>2728</v>
      </c>
      <c r="M27" s="92" t="s">
        <v>2760</v>
      </c>
      <c r="N27" s="92" t="s">
        <v>2800</v>
      </c>
      <c r="O27" s="92" t="s">
        <v>2863</v>
      </c>
      <c r="P27" s="92" t="s">
        <v>2907</v>
      </c>
      <c r="Q27" s="92" t="s">
        <v>2950</v>
      </c>
      <c r="R27" s="92" t="s">
        <v>3000</v>
      </c>
    </row>
    <row r="28" ht="14.25" customHeight="1" spans="1:19">
      <c r="A28" s="92" t="s">
        <v>251</v>
      </c>
      <c r="B28" s="93" t="s">
        <v>2676</v>
      </c>
      <c r="C28" s="99"/>
      <c r="D28" s="99">
        <v>31520</v>
      </c>
      <c r="E28" s="99">
        <v>31410</v>
      </c>
      <c r="F28" s="99"/>
      <c r="G28" s="99">
        <v>22940</v>
      </c>
      <c r="L28" s="92" t="s">
        <v>2729</v>
      </c>
      <c r="M28" s="92" t="s">
        <v>2761</v>
      </c>
      <c r="N28" s="92" t="s">
        <v>2801</v>
      </c>
      <c r="O28" s="92" t="s">
        <v>2864</v>
      </c>
      <c r="P28" s="92" t="s">
        <v>2908</v>
      </c>
      <c r="Q28" s="92" t="s">
        <v>2951</v>
      </c>
      <c r="R28" s="92" t="s">
        <v>3001</v>
      </c>
    </row>
    <row r="29" ht="14.25" customHeight="1" spans="1:19">
      <c r="A29" s="102" t="s">
        <v>251</v>
      </c>
      <c r="B29" s="105" t="s">
        <v>2677</v>
      </c>
      <c r="C29" s="106"/>
      <c r="D29" s="106">
        <v>29460</v>
      </c>
      <c r="E29" s="106">
        <v>28640</v>
      </c>
      <c r="F29" s="106"/>
      <c r="G29" s="106">
        <v>21430</v>
      </c>
      <c r="L29" s="92" t="s">
        <v>2730</v>
      </c>
      <c r="M29" s="92" t="s">
        <v>2762</v>
      </c>
      <c r="N29" s="92" t="s">
        <v>2802</v>
      </c>
      <c r="O29" s="92" t="s">
        <v>2865</v>
      </c>
      <c r="P29" s="92" t="s">
        <v>2909</v>
      </c>
      <c r="Q29" s="92" t="s">
        <v>2952</v>
      </c>
      <c r="R29" s="92" t="s">
        <v>3002</v>
      </c>
    </row>
    <row r="30" ht="14.25" customHeight="1" spans="1:19">
      <c r="A30" s="97" t="s">
        <v>264</v>
      </c>
      <c r="B30" s="87" t="s">
        <v>2678</v>
      </c>
      <c r="C30" s="98">
        <v>26890</v>
      </c>
      <c r="D30" s="98">
        <v>26770</v>
      </c>
      <c r="E30" s="98">
        <v>25700</v>
      </c>
      <c r="F30" s="98">
        <v>8180</v>
      </c>
      <c r="G30" s="107">
        <v>18740</v>
      </c>
      <c r="L30" s="92" t="s">
        <v>2731</v>
      </c>
      <c r="M30" s="92" t="s">
        <v>2763</v>
      </c>
      <c r="N30" s="92" t="s">
        <v>2803</v>
      </c>
      <c r="O30" s="92" t="s">
        <v>2866</v>
      </c>
      <c r="P30" s="92" t="s">
        <v>2910</v>
      </c>
      <c r="Q30" s="92" t="s">
        <v>2953</v>
      </c>
      <c r="R30" s="92" t="s">
        <v>3003</v>
      </c>
    </row>
    <row r="31" ht="14.25" customHeight="1" spans="1:19">
      <c r="A31" s="92" t="s">
        <v>264</v>
      </c>
      <c r="B31" s="93" t="s">
        <v>2679</v>
      </c>
      <c r="C31" s="99">
        <v>24550</v>
      </c>
      <c r="D31" s="99">
        <v>23990</v>
      </c>
      <c r="E31" s="99">
        <v>22930</v>
      </c>
      <c r="F31" s="99">
        <v>7470</v>
      </c>
      <c r="G31" s="108">
        <v>16790</v>
      </c>
      <c r="L31" s="92" t="s">
        <v>2732</v>
      </c>
      <c r="M31" s="92" t="s">
        <v>2764</v>
      </c>
      <c r="N31" s="92" t="s">
        <v>2804</v>
      </c>
      <c r="O31" s="92" t="s">
        <v>2867</v>
      </c>
      <c r="P31" s="92" t="s">
        <v>2911</v>
      </c>
      <c r="Q31" s="92" t="s">
        <v>2954</v>
      </c>
      <c r="R31" s="92" t="s">
        <v>3004</v>
      </c>
    </row>
    <row r="32" ht="14.25" customHeight="1" spans="1:19">
      <c r="A32" s="92" t="s">
        <v>264</v>
      </c>
      <c r="B32" s="93" t="s">
        <v>2680</v>
      </c>
      <c r="C32" s="99">
        <v>27210</v>
      </c>
      <c r="D32" s="99">
        <v>23240</v>
      </c>
      <c r="E32" s="99">
        <v>23260</v>
      </c>
      <c r="F32" s="99">
        <v>7130</v>
      </c>
      <c r="G32" s="108">
        <v>16270</v>
      </c>
      <c r="L32" s="92" t="s">
        <v>2733</v>
      </c>
      <c r="M32" s="92" t="s">
        <v>2765</v>
      </c>
      <c r="N32" s="92" t="s">
        <v>2805</v>
      </c>
      <c r="O32" s="92" t="s">
        <v>2868</v>
      </c>
      <c r="P32" s="92" t="s">
        <v>2912</v>
      </c>
      <c r="Q32" s="92" t="s">
        <v>2955</v>
      </c>
      <c r="R32" s="101" t="s">
        <v>3005</v>
      </c>
    </row>
    <row r="33" ht="14.25" customHeight="1" spans="1:17">
      <c r="A33" s="92" t="s">
        <v>264</v>
      </c>
      <c r="B33" s="93" t="s">
        <v>2681</v>
      </c>
      <c r="C33" s="99">
        <v>27300</v>
      </c>
      <c r="D33" s="99">
        <v>22980</v>
      </c>
      <c r="E33" s="99">
        <v>24260</v>
      </c>
      <c r="F33" s="99">
        <v>5860</v>
      </c>
      <c r="G33" s="108">
        <v>16090</v>
      </c>
      <c r="L33" s="101" t="s">
        <v>2734</v>
      </c>
      <c r="M33" s="92" t="s">
        <v>2766</v>
      </c>
      <c r="N33" s="92" t="s">
        <v>2806</v>
      </c>
      <c r="O33" s="92" t="s">
        <v>2869</v>
      </c>
      <c r="P33" s="92" t="s">
        <v>2913</v>
      </c>
      <c r="Q33" s="92" t="s">
        <v>2956</v>
      </c>
    </row>
    <row r="34" ht="14.25" customHeight="1" spans="1:17">
      <c r="A34" s="92" t="s">
        <v>264</v>
      </c>
      <c r="B34" s="93" t="s">
        <v>2682</v>
      </c>
      <c r="C34" s="99">
        <v>23090</v>
      </c>
      <c r="D34" s="99">
        <v>23390</v>
      </c>
      <c r="E34" s="99">
        <v>23510</v>
      </c>
      <c r="F34" s="99">
        <v>6700</v>
      </c>
      <c r="G34" s="108">
        <v>16370</v>
      </c>
      <c r="M34" s="92" t="s">
        <v>2767</v>
      </c>
      <c r="N34" s="92" t="s">
        <v>2807</v>
      </c>
      <c r="O34" s="92" t="s">
        <v>2870</v>
      </c>
      <c r="P34" s="92" t="s">
        <v>2914</v>
      </c>
      <c r="Q34" s="92" t="s">
        <v>2957</v>
      </c>
    </row>
    <row r="35" ht="14.25" customHeight="1" spans="1:17">
      <c r="A35" s="92" t="s">
        <v>264</v>
      </c>
      <c r="B35" s="93" t="s">
        <v>2683</v>
      </c>
      <c r="C35" s="99">
        <v>27270</v>
      </c>
      <c r="D35" s="99">
        <v>24270</v>
      </c>
      <c r="E35" s="99">
        <v>24950</v>
      </c>
      <c r="F35" s="99">
        <v>6600</v>
      </c>
      <c r="G35" s="108">
        <v>16990</v>
      </c>
      <c r="M35" s="92" t="s">
        <v>2768</v>
      </c>
      <c r="N35" s="92" t="s">
        <v>2808</v>
      </c>
      <c r="O35" s="92" t="s">
        <v>2871</v>
      </c>
      <c r="P35" s="92" t="s">
        <v>2915</v>
      </c>
      <c r="Q35" s="92" t="s">
        <v>2958</v>
      </c>
    </row>
    <row r="36" ht="14.25" customHeight="1" spans="1:17">
      <c r="A36" s="92" t="s">
        <v>264</v>
      </c>
      <c r="B36" s="93" t="s">
        <v>2684</v>
      </c>
      <c r="C36" s="99">
        <v>23490</v>
      </c>
      <c r="D36" s="99">
        <v>23020</v>
      </c>
      <c r="E36" s="99">
        <v>25230</v>
      </c>
      <c r="F36" s="99">
        <v>6780</v>
      </c>
      <c r="G36" s="108">
        <v>16120</v>
      </c>
      <c r="M36" s="92" t="s">
        <v>2769</v>
      </c>
      <c r="N36" s="92" t="s">
        <v>2809</v>
      </c>
      <c r="O36" s="92" t="s">
        <v>2872</v>
      </c>
      <c r="P36" s="92" t="s">
        <v>2916</v>
      </c>
      <c r="Q36" s="92" t="s">
        <v>2959</v>
      </c>
    </row>
    <row r="37" ht="14.25" customHeight="1" spans="1:17">
      <c r="A37" s="92" t="s">
        <v>264</v>
      </c>
      <c r="B37" s="93" t="s">
        <v>2685</v>
      </c>
      <c r="C37" s="99">
        <v>24380</v>
      </c>
      <c r="D37" s="99">
        <v>22240</v>
      </c>
      <c r="E37" s="99">
        <v>25980</v>
      </c>
      <c r="F37" s="99">
        <v>8160</v>
      </c>
      <c r="G37" s="108">
        <v>15570</v>
      </c>
      <c r="M37" s="92" t="s">
        <v>2770</v>
      </c>
      <c r="N37" s="92" t="s">
        <v>2810</v>
      </c>
      <c r="O37" s="92" t="s">
        <v>2873</v>
      </c>
      <c r="P37" s="92" t="s">
        <v>2917</v>
      </c>
      <c r="Q37" s="92" t="s">
        <v>2960</v>
      </c>
    </row>
    <row r="38" ht="14.25" customHeight="1" spans="1:17">
      <c r="A38" s="92" t="s">
        <v>264</v>
      </c>
      <c r="B38" s="93" t="s">
        <v>2686</v>
      </c>
      <c r="C38" s="99">
        <v>23120</v>
      </c>
      <c r="D38" s="99">
        <v>24630</v>
      </c>
      <c r="E38" s="99">
        <v>25030</v>
      </c>
      <c r="F38" s="99">
        <v>7710</v>
      </c>
      <c r="G38" s="108">
        <v>17240</v>
      </c>
      <c r="M38" s="92" t="s">
        <v>2771</v>
      </c>
      <c r="N38" s="92" t="s">
        <v>2811</v>
      </c>
      <c r="O38" s="92" t="s">
        <v>2874</v>
      </c>
      <c r="P38" s="92" t="s">
        <v>2918</v>
      </c>
      <c r="Q38" s="92" t="s">
        <v>2961</v>
      </c>
    </row>
    <row r="39" ht="14.25" customHeight="1" spans="1:17">
      <c r="A39" s="92" t="s">
        <v>264</v>
      </c>
      <c r="B39" s="93" t="s">
        <v>2687</v>
      </c>
      <c r="C39" s="99">
        <v>22330</v>
      </c>
      <c r="D39" s="99">
        <v>21140</v>
      </c>
      <c r="E39" s="99">
        <v>23970</v>
      </c>
      <c r="F39" s="99">
        <v>7940</v>
      </c>
      <c r="G39" s="108">
        <v>14790</v>
      </c>
      <c r="M39" s="92" t="s">
        <v>2772</v>
      </c>
      <c r="N39" s="92" t="s">
        <v>2812</v>
      </c>
      <c r="O39" s="92" t="s">
        <v>3167</v>
      </c>
      <c r="P39" s="92" t="s">
        <v>2919</v>
      </c>
      <c r="Q39" s="92" t="s">
        <v>2962</v>
      </c>
    </row>
    <row r="40" ht="14.25" customHeight="1" spans="1:17">
      <c r="A40" s="92" t="s">
        <v>264</v>
      </c>
      <c r="B40" s="93" t="s">
        <v>2688</v>
      </c>
      <c r="C40" s="99">
        <v>24740</v>
      </c>
      <c r="D40" s="99">
        <v>24690</v>
      </c>
      <c r="E40" s="99">
        <v>22610</v>
      </c>
      <c r="F40" s="99"/>
      <c r="G40" s="108">
        <v>17280</v>
      </c>
      <c r="M40" s="92" t="s">
        <v>2773</v>
      </c>
      <c r="N40" s="92" t="s">
        <v>2813</v>
      </c>
      <c r="O40" s="92" t="s">
        <v>3168</v>
      </c>
      <c r="P40" s="92" t="s">
        <v>2920</v>
      </c>
      <c r="Q40" s="92" t="s">
        <v>2963</v>
      </c>
    </row>
    <row r="41" ht="14.25" customHeight="1" spans="1:17">
      <c r="A41" s="92" t="s">
        <v>264</v>
      </c>
      <c r="B41" s="93" t="s">
        <v>2689</v>
      </c>
      <c r="C41" s="99">
        <v>21220</v>
      </c>
      <c r="D41" s="99">
        <v>21120</v>
      </c>
      <c r="E41" s="99">
        <v>22590</v>
      </c>
      <c r="F41" s="99"/>
      <c r="G41" s="108">
        <v>14780</v>
      </c>
      <c r="M41" s="101" t="s">
        <v>2774</v>
      </c>
      <c r="N41" s="92" t="s">
        <v>2814</v>
      </c>
      <c r="O41" s="92" t="s">
        <v>3169</v>
      </c>
      <c r="P41" s="92" t="s">
        <v>2921</v>
      </c>
      <c r="Q41" s="92" t="s">
        <v>2964</v>
      </c>
    </row>
    <row r="42" ht="14.25" customHeight="1" spans="1:17">
      <c r="A42" s="92" t="s">
        <v>264</v>
      </c>
      <c r="B42" s="93" t="s">
        <v>2690</v>
      </c>
      <c r="C42" s="99">
        <v>24800</v>
      </c>
      <c r="D42" s="99">
        <v>22280</v>
      </c>
      <c r="E42" s="99">
        <v>24350</v>
      </c>
      <c r="F42" s="99"/>
      <c r="G42" s="108">
        <v>15590</v>
      </c>
      <c r="N42" s="92" t="s">
        <v>2815</v>
      </c>
      <c r="O42" s="92" t="s">
        <v>2878</v>
      </c>
      <c r="P42" s="92" t="s">
        <v>2922</v>
      </c>
      <c r="Q42" s="92" t="s">
        <v>2965</v>
      </c>
    </row>
    <row r="43" ht="14.25" customHeight="1" spans="1:17">
      <c r="A43" s="92" t="s">
        <v>264</v>
      </c>
      <c r="B43" s="93" t="s">
        <v>2691</v>
      </c>
      <c r="C43" s="99">
        <v>21210</v>
      </c>
      <c r="D43" s="99">
        <v>21160</v>
      </c>
      <c r="E43" s="99">
        <v>22650</v>
      </c>
      <c r="F43" s="99"/>
      <c r="G43" s="108">
        <v>14800</v>
      </c>
      <c r="N43" s="92" t="s">
        <v>2816</v>
      </c>
      <c r="O43" s="92" t="s">
        <v>2879</v>
      </c>
      <c r="P43" s="92" t="s">
        <v>2923</v>
      </c>
      <c r="Q43" s="92" t="s">
        <v>2966</v>
      </c>
    </row>
    <row r="44" ht="14.25" customHeight="1" spans="1:17">
      <c r="A44" s="92" t="s">
        <v>264</v>
      </c>
      <c r="B44" s="93" t="s">
        <v>2692</v>
      </c>
      <c r="C44" s="99">
        <v>22370</v>
      </c>
      <c r="D44" s="99">
        <v>23140</v>
      </c>
      <c r="E44" s="99">
        <v>25090</v>
      </c>
      <c r="F44" s="99"/>
      <c r="G44" s="108">
        <v>16190</v>
      </c>
      <c r="N44" s="92" t="s">
        <v>2817</v>
      </c>
      <c r="O44" s="92" t="s">
        <v>3170</v>
      </c>
      <c r="P44" s="101" t="s">
        <v>2924</v>
      </c>
      <c r="Q44" s="92" t="s">
        <v>2967</v>
      </c>
    </row>
    <row r="45" ht="14.25" customHeight="1" spans="1:17">
      <c r="A45" s="92" t="s">
        <v>264</v>
      </c>
      <c r="B45" s="93" t="s">
        <v>2693</v>
      </c>
      <c r="C45" s="99">
        <v>21240</v>
      </c>
      <c r="D45" s="99">
        <v>27050</v>
      </c>
      <c r="E45" s="99">
        <v>28000</v>
      </c>
      <c r="F45" s="99"/>
      <c r="G45" s="108">
        <v>18940</v>
      </c>
      <c r="N45" s="92" t="s">
        <v>2818</v>
      </c>
      <c r="O45" s="101" t="s">
        <v>2881</v>
      </c>
      <c r="Q45" s="92" t="s">
        <v>2968</v>
      </c>
    </row>
    <row r="46" ht="14.25" customHeight="1" spans="1:17">
      <c r="A46" s="92" t="s">
        <v>264</v>
      </c>
      <c r="B46" s="93" t="s">
        <v>2694</v>
      </c>
      <c r="C46" s="99">
        <v>23240</v>
      </c>
      <c r="D46" s="99">
        <v>23000</v>
      </c>
      <c r="E46" s="99">
        <v>24980</v>
      </c>
      <c r="F46" s="99"/>
      <c r="G46" s="108">
        <v>16100</v>
      </c>
      <c r="N46" s="92" t="s">
        <v>2819</v>
      </c>
      <c r="Q46" s="92" t="s">
        <v>2969</v>
      </c>
    </row>
    <row r="47" ht="14.25" customHeight="1" spans="1:17">
      <c r="A47" s="92" t="s">
        <v>264</v>
      </c>
      <c r="B47" s="93" t="s">
        <v>2695</v>
      </c>
      <c r="C47" s="99">
        <v>27150</v>
      </c>
      <c r="D47" s="99">
        <v>23310</v>
      </c>
      <c r="E47" s="99">
        <v>25150</v>
      </c>
      <c r="F47" s="99"/>
      <c r="G47" s="108">
        <v>16310</v>
      </c>
      <c r="N47" s="92" t="s">
        <v>2820</v>
      </c>
      <c r="Q47" s="92" t="s">
        <v>2970</v>
      </c>
    </row>
    <row r="48" ht="14.25" customHeight="1" spans="1:17">
      <c r="A48" s="92" t="s">
        <v>264</v>
      </c>
      <c r="B48" s="93" t="s">
        <v>2696</v>
      </c>
      <c r="C48" s="99">
        <v>23100</v>
      </c>
      <c r="D48" s="99">
        <v>21110</v>
      </c>
      <c r="E48" s="99">
        <v>23080</v>
      </c>
      <c r="F48" s="99"/>
      <c r="G48" s="108">
        <v>14780</v>
      </c>
      <c r="N48" s="92" t="s">
        <v>2821</v>
      </c>
      <c r="Q48" s="92" t="s">
        <v>2971</v>
      </c>
    </row>
    <row r="49" ht="14.25" customHeight="1" spans="1:17">
      <c r="A49" s="92" t="s">
        <v>264</v>
      </c>
      <c r="B49" s="93" t="s">
        <v>2697</v>
      </c>
      <c r="C49" s="99">
        <v>23400</v>
      </c>
      <c r="D49" s="99">
        <v>22920</v>
      </c>
      <c r="E49" s="99">
        <v>24900</v>
      </c>
      <c r="F49" s="99"/>
      <c r="G49" s="108">
        <v>16040</v>
      </c>
      <c r="N49" s="92" t="s">
        <v>2822</v>
      </c>
      <c r="Q49" s="92" t="s">
        <v>2972</v>
      </c>
    </row>
    <row r="50" ht="14.25" customHeight="1" spans="1:17">
      <c r="A50" s="92" t="s">
        <v>264</v>
      </c>
      <c r="B50" s="93" t="s">
        <v>2698</v>
      </c>
      <c r="C50" s="99">
        <v>21200</v>
      </c>
      <c r="D50" s="99">
        <v>26540</v>
      </c>
      <c r="E50" s="99">
        <v>23200</v>
      </c>
      <c r="F50" s="99"/>
      <c r="G50" s="108">
        <v>18580</v>
      </c>
      <c r="N50" s="92" t="s">
        <v>2823</v>
      </c>
      <c r="Q50" s="93" t="s">
        <v>2973</v>
      </c>
    </row>
    <row r="51" ht="14.25" customHeight="1" spans="1:17">
      <c r="A51" s="92" t="s">
        <v>264</v>
      </c>
      <c r="B51" s="93" t="s">
        <v>2699</v>
      </c>
      <c r="C51" s="99">
        <v>23000</v>
      </c>
      <c r="D51" s="99">
        <v>23460</v>
      </c>
      <c r="E51" s="99">
        <v>25290</v>
      </c>
      <c r="F51" s="99"/>
      <c r="G51" s="108">
        <v>16420</v>
      </c>
      <c r="N51" s="92" t="s">
        <v>2824</v>
      </c>
      <c r="Q51" s="101" t="s">
        <v>2974</v>
      </c>
    </row>
    <row r="52" ht="14.25" customHeight="1" spans="1:17">
      <c r="A52" s="92" t="s">
        <v>264</v>
      </c>
      <c r="B52" s="93" t="s">
        <v>2700</v>
      </c>
      <c r="C52" s="99">
        <v>26660</v>
      </c>
      <c r="D52" s="99">
        <v>22350</v>
      </c>
      <c r="E52" s="99">
        <v>22920</v>
      </c>
      <c r="F52" s="99"/>
      <c r="G52" s="108">
        <v>15640</v>
      </c>
      <c r="N52" s="92" t="s">
        <v>2825</v>
      </c>
    </row>
    <row r="53" ht="14.25" customHeight="1" spans="1:17">
      <c r="A53" s="92" t="s">
        <v>264</v>
      </c>
      <c r="B53" s="93" t="s">
        <v>2701</v>
      </c>
      <c r="C53" s="99">
        <v>23580</v>
      </c>
      <c r="D53" s="99"/>
      <c r="E53" s="99">
        <v>24280</v>
      </c>
      <c r="F53" s="99"/>
      <c r="G53" s="108"/>
      <c r="N53" s="92" t="s">
        <v>2826</v>
      </c>
    </row>
    <row r="54" ht="14.25" customHeight="1" spans="1:17">
      <c r="A54" s="109" t="s">
        <v>264</v>
      </c>
      <c r="B54" s="100" t="s">
        <v>2702</v>
      </c>
      <c r="C54" s="103">
        <v>22460</v>
      </c>
      <c r="D54" s="103"/>
      <c r="E54" s="103"/>
      <c r="F54" s="103"/>
      <c r="G54" s="110"/>
      <c r="N54" s="92" t="s">
        <v>2827</v>
      </c>
    </row>
    <row r="55" ht="14.25" customHeight="1" spans="1:17">
      <c r="A55" s="97" t="s">
        <v>275</v>
      </c>
      <c r="B55" s="87" t="s">
        <v>2703</v>
      </c>
      <c r="C55" s="99">
        <v>21970</v>
      </c>
      <c r="D55" s="99">
        <v>20370</v>
      </c>
      <c r="E55" s="99">
        <v>20180</v>
      </c>
      <c r="F55" s="99">
        <v>5730</v>
      </c>
      <c r="G55" s="99">
        <v>13820</v>
      </c>
      <c r="N55" s="92" t="s">
        <v>2828</v>
      </c>
    </row>
    <row r="56" ht="14.25" customHeight="1" spans="1:17">
      <c r="A56" s="92" t="s">
        <v>275</v>
      </c>
      <c r="B56" s="92" t="s">
        <v>2704</v>
      </c>
      <c r="C56" s="99">
        <v>20470</v>
      </c>
      <c r="D56" s="99">
        <v>20700</v>
      </c>
      <c r="E56" s="99">
        <v>20380</v>
      </c>
      <c r="F56" s="99">
        <v>4760</v>
      </c>
      <c r="G56" s="99">
        <v>14050</v>
      </c>
      <c r="N56" s="92" t="s">
        <v>2829</v>
      </c>
    </row>
    <row r="57" ht="14.25" customHeight="1" spans="1:17">
      <c r="A57" s="92" t="s">
        <v>275</v>
      </c>
      <c r="B57" s="92" t="s">
        <v>2705</v>
      </c>
      <c r="C57" s="99">
        <v>20790</v>
      </c>
      <c r="D57" s="99">
        <v>21370</v>
      </c>
      <c r="E57" s="99">
        <v>20890</v>
      </c>
      <c r="F57" s="99">
        <v>4910</v>
      </c>
      <c r="G57" s="99">
        <v>14510</v>
      </c>
      <c r="N57" s="92" t="s">
        <v>2830</v>
      </c>
    </row>
    <row r="58" ht="14.25" customHeight="1" spans="1:17">
      <c r="A58" s="92" t="s">
        <v>275</v>
      </c>
      <c r="B58" s="92" t="s">
        <v>2706</v>
      </c>
      <c r="C58" s="99">
        <v>21460</v>
      </c>
      <c r="D58" s="99">
        <v>20920</v>
      </c>
      <c r="E58" s="99">
        <v>23410</v>
      </c>
      <c r="F58" s="99">
        <v>5100</v>
      </c>
      <c r="G58" s="99">
        <v>14200</v>
      </c>
      <c r="N58" s="92" t="s">
        <v>2831</v>
      </c>
    </row>
    <row r="59" ht="14.25" customHeight="1" spans="1:17">
      <c r="A59" s="92" t="s">
        <v>275</v>
      </c>
      <c r="B59" s="92" t="s">
        <v>2707</v>
      </c>
      <c r="C59" s="99">
        <v>21000</v>
      </c>
      <c r="D59" s="99">
        <v>21550</v>
      </c>
      <c r="E59" s="99">
        <v>21150</v>
      </c>
      <c r="F59" s="99">
        <v>5250</v>
      </c>
      <c r="G59" s="99">
        <v>14630</v>
      </c>
      <c r="N59" s="92" t="s">
        <v>2832</v>
      </c>
    </row>
    <row r="60" ht="14.25" customHeight="1" spans="1:17">
      <c r="A60" s="92" t="s">
        <v>275</v>
      </c>
      <c r="B60" s="92" t="s">
        <v>2708</v>
      </c>
      <c r="C60" s="99">
        <v>21640</v>
      </c>
      <c r="D60" s="99">
        <v>21260</v>
      </c>
      <c r="E60" s="99">
        <v>24040</v>
      </c>
      <c r="F60" s="99">
        <v>4470</v>
      </c>
      <c r="G60" s="99">
        <v>14430</v>
      </c>
      <c r="N60" s="92" t="s">
        <v>2833</v>
      </c>
    </row>
    <row r="61" ht="14.25" customHeight="1" spans="1:17">
      <c r="A61" s="92" t="s">
        <v>275</v>
      </c>
      <c r="B61" s="92" t="s">
        <v>2709</v>
      </c>
      <c r="C61" s="99">
        <v>21330</v>
      </c>
      <c r="D61" s="99">
        <v>18640</v>
      </c>
      <c r="E61" s="99">
        <v>21190</v>
      </c>
      <c r="F61" s="99">
        <v>4180</v>
      </c>
      <c r="G61" s="99">
        <v>12650</v>
      </c>
      <c r="N61" s="92" t="s">
        <v>2834</v>
      </c>
    </row>
    <row r="62" ht="14.25" customHeight="1" spans="1:17">
      <c r="A62" s="92" t="s">
        <v>275</v>
      </c>
      <c r="B62" s="92" t="s">
        <v>2710</v>
      </c>
      <c r="C62" s="99">
        <v>18710</v>
      </c>
      <c r="D62" s="99">
        <v>19400</v>
      </c>
      <c r="E62" s="99">
        <v>23750</v>
      </c>
      <c r="F62" s="99">
        <v>4860</v>
      </c>
      <c r="G62" s="99">
        <v>13170</v>
      </c>
      <c r="N62" s="92" t="s">
        <v>2835</v>
      </c>
    </row>
    <row r="63" ht="14.25" customHeight="1" spans="1:17">
      <c r="A63" s="92" t="s">
        <v>275</v>
      </c>
      <c r="B63" s="92" t="s">
        <v>2711</v>
      </c>
      <c r="C63" s="99">
        <v>19480</v>
      </c>
      <c r="D63" s="99">
        <v>16830</v>
      </c>
      <c r="E63" s="99">
        <v>21590</v>
      </c>
      <c r="F63" s="99">
        <v>4560</v>
      </c>
      <c r="G63" s="99">
        <v>11420</v>
      </c>
      <c r="N63" s="92" t="s">
        <v>2836</v>
      </c>
    </row>
    <row r="64" ht="14.25" customHeight="1" spans="1:17">
      <c r="A64" s="92" t="s">
        <v>275</v>
      </c>
      <c r="B64" s="92" t="s">
        <v>2712</v>
      </c>
      <c r="C64" s="99">
        <v>16920</v>
      </c>
      <c r="D64" s="99">
        <v>19190</v>
      </c>
      <c r="E64" s="99">
        <v>22200</v>
      </c>
      <c r="F64" s="99">
        <v>4390</v>
      </c>
      <c r="G64" s="99">
        <v>13030</v>
      </c>
      <c r="N64" s="101" t="s">
        <v>2837</v>
      </c>
    </row>
    <row r="65" s="78" customFormat="1" ht="14.25" customHeight="1" spans="1:7">
      <c r="A65" s="92" t="s">
        <v>275</v>
      </c>
      <c r="B65" s="92" t="s">
        <v>2713</v>
      </c>
      <c r="C65" s="99">
        <v>19290</v>
      </c>
      <c r="D65" s="99">
        <v>17020</v>
      </c>
      <c r="E65" s="99">
        <v>19880</v>
      </c>
      <c r="F65" s="99">
        <v>4070</v>
      </c>
      <c r="G65" s="99">
        <v>11550</v>
      </c>
    </row>
    <row r="66" s="78" customFormat="1" ht="14.25" customHeight="1" spans="1:7">
      <c r="A66" s="92" t="s">
        <v>275</v>
      </c>
      <c r="B66" s="92" t="s">
        <v>2714</v>
      </c>
      <c r="C66" s="99">
        <v>17090</v>
      </c>
      <c r="D66" s="99">
        <v>18340</v>
      </c>
      <c r="E66" s="99">
        <v>21830</v>
      </c>
      <c r="F66" s="99">
        <v>4690</v>
      </c>
      <c r="G66" s="99">
        <v>12450</v>
      </c>
    </row>
    <row r="67" s="78" customFormat="1" ht="14.25" customHeight="1" spans="1:7">
      <c r="A67" s="92" t="s">
        <v>275</v>
      </c>
      <c r="B67" s="92" t="s">
        <v>2715</v>
      </c>
      <c r="C67" s="99">
        <v>18420</v>
      </c>
      <c r="D67" s="99">
        <v>16360</v>
      </c>
      <c r="E67" s="99">
        <v>20020</v>
      </c>
      <c r="F67" s="99">
        <v>5150</v>
      </c>
      <c r="G67" s="99">
        <v>11110</v>
      </c>
    </row>
    <row r="68" s="78" customFormat="1" ht="14.25" customHeight="1" spans="1:7">
      <c r="A68" s="92" t="s">
        <v>275</v>
      </c>
      <c r="B68" s="92" t="s">
        <v>2716</v>
      </c>
      <c r="C68" s="99">
        <v>16450</v>
      </c>
      <c r="D68" s="99">
        <v>18430</v>
      </c>
      <c r="E68" s="99">
        <v>21010</v>
      </c>
      <c r="F68" s="99">
        <v>4720</v>
      </c>
      <c r="G68" s="99">
        <v>12510</v>
      </c>
    </row>
    <row r="69" s="78" customFormat="1" ht="14.25" customHeight="1" spans="1:7">
      <c r="A69" s="92" t="s">
        <v>275</v>
      </c>
      <c r="B69" s="92" t="s">
        <v>2717</v>
      </c>
      <c r="C69" s="99">
        <v>18510</v>
      </c>
      <c r="D69" s="99">
        <v>16300</v>
      </c>
      <c r="E69" s="99">
        <v>18830</v>
      </c>
      <c r="F69" s="99">
        <v>5400</v>
      </c>
      <c r="G69" s="99">
        <v>11070</v>
      </c>
    </row>
    <row r="70" s="78" customFormat="1" ht="14.25" customHeight="1" spans="1:7">
      <c r="A70" s="92" t="s">
        <v>275</v>
      </c>
      <c r="B70" s="92" t="s">
        <v>2718</v>
      </c>
      <c r="C70" s="99">
        <v>16370</v>
      </c>
      <c r="D70" s="99">
        <v>18620</v>
      </c>
      <c r="E70" s="99">
        <v>21100</v>
      </c>
      <c r="F70" s="99">
        <v>5700</v>
      </c>
      <c r="G70" s="99">
        <v>12640</v>
      </c>
    </row>
    <row r="71" s="78" customFormat="1" ht="14.25" customHeight="1" spans="1:7">
      <c r="A71" s="92" t="s">
        <v>275</v>
      </c>
      <c r="B71" s="92" t="s">
        <v>2719</v>
      </c>
      <c r="C71" s="99">
        <v>18700</v>
      </c>
      <c r="D71" s="99">
        <v>16290</v>
      </c>
      <c r="E71" s="99">
        <v>18760</v>
      </c>
      <c r="F71" s="99">
        <v>4780</v>
      </c>
      <c r="G71" s="99">
        <v>11050</v>
      </c>
    </row>
    <row r="72" s="78" customFormat="1" ht="14.25" customHeight="1" spans="1:7">
      <c r="A72" s="92" t="s">
        <v>275</v>
      </c>
      <c r="B72" s="92" t="s">
        <v>2720</v>
      </c>
      <c r="C72" s="99">
        <v>16340</v>
      </c>
      <c r="D72" s="99">
        <v>17520</v>
      </c>
      <c r="E72" s="99">
        <v>21170</v>
      </c>
      <c r="F72" s="99"/>
      <c r="G72" s="99">
        <v>11900</v>
      </c>
    </row>
    <row r="73" s="78" customFormat="1" ht="14.25" customHeight="1" spans="1:7">
      <c r="A73" s="92" t="s">
        <v>275</v>
      </c>
      <c r="B73" s="92" t="s">
        <v>2721</v>
      </c>
      <c r="C73" s="99">
        <v>17610</v>
      </c>
      <c r="D73" s="99">
        <v>18520</v>
      </c>
      <c r="E73" s="99">
        <v>18720</v>
      </c>
      <c r="F73" s="99"/>
      <c r="G73" s="99">
        <v>12570</v>
      </c>
    </row>
    <row r="74" s="78" customFormat="1" ht="14.25" customHeight="1" spans="1:7">
      <c r="A74" s="92" t="s">
        <v>275</v>
      </c>
      <c r="B74" s="92" t="s">
        <v>2722</v>
      </c>
      <c r="C74" s="99">
        <v>18600</v>
      </c>
      <c r="D74" s="99">
        <v>16480</v>
      </c>
      <c r="E74" s="99">
        <v>20100</v>
      </c>
      <c r="F74" s="99"/>
      <c r="G74" s="99">
        <v>11190</v>
      </c>
    </row>
    <row r="75" s="78" customFormat="1" ht="14.25" customHeight="1" spans="1:7">
      <c r="A75" s="92" t="s">
        <v>275</v>
      </c>
      <c r="B75" s="92" t="s">
        <v>2723</v>
      </c>
      <c r="C75" s="99">
        <v>16570</v>
      </c>
      <c r="D75" s="99">
        <v>17530</v>
      </c>
      <c r="E75" s="99">
        <v>21030</v>
      </c>
      <c r="F75" s="99"/>
      <c r="G75" s="99">
        <v>11900</v>
      </c>
    </row>
    <row r="76" s="78" customFormat="1" ht="14.25" customHeight="1" spans="1:7">
      <c r="A76" s="92" t="s">
        <v>275</v>
      </c>
      <c r="B76" s="92" t="s">
        <v>2724</v>
      </c>
      <c r="C76" s="99">
        <v>17610</v>
      </c>
      <c r="D76" s="99">
        <v>20800</v>
      </c>
      <c r="E76" s="99">
        <v>18920</v>
      </c>
      <c r="F76" s="99"/>
      <c r="G76" s="99">
        <v>14120</v>
      </c>
    </row>
    <row r="77" s="78" customFormat="1" ht="14.25" customHeight="1" spans="1:7">
      <c r="A77" s="92" t="s">
        <v>275</v>
      </c>
      <c r="B77" s="92" t="s">
        <v>2725</v>
      </c>
      <c r="C77" s="99">
        <v>20890</v>
      </c>
      <c r="D77" s="99">
        <v>19740</v>
      </c>
      <c r="E77" s="99">
        <v>20110</v>
      </c>
      <c r="F77" s="99"/>
      <c r="G77" s="99">
        <v>13400</v>
      </c>
    </row>
    <row r="78" s="78" customFormat="1" ht="14.25" customHeight="1" spans="1:7">
      <c r="A78" s="92" t="s">
        <v>275</v>
      </c>
      <c r="B78" s="92" t="s">
        <v>2726</v>
      </c>
      <c r="C78" s="99">
        <v>19820</v>
      </c>
      <c r="D78" s="99">
        <v>19780</v>
      </c>
      <c r="E78" s="99">
        <v>18560</v>
      </c>
      <c r="F78" s="99"/>
      <c r="G78" s="99">
        <v>13430</v>
      </c>
    </row>
    <row r="79" s="78" customFormat="1" ht="14.25" customHeight="1" spans="1:7">
      <c r="A79" s="92" t="s">
        <v>275</v>
      </c>
      <c r="B79" s="92" t="s">
        <v>2727</v>
      </c>
      <c r="C79" s="99">
        <v>21660</v>
      </c>
      <c r="D79" s="99">
        <v>18000</v>
      </c>
      <c r="E79" s="99">
        <v>22570</v>
      </c>
      <c r="F79" s="99"/>
      <c r="G79" s="99">
        <v>12220</v>
      </c>
    </row>
    <row r="80" s="78" customFormat="1" ht="14.25" customHeight="1" spans="1:7">
      <c r="A80" s="92" t="s">
        <v>275</v>
      </c>
      <c r="B80" s="92" t="s">
        <v>2728</v>
      </c>
      <c r="C80" s="99">
        <v>19850</v>
      </c>
      <c r="D80" s="99"/>
      <c r="E80" s="99">
        <v>21700</v>
      </c>
      <c r="F80" s="99"/>
      <c r="G80" s="99"/>
    </row>
    <row r="81" s="78" customFormat="1" ht="14.25" customHeight="1" spans="1:7">
      <c r="A81" s="92" t="s">
        <v>275</v>
      </c>
      <c r="B81" s="92" t="s">
        <v>2729</v>
      </c>
      <c r="C81" s="99">
        <v>18080</v>
      </c>
      <c r="D81" s="99"/>
      <c r="E81" s="99">
        <v>20900</v>
      </c>
      <c r="F81" s="99"/>
      <c r="G81" s="99"/>
    </row>
    <row r="82" s="78" customFormat="1" ht="14.25" customHeight="1" spans="1:7">
      <c r="A82" s="92" t="s">
        <v>275</v>
      </c>
      <c r="B82" s="92" t="s">
        <v>2730</v>
      </c>
      <c r="C82" s="99"/>
      <c r="D82" s="99"/>
      <c r="E82" s="99">
        <v>20840</v>
      </c>
      <c r="F82" s="99"/>
      <c r="G82" s="99"/>
    </row>
    <row r="83" s="78" customFormat="1" ht="14.25" customHeight="1" spans="1:7">
      <c r="A83" s="92" t="s">
        <v>275</v>
      </c>
      <c r="B83" s="92" t="s">
        <v>2731</v>
      </c>
      <c r="C83" s="99"/>
      <c r="D83" s="99"/>
      <c r="E83" s="99"/>
      <c r="F83" s="99">
        <v>4770</v>
      </c>
      <c r="G83" s="99"/>
    </row>
    <row r="84" s="78" customFormat="1" ht="14.25" customHeight="1" spans="1:7">
      <c r="A84" s="92" t="s">
        <v>275</v>
      </c>
      <c r="B84" s="92" t="s">
        <v>2732</v>
      </c>
      <c r="C84" s="99"/>
      <c r="D84" s="99"/>
      <c r="E84" s="99"/>
      <c r="F84" s="99">
        <v>4600</v>
      </c>
      <c r="G84" s="99"/>
    </row>
    <row r="85" s="78" customFormat="1" ht="14.25" customHeight="1" spans="1:7">
      <c r="A85" s="92" t="s">
        <v>275</v>
      </c>
      <c r="B85" s="92" t="s">
        <v>2733</v>
      </c>
      <c r="C85" s="99"/>
      <c r="D85" s="99"/>
      <c r="E85" s="99"/>
      <c r="F85" s="99">
        <v>4680</v>
      </c>
      <c r="G85" s="99"/>
    </row>
    <row r="86" s="78" customFormat="1" ht="14.25" customHeight="1" spans="1:7">
      <c r="A86" s="102" t="s">
        <v>275</v>
      </c>
      <c r="B86" s="105" t="s">
        <v>2734</v>
      </c>
      <c r="C86" s="106">
        <v>16610</v>
      </c>
      <c r="D86" s="106">
        <v>16540</v>
      </c>
      <c r="E86" s="106">
        <v>18850</v>
      </c>
      <c r="F86" s="106"/>
      <c r="G86" s="106">
        <v>11220</v>
      </c>
    </row>
    <row r="87" s="78" customFormat="1" ht="14.25" customHeight="1" spans="1:7">
      <c r="A87" s="97" t="s">
        <v>286</v>
      </c>
      <c r="B87" s="87" t="s">
        <v>2735</v>
      </c>
      <c r="C87" s="98">
        <v>15240</v>
      </c>
      <c r="D87" s="98">
        <v>15170</v>
      </c>
      <c r="E87" s="98">
        <v>18260</v>
      </c>
      <c r="F87" s="98">
        <v>3830</v>
      </c>
      <c r="G87" s="107">
        <v>10020</v>
      </c>
    </row>
    <row r="88" s="78" customFormat="1" ht="14.25" customHeight="1" spans="1:7">
      <c r="A88" s="92" t="s">
        <v>286</v>
      </c>
      <c r="B88" s="92" t="s">
        <v>2736</v>
      </c>
      <c r="C88" s="99">
        <v>17310</v>
      </c>
      <c r="D88" s="99">
        <v>17220</v>
      </c>
      <c r="E88" s="99">
        <v>18610</v>
      </c>
      <c r="F88" s="99">
        <v>3990</v>
      </c>
      <c r="G88" s="108">
        <v>11380</v>
      </c>
    </row>
    <row r="89" s="78" customFormat="1" ht="14.25" customHeight="1" spans="1:7">
      <c r="A89" s="92" t="s">
        <v>286</v>
      </c>
      <c r="B89" s="92" t="s">
        <v>2737</v>
      </c>
      <c r="C89" s="99">
        <v>15600</v>
      </c>
      <c r="D89" s="99">
        <v>15550</v>
      </c>
      <c r="E89" s="99">
        <v>19200</v>
      </c>
      <c r="F89" s="99">
        <v>4110</v>
      </c>
      <c r="G89" s="108">
        <v>10270</v>
      </c>
    </row>
    <row r="90" s="78" customFormat="1" ht="14.25" customHeight="1" spans="1:7">
      <c r="A90" s="92" t="s">
        <v>286</v>
      </c>
      <c r="B90" s="92" t="s">
        <v>2738</v>
      </c>
      <c r="C90" s="99">
        <v>17330</v>
      </c>
      <c r="D90" s="99">
        <v>17240</v>
      </c>
      <c r="E90" s="99">
        <v>18570</v>
      </c>
      <c r="F90" s="99">
        <v>4070</v>
      </c>
      <c r="G90" s="108">
        <v>11390</v>
      </c>
    </row>
    <row r="91" s="78" customFormat="1" ht="14.25" customHeight="1" spans="1:7">
      <c r="A91" s="92" t="s">
        <v>286</v>
      </c>
      <c r="B91" s="92" t="s">
        <v>2739</v>
      </c>
      <c r="C91" s="99">
        <v>16330</v>
      </c>
      <c r="D91" s="99">
        <v>16260</v>
      </c>
      <c r="E91" s="99">
        <v>16800</v>
      </c>
      <c r="F91" s="99">
        <v>3410</v>
      </c>
      <c r="G91" s="108">
        <v>10740</v>
      </c>
    </row>
    <row r="92" s="78" customFormat="1" ht="14.25" customHeight="1" spans="1:7">
      <c r="A92" s="92" t="s">
        <v>286</v>
      </c>
      <c r="B92" s="92" t="s">
        <v>2740</v>
      </c>
      <c r="C92" s="99">
        <v>15570</v>
      </c>
      <c r="D92" s="99">
        <v>15500</v>
      </c>
      <c r="E92" s="99">
        <v>17360</v>
      </c>
      <c r="F92" s="99">
        <v>3510</v>
      </c>
      <c r="G92" s="108">
        <v>10240</v>
      </c>
    </row>
    <row r="93" s="78" customFormat="1" ht="14.25" customHeight="1" spans="1:7">
      <c r="A93" s="92" t="s">
        <v>286</v>
      </c>
      <c r="B93" s="92" t="s">
        <v>2741</v>
      </c>
      <c r="C93" s="99">
        <v>14000</v>
      </c>
      <c r="D93" s="99">
        <v>13930</v>
      </c>
      <c r="E93" s="99">
        <v>18200</v>
      </c>
      <c r="F93" s="99">
        <v>3640</v>
      </c>
      <c r="G93" s="108">
        <v>9210</v>
      </c>
    </row>
    <row r="94" s="78" customFormat="1" ht="14.25" customHeight="1" spans="1:7">
      <c r="A94" s="92" t="s">
        <v>286</v>
      </c>
      <c r="B94" s="92" t="s">
        <v>2742</v>
      </c>
      <c r="C94" s="99">
        <v>14530</v>
      </c>
      <c r="D94" s="99">
        <v>14470</v>
      </c>
      <c r="E94" s="99">
        <v>18240</v>
      </c>
      <c r="F94" s="99">
        <v>3180</v>
      </c>
      <c r="G94" s="108">
        <v>9560</v>
      </c>
    </row>
    <row r="95" s="78" customFormat="1" ht="14.25" customHeight="1" spans="1:7">
      <c r="A95" s="92" t="s">
        <v>286</v>
      </c>
      <c r="B95" s="92" t="s">
        <v>2743</v>
      </c>
      <c r="C95" s="99">
        <v>17330</v>
      </c>
      <c r="D95" s="99">
        <v>17260</v>
      </c>
      <c r="E95" s="99">
        <v>18420</v>
      </c>
      <c r="F95" s="99">
        <v>3060</v>
      </c>
      <c r="G95" s="108">
        <v>11410</v>
      </c>
    </row>
    <row r="96" s="78" customFormat="1" ht="14.25" customHeight="1" spans="1:7">
      <c r="A96" s="92" t="s">
        <v>286</v>
      </c>
      <c r="B96" s="92" t="s">
        <v>2744</v>
      </c>
      <c r="C96" s="99">
        <v>15030</v>
      </c>
      <c r="D96" s="99">
        <v>14970</v>
      </c>
      <c r="E96" s="99">
        <v>17580</v>
      </c>
      <c r="F96" s="99">
        <v>2970</v>
      </c>
      <c r="G96" s="108">
        <v>9890</v>
      </c>
    </row>
    <row r="97" s="78" customFormat="1" ht="14.25" customHeight="1" spans="1:7">
      <c r="A97" s="92" t="s">
        <v>286</v>
      </c>
      <c r="B97" s="92" t="s">
        <v>2745</v>
      </c>
      <c r="C97" s="99">
        <v>17400</v>
      </c>
      <c r="D97" s="99">
        <v>17330</v>
      </c>
      <c r="E97" s="99">
        <v>16430</v>
      </c>
      <c r="F97" s="99">
        <v>2950</v>
      </c>
      <c r="G97" s="108">
        <v>11450</v>
      </c>
    </row>
    <row r="98" s="78" customFormat="1" ht="14.25" customHeight="1" spans="1:7">
      <c r="A98" s="92" t="s">
        <v>286</v>
      </c>
      <c r="B98" s="92" t="s">
        <v>2746</v>
      </c>
      <c r="C98" s="99">
        <v>15200</v>
      </c>
      <c r="D98" s="99">
        <v>15120</v>
      </c>
      <c r="E98" s="99">
        <v>17550</v>
      </c>
      <c r="F98" s="99">
        <v>3080</v>
      </c>
      <c r="G98" s="108">
        <v>9990</v>
      </c>
    </row>
    <row r="99" s="78" customFormat="1" ht="14.25" customHeight="1" spans="1:7">
      <c r="A99" s="92" t="s">
        <v>286</v>
      </c>
      <c r="B99" s="92" t="s">
        <v>2747</v>
      </c>
      <c r="C99" s="99">
        <v>17520</v>
      </c>
      <c r="D99" s="99">
        <v>17430</v>
      </c>
      <c r="E99" s="99">
        <v>16350</v>
      </c>
      <c r="F99" s="99">
        <v>3260</v>
      </c>
      <c r="G99" s="108">
        <v>11510</v>
      </c>
    </row>
    <row r="100" s="78" customFormat="1" ht="14.25" customHeight="1" spans="1:7">
      <c r="A100" s="92" t="s">
        <v>286</v>
      </c>
      <c r="B100" s="92" t="s">
        <v>2748</v>
      </c>
      <c r="C100" s="99">
        <v>15340</v>
      </c>
      <c r="D100" s="99">
        <v>15260</v>
      </c>
      <c r="E100" s="99">
        <v>15930</v>
      </c>
      <c r="F100" s="99">
        <v>2740</v>
      </c>
      <c r="G100" s="108">
        <v>10080</v>
      </c>
    </row>
    <row r="101" s="78" customFormat="1" ht="14.25" customHeight="1" spans="1:7">
      <c r="A101" s="92" t="s">
        <v>286</v>
      </c>
      <c r="B101" s="92" t="s">
        <v>2749</v>
      </c>
      <c r="C101" s="99">
        <v>14620</v>
      </c>
      <c r="D101" s="99">
        <v>14560</v>
      </c>
      <c r="E101" s="99">
        <v>15570</v>
      </c>
      <c r="F101" s="99">
        <v>3500</v>
      </c>
      <c r="G101" s="108">
        <v>9630</v>
      </c>
    </row>
    <row r="102" s="78" customFormat="1" ht="14.25" customHeight="1" spans="1:7">
      <c r="A102" s="92" t="s">
        <v>286</v>
      </c>
      <c r="B102" s="92" t="s">
        <v>2750</v>
      </c>
      <c r="C102" s="99">
        <v>13680</v>
      </c>
      <c r="D102" s="99">
        <v>13610</v>
      </c>
      <c r="E102" s="99">
        <v>15690</v>
      </c>
      <c r="F102" s="99">
        <v>2870</v>
      </c>
      <c r="G102" s="108">
        <v>8990</v>
      </c>
    </row>
    <row r="103" s="78" customFormat="1" ht="14.25" customHeight="1" spans="1:7">
      <c r="A103" s="92" t="s">
        <v>286</v>
      </c>
      <c r="B103" s="92" t="s">
        <v>2751</v>
      </c>
      <c r="C103" s="99">
        <v>14620</v>
      </c>
      <c r="D103" s="99">
        <v>14540</v>
      </c>
      <c r="E103" s="99">
        <v>15240</v>
      </c>
      <c r="F103" s="99">
        <v>2840</v>
      </c>
      <c r="G103" s="108">
        <v>9610</v>
      </c>
    </row>
    <row r="104" s="78" customFormat="1" ht="14.25" customHeight="1" spans="1:7">
      <c r="A104" s="92" t="s">
        <v>286</v>
      </c>
      <c r="B104" s="92" t="s">
        <v>2752</v>
      </c>
      <c r="C104" s="99">
        <v>13610</v>
      </c>
      <c r="D104" s="99">
        <v>13540</v>
      </c>
      <c r="E104" s="99">
        <v>15750</v>
      </c>
      <c r="F104" s="99">
        <v>2770</v>
      </c>
      <c r="G104" s="108">
        <v>8940</v>
      </c>
    </row>
    <row r="105" s="78" customFormat="1" ht="14.25" customHeight="1" spans="1:7">
      <c r="A105" s="92" t="s">
        <v>286</v>
      </c>
      <c r="B105" s="92" t="s">
        <v>2753</v>
      </c>
      <c r="C105" s="99">
        <v>13310</v>
      </c>
      <c r="D105" s="99">
        <v>13240</v>
      </c>
      <c r="E105" s="99">
        <v>16280</v>
      </c>
      <c r="F105" s="99">
        <v>3210</v>
      </c>
      <c r="G105" s="108">
        <v>8750</v>
      </c>
    </row>
    <row r="106" s="78" customFormat="1" ht="14.25" customHeight="1" spans="1:7">
      <c r="A106" s="92" t="s">
        <v>286</v>
      </c>
      <c r="B106" s="92" t="s">
        <v>2754</v>
      </c>
      <c r="C106" s="99">
        <v>13010</v>
      </c>
      <c r="D106" s="99">
        <v>12930</v>
      </c>
      <c r="E106" s="99">
        <v>14960</v>
      </c>
      <c r="F106" s="99">
        <v>3530</v>
      </c>
      <c r="G106" s="108">
        <v>8550</v>
      </c>
    </row>
    <row r="107" s="78" customFormat="1" ht="14.25" customHeight="1" spans="1:7">
      <c r="A107" s="92" t="s">
        <v>286</v>
      </c>
      <c r="B107" s="92" t="s">
        <v>2755</v>
      </c>
      <c r="C107" s="99">
        <v>13070</v>
      </c>
      <c r="D107" s="99">
        <v>13000</v>
      </c>
      <c r="E107" s="99">
        <v>15910</v>
      </c>
      <c r="F107" s="99">
        <v>3990</v>
      </c>
      <c r="G107" s="108">
        <v>8580</v>
      </c>
    </row>
    <row r="108" s="78" customFormat="1" ht="14.25" customHeight="1" spans="1:7">
      <c r="A108" s="92" t="s">
        <v>286</v>
      </c>
      <c r="B108" s="92" t="s">
        <v>2756</v>
      </c>
      <c r="C108" s="99">
        <v>12640</v>
      </c>
      <c r="D108" s="99">
        <v>12580</v>
      </c>
      <c r="E108" s="99">
        <v>15730</v>
      </c>
      <c r="F108" s="99"/>
      <c r="G108" s="108">
        <v>8310</v>
      </c>
    </row>
    <row r="109" s="78" customFormat="1" ht="14.25" customHeight="1" spans="1:7">
      <c r="A109" s="92" t="s">
        <v>286</v>
      </c>
      <c r="B109" s="92" t="s">
        <v>2757</v>
      </c>
      <c r="C109" s="99">
        <v>13130</v>
      </c>
      <c r="D109" s="99">
        <v>13070</v>
      </c>
      <c r="E109" s="99">
        <v>15000</v>
      </c>
      <c r="F109" s="99"/>
      <c r="G109" s="108">
        <v>8630</v>
      </c>
    </row>
    <row r="110" s="78" customFormat="1" ht="14.25" customHeight="1" spans="1:7">
      <c r="A110" s="92" t="s">
        <v>286</v>
      </c>
      <c r="B110" s="92" t="s">
        <v>2758</v>
      </c>
      <c r="C110" s="99">
        <v>13560</v>
      </c>
      <c r="D110" s="99">
        <v>13490</v>
      </c>
      <c r="E110" s="99">
        <v>16300</v>
      </c>
      <c r="F110" s="99"/>
      <c r="G110" s="108">
        <v>8920</v>
      </c>
    </row>
    <row r="111" s="78" customFormat="1" ht="14.25" customHeight="1" spans="1:7">
      <c r="A111" s="92" t="s">
        <v>286</v>
      </c>
      <c r="B111" s="92" t="s">
        <v>2759</v>
      </c>
      <c r="C111" s="99">
        <v>12440</v>
      </c>
      <c r="D111" s="99">
        <v>12380</v>
      </c>
      <c r="E111" s="99">
        <v>17850</v>
      </c>
      <c r="F111" s="99"/>
      <c r="G111" s="108">
        <v>8180</v>
      </c>
    </row>
    <row r="112" s="78" customFormat="1" ht="14.25" customHeight="1" spans="1:7">
      <c r="A112" s="92" t="s">
        <v>286</v>
      </c>
      <c r="B112" s="92" t="s">
        <v>2760</v>
      </c>
      <c r="C112" s="99">
        <v>13260</v>
      </c>
      <c r="D112" s="99">
        <v>13180</v>
      </c>
      <c r="E112" s="99">
        <v>19740</v>
      </c>
      <c r="F112" s="99"/>
      <c r="G112" s="108">
        <v>8710</v>
      </c>
    </row>
    <row r="113" s="78" customFormat="1" ht="14.25" customHeight="1" spans="1:7">
      <c r="A113" s="92" t="s">
        <v>286</v>
      </c>
      <c r="B113" s="92" t="s">
        <v>2761</v>
      </c>
      <c r="C113" s="99">
        <v>15520</v>
      </c>
      <c r="D113" s="99">
        <v>15450</v>
      </c>
      <c r="E113" s="99"/>
      <c r="F113" s="99"/>
      <c r="G113" s="108">
        <v>10210</v>
      </c>
    </row>
    <row r="114" s="78" customFormat="1" ht="14.25" customHeight="1" spans="1:7">
      <c r="A114" s="92" t="s">
        <v>286</v>
      </c>
      <c r="B114" s="92" t="s">
        <v>2762</v>
      </c>
      <c r="C114" s="99">
        <v>13110</v>
      </c>
      <c r="D114" s="99">
        <v>13050</v>
      </c>
      <c r="E114" s="99"/>
      <c r="F114" s="99"/>
      <c r="G114" s="108">
        <v>8620</v>
      </c>
    </row>
    <row r="115" s="78" customFormat="1" ht="14.25" customHeight="1" spans="1:7">
      <c r="A115" s="92" t="s">
        <v>286</v>
      </c>
      <c r="B115" s="92" t="s">
        <v>2763</v>
      </c>
      <c r="C115" s="99">
        <v>12460</v>
      </c>
      <c r="D115" s="99">
        <v>12390</v>
      </c>
      <c r="E115" s="99"/>
      <c r="F115" s="99"/>
      <c r="G115" s="108">
        <v>8190</v>
      </c>
    </row>
    <row r="116" s="78" customFormat="1" ht="14.25" customHeight="1" spans="1:7">
      <c r="A116" s="92" t="s">
        <v>286</v>
      </c>
      <c r="B116" s="92" t="s">
        <v>2764</v>
      </c>
      <c r="C116" s="99">
        <v>13580</v>
      </c>
      <c r="D116" s="99">
        <v>13520</v>
      </c>
      <c r="E116" s="99"/>
      <c r="F116" s="99"/>
      <c r="G116" s="108">
        <v>8930</v>
      </c>
    </row>
    <row r="117" s="78" customFormat="1" ht="14.25" customHeight="1" spans="1:7">
      <c r="A117" s="92" t="s">
        <v>286</v>
      </c>
      <c r="B117" s="92" t="s">
        <v>2765</v>
      </c>
      <c r="C117" s="99">
        <v>17120</v>
      </c>
      <c r="D117" s="99">
        <v>17040</v>
      </c>
      <c r="E117" s="99"/>
      <c r="F117" s="99"/>
      <c r="G117" s="108">
        <v>11260</v>
      </c>
    </row>
    <row r="118" s="78" customFormat="1" ht="14.25" customHeight="1" spans="1:7">
      <c r="A118" s="92" t="s">
        <v>286</v>
      </c>
      <c r="B118" s="92" t="s">
        <v>2766</v>
      </c>
      <c r="C118" s="99">
        <v>14860</v>
      </c>
      <c r="D118" s="99">
        <v>14790</v>
      </c>
      <c r="E118" s="99"/>
      <c r="F118" s="99"/>
      <c r="G118" s="108">
        <v>9780</v>
      </c>
    </row>
    <row r="119" s="78" customFormat="1" ht="14.25" customHeight="1" spans="1:7">
      <c r="A119" s="92" t="s">
        <v>286</v>
      </c>
      <c r="B119" s="92" t="s">
        <v>2767</v>
      </c>
      <c r="C119" s="99">
        <v>16470</v>
      </c>
      <c r="D119" s="99">
        <v>16400</v>
      </c>
      <c r="E119" s="99"/>
      <c r="F119" s="99"/>
      <c r="G119" s="108">
        <v>10840</v>
      </c>
    </row>
    <row r="120" s="78" customFormat="1" ht="14.25" customHeight="1" spans="1:7">
      <c r="A120" s="92" t="s">
        <v>286</v>
      </c>
      <c r="B120" s="92" t="s">
        <v>2768</v>
      </c>
      <c r="C120" s="99"/>
      <c r="D120" s="99"/>
      <c r="E120" s="99"/>
      <c r="F120" s="99">
        <v>4160</v>
      </c>
      <c r="G120" s="108"/>
    </row>
    <row r="121" s="78" customFormat="1" ht="14.25" customHeight="1" spans="1:7">
      <c r="A121" s="92" t="s">
        <v>286</v>
      </c>
      <c r="B121" s="92" t="s">
        <v>2769</v>
      </c>
      <c r="C121" s="99"/>
      <c r="D121" s="99"/>
      <c r="E121" s="99"/>
      <c r="F121" s="99">
        <v>3880</v>
      </c>
      <c r="G121" s="108"/>
    </row>
    <row r="122" s="78" customFormat="1" ht="14.25" customHeight="1" spans="1:7">
      <c r="A122" s="92" t="s">
        <v>286</v>
      </c>
      <c r="B122" s="92" t="s">
        <v>2770</v>
      </c>
      <c r="C122" s="99">
        <v>13750</v>
      </c>
      <c r="D122" s="99">
        <v>13680</v>
      </c>
      <c r="E122" s="99">
        <v>16460</v>
      </c>
      <c r="F122" s="99">
        <v>2880</v>
      </c>
      <c r="G122" s="108">
        <v>9040</v>
      </c>
    </row>
    <row r="123" s="78" customFormat="1" ht="14.25" customHeight="1" spans="1:7">
      <c r="A123" s="92" t="s">
        <v>286</v>
      </c>
      <c r="B123" s="92" t="s">
        <v>2771</v>
      </c>
      <c r="C123" s="99">
        <v>13590</v>
      </c>
      <c r="D123" s="99">
        <v>13520</v>
      </c>
      <c r="E123" s="99">
        <v>16290</v>
      </c>
      <c r="F123" s="99">
        <v>2790</v>
      </c>
      <c r="G123" s="108">
        <v>8930</v>
      </c>
    </row>
    <row r="124" s="78" customFormat="1" ht="14.25" customHeight="1" spans="1:7">
      <c r="A124" s="92" t="s">
        <v>286</v>
      </c>
      <c r="B124" s="92" t="s">
        <v>2772</v>
      </c>
      <c r="C124" s="99">
        <v>13400</v>
      </c>
      <c r="D124" s="99">
        <v>13320</v>
      </c>
      <c r="E124" s="99">
        <v>16100</v>
      </c>
      <c r="F124" s="99">
        <v>2320</v>
      </c>
      <c r="G124" s="108">
        <v>8800</v>
      </c>
    </row>
    <row r="125" s="78" customFormat="1" ht="14.25" customHeight="1" spans="1:7">
      <c r="A125" s="92" t="s">
        <v>286</v>
      </c>
      <c r="B125" s="92" t="s">
        <v>2773</v>
      </c>
      <c r="C125" s="99">
        <v>12860</v>
      </c>
      <c r="D125" s="99">
        <v>12790</v>
      </c>
      <c r="E125" s="99">
        <v>15370</v>
      </c>
      <c r="F125" s="99">
        <v>2280</v>
      </c>
      <c r="G125" s="108">
        <v>8450</v>
      </c>
    </row>
    <row r="126" s="78" customFormat="1" ht="14.25" customHeight="1" spans="1:7">
      <c r="A126" s="109" t="s">
        <v>286</v>
      </c>
      <c r="B126" s="101" t="s">
        <v>2774</v>
      </c>
      <c r="C126" s="103">
        <v>12960</v>
      </c>
      <c r="D126" s="103">
        <v>12890</v>
      </c>
      <c r="E126" s="103">
        <v>15530</v>
      </c>
      <c r="F126" s="103">
        <v>2910</v>
      </c>
      <c r="G126" s="110">
        <v>8520</v>
      </c>
    </row>
    <row r="127" s="78" customFormat="1" ht="14.25" customHeight="1" spans="1:7">
      <c r="A127" s="97" t="s">
        <v>295</v>
      </c>
      <c r="B127" s="87" t="s">
        <v>2775</v>
      </c>
      <c r="C127" s="99">
        <v>12280</v>
      </c>
      <c r="D127" s="99">
        <v>12250</v>
      </c>
      <c r="E127" s="99">
        <v>15130</v>
      </c>
      <c r="F127" s="99">
        <v>2710</v>
      </c>
      <c r="G127" s="99">
        <v>7870</v>
      </c>
    </row>
    <row r="128" s="78" customFormat="1" ht="14.25" customHeight="1" spans="1:7">
      <c r="A128" s="92" t="s">
        <v>295</v>
      </c>
      <c r="B128" s="92" t="s">
        <v>2776</v>
      </c>
      <c r="C128" s="99">
        <v>13180</v>
      </c>
      <c r="D128" s="99">
        <v>13150</v>
      </c>
      <c r="E128" s="99">
        <v>16190</v>
      </c>
      <c r="F128" s="99">
        <v>2820</v>
      </c>
      <c r="G128" s="99">
        <v>8460</v>
      </c>
    </row>
    <row r="129" s="78" customFormat="1" ht="14.25" customHeight="1" spans="1:7">
      <c r="A129" s="92" t="s">
        <v>295</v>
      </c>
      <c r="B129" s="92" t="s">
        <v>2777</v>
      </c>
      <c r="C129" s="99">
        <v>10950</v>
      </c>
      <c r="D129" s="99">
        <v>10920</v>
      </c>
      <c r="E129" s="99">
        <v>13820</v>
      </c>
      <c r="F129" s="99">
        <v>2500</v>
      </c>
      <c r="G129" s="99">
        <v>7020</v>
      </c>
    </row>
    <row r="130" s="78" customFormat="1" ht="14.25" customHeight="1" spans="1:7">
      <c r="A130" s="92" t="s">
        <v>295</v>
      </c>
      <c r="B130" s="92" t="s">
        <v>2778</v>
      </c>
      <c r="C130" s="99">
        <v>10910</v>
      </c>
      <c r="D130" s="99">
        <v>10860</v>
      </c>
      <c r="E130" s="99">
        <v>13730</v>
      </c>
      <c r="F130" s="99">
        <v>2760</v>
      </c>
      <c r="G130" s="99">
        <v>6990</v>
      </c>
    </row>
    <row r="131" s="78" customFormat="1" ht="14.25" customHeight="1" spans="1:7">
      <c r="A131" s="92" t="s">
        <v>295</v>
      </c>
      <c r="B131" s="92" t="s">
        <v>2779</v>
      </c>
      <c r="C131" s="99">
        <v>12910</v>
      </c>
      <c r="D131" s="99">
        <v>12870</v>
      </c>
      <c r="E131" s="99">
        <v>15720</v>
      </c>
      <c r="F131" s="99">
        <v>2750</v>
      </c>
      <c r="G131" s="99">
        <v>8280</v>
      </c>
    </row>
    <row r="132" s="78" customFormat="1" ht="14.25" customHeight="1" spans="1:7">
      <c r="A132" s="92" t="s">
        <v>295</v>
      </c>
      <c r="B132" s="92" t="s">
        <v>2780</v>
      </c>
      <c r="C132" s="99">
        <v>11910</v>
      </c>
      <c r="D132" s="99">
        <v>11860</v>
      </c>
      <c r="E132" s="99">
        <v>14730</v>
      </c>
      <c r="F132" s="99">
        <v>2360</v>
      </c>
      <c r="G132" s="99">
        <v>7630</v>
      </c>
    </row>
    <row r="133" s="78" customFormat="1" ht="14.25" customHeight="1" spans="1:7">
      <c r="A133" s="92" t="s">
        <v>295</v>
      </c>
      <c r="B133" s="92" t="s">
        <v>2781</v>
      </c>
      <c r="C133" s="99">
        <v>12270</v>
      </c>
      <c r="D133" s="99">
        <v>12210</v>
      </c>
      <c r="E133" s="99">
        <v>15010</v>
      </c>
      <c r="F133" s="99">
        <v>2580</v>
      </c>
      <c r="G133" s="99">
        <v>7860</v>
      </c>
    </row>
    <row r="134" s="78" customFormat="1" ht="14.25" customHeight="1" spans="1:7">
      <c r="A134" s="92" t="s">
        <v>295</v>
      </c>
      <c r="B134" s="92" t="s">
        <v>2782</v>
      </c>
      <c r="C134" s="99">
        <v>10800</v>
      </c>
      <c r="D134" s="99">
        <v>10780</v>
      </c>
      <c r="E134" s="99">
        <v>13640</v>
      </c>
      <c r="F134" s="99">
        <v>2110</v>
      </c>
      <c r="G134" s="99">
        <v>6930</v>
      </c>
    </row>
    <row r="135" s="78" customFormat="1" ht="14.25" customHeight="1" spans="1:7">
      <c r="A135" s="92" t="s">
        <v>295</v>
      </c>
      <c r="B135" s="92" t="s">
        <v>2783</v>
      </c>
      <c r="C135" s="99">
        <v>10430</v>
      </c>
      <c r="D135" s="99">
        <v>10390</v>
      </c>
      <c r="E135" s="99">
        <v>13140</v>
      </c>
      <c r="F135" s="99">
        <v>2240</v>
      </c>
      <c r="G135" s="99">
        <v>6680</v>
      </c>
    </row>
    <row r="136" s="78" customFormat="1" ht="14.25" customHeight="1" spans="1:7">
      <c r="A136" s="92" t="s">
        <v>295</v>
      </c>
      <c r="B136" s="92" t="s">
        <v>2784</v>
      </c>
      <c r="C136" s="99">
        <v>11930</v>
      </c>
      <c r="D136" s="99">
        <v>11880</v>
      </c>
      <c r="E136" s="99">
        <v>14770</v>
      </c>
      <c r="F136" s="99">
        <v>1970</v>
      </c>
      <c r="G136" s="99">
        <v>7640</v>
      </c>
    </row>
    <row r="137" s="78" customFormat="1" ht="14.25" customHeight="1" spans="1:7">
      <c r="A137" s="92" t="s">
        <v>295</v>
      </c>
      <c r="B137" s="92" t="s">
        <v>2785</v>
      </c>
      <c r="C137" s="99">
        <v>10470</v>
      </c>
      <c r="D137" s="99">
        <v>10430</v>
      </c>
      <c r="E137" s="99">
        <v>13190</v>
      </c>
      <c r="F137" s="99">
        <v>1990</v>
      </c>
      <c r="G137" s="99">
        <v>6710</v>
      </c>
    </row>
    <row r="138" s="78" customFormat="1" ht="14.25" customHeight="1" spans="1:7">
      <c r="A138" s="92" t="s">
        <v>295</v>
      </c>
      <c r="B138" s="92" t="s">
        <v>2786</v>
      </c>
      <c r="C138" s="99">
        <v>10410</v>
      </c>
      <c r="D138" s="99">
        <v>10380</v>
      </c>
      <c r="E138" s="99">
        <v>13130</v>
      </c>
      <c r="F138" s="99">
        <v>2030</v>
      </c>
      <c r="G138" s="99">
        <v>6680</v>
      </c>
    </row>
    <row r="139" s="78" customFormat="1" ht="14.25" customHeight="1" spans="1:7">
      <c r="A139" s="92" t="s">
        <v>295</v>
      </c>
      <c r="B139" s="92" t="s">
        <v>2787</v>
      </c>
      <c r="C139" s="99">
        <v>9460</v>
      </c>
      <c r="D139" s="99">
        <v>9410</v>
      </c>
      <c r="E139" s="99">
        <v>12050</v>
      </c>
      <c r="F139" s="99">
        <v>2140</v>
      </c>
      <c r="G139" s="99">
        <v>6050</v>
      </c>
    </row>
    <row r="140" s="78" customFormat="1" ht="14.25" customHeight="1" spans="1:7">
      <c r="A140" s="92" t="s">
        <v>295</v>
      </c>
      <c r="B140" s="92" t="s">
        <v>2788</v>
      </c>
      <c r="C140" s="99">
        <v>11030</v>
      </c>
      <c r="D140" s="99">
        <v>10980</v>
      </c>
      <c r="E140" s="99">
        <v>13880</v>
      </c>
      <c r="F140" s="99">
        <v>2210</v>
      </c>
      <c r="G140" s="99">
        <v>7060</v>
      </c>
    </row>
    <row r="141" s="78" customFormat="1" ht="14.25" customHeight="1" spans="1:7">
      <c r="A141" s="92" t="s">
        <v>295</v>
      </c>
      <c r="B141" s="92" t="s">
        <v>2789</v>
      </c>
      <c r="C141" s="99">
        <v>11200</v>
      </c>
      <c r="D141" s="99">
        <v>11150</v>
      </c>
      <c r="E141" s="99">
        <v>14100</v>
      </c>
      <c r="F141" s="99">
        <v>2470</v>
      </c>
      <c r="G141" s="99">
        <v>7170</v>
      </c>
    </row>
    <row r="142" s="78" customFormat="1" ht="14.25" customHeight="1" spans="1:7">
      <c r="A142" s="92" t="s">
        <v>295</v>
      </c>
      <c r="B142" s="92" t="s">
        <v>2790</v>
      </c>
      <c r="C142" s="99">
        <v>10780</v>
      </c>
      <c r="D142" s="99">
        <v>10730</v>
      </c>
      <c r="E142" s="99">
        <v>13540</v>
      </c>
      <c r="F142" s="99">
        <v>2280</v>
      </c>
      <c r="G142" s="99">
        <v>6900</v>
      </c>
    </row>
    <row r="143" s="78" customFormat="1" ht="14.25" customHeight="1" spans="1:7">
      <c r="A143" s="92" t="s">
        <v>295</v>
      </c>
      <c r="B143" s="92" t="s">
        <v>2791</v>
      </c>
      <c r="C143" s="99">
        <v>11550</v>
      </c>
      <c r="D143" s="99">
        <v>11490</v>
      </c>
      <c r="E143" s="99">
        <v>14480</v>
      </c>
      <c r="F143" s="99">
        <v>2070</v>
      </c>
      <c r="G143" s="99">
        <v>7390</v>
      </c>
    </row>
    <row r="144" s="78" customFormat="1" ht="14.25" customHeight="1" spans="1:7">
      <c r="A144" s="92" t="s">
        <v>295</v>
      </c>
      <c r="B144" s="92" t="s">
        <v>2792</v>
      </c>
      <c r="C144" s="99">
        <v>10720</v>
      </c>
      <c r="D144" s="99">
        <v>10680</v>
      </c>
      <c r="E144" s="99">
        <v>13480</v>
      </c>
      <c r="F144" s="99">
        <v>2440</v>
      </c>
      <c r="G144" s="99">
        <v>6870</v>
      </c>
    </row>
    <row r="145" s="78" customFormat="1" ht="14.25" customHeight="1" spans="1:7">
      <c r="A145" s="92" t="s">
        <v>295</v>
      </c>
      <c r="B145" s="92" t="s">
        <v>2793</v>
      </c>
      <c r="C145" s="99">
        <v>10340</v>
      </c>
      <c r="D145" s="99">
        <v>10290</v>
      </c>
      <c r="E145" s="99">
        <v>12880</v>
      </c>
      <c r="F145" s="99">
        <v>2650</v>
      </c>
      <c r="G145" s="99">
        <v>6620</v>
      </c>
    </row>
    <row r="146" s="78" customFormat="1" ht="14.25" customHeight="1" spans="1:7">
      <c r="A146" s="92" t="s">
        <v>295</v>
      </c>
      <c r="B146" s="92" t="s">
        <v>2794</v>
      </c>
      <c r="C146" s="99">
        <v>11890</v>
      </c>
      <c r="D146" s="99">
        <v>11830</v>
      </c>
      <c r="E146" s="99">
        <v>14670</v>
      </c>
      <c r="F146" s="99"/>
      <c r="G146" s="99">
        <v>7610</v>
      </c>
    </row>
    <row r="147" s="78" customFormat="1" ht="14.25" customHeight="1" spans="1:7">
      <c r="A147" s="92" t="s">
        <v>295</v>
      </c>
      <c r="B147" s="92" t="s">
        <v>2795</v>
      </c>
      <c r="C147" s="99">
        <v>12650</v>
      </c>
      <c r="D147" s="99">
        <v>12600</v>
      </c>
      <c r="E147" s="99">
        <v>15440</v>
      </c>
      <c r="F147" s="99"/>
      <c r="G147" s="99">
        <v>8110</v>
      </c>
    </row>
    <row r="148" s="78" customFormat="1" ht="14.25" customHeight="1" spans="1:7">
      <c r="A148" s="92" t="s">
        <v>295</v>
      </c>
      <c r="B148" s="92" t="s">
        <v>2796</v>
      </c>
      <c r="C148" s="99">
        <v>10370</v>
      </c>
      <c r="D148" s="99">
        <v>10310</v>
      </c>
      <c r="E148" s="99">
        <v>12970</v>
      </c>
      <c r="F148" s="99"/>
      <c r="G148" s="99">
        <v>6630</v>
      </c>
    </row>
    <row r="149" s="78" customFormat="1" ht="14.25" customHeight="1" spans="1:7">
      <c r="A149" s="92" t="s">
        <v>295</v>
      </c>
      <c r="B149" s="92" t="s">
        <v>2797</v>
      </c>
      <c r="C149" s="99">
        <v>11600</v>
      </c>
      <c r="D149" s="99">
        <v>11560</v>
      </c>
      <c r="E149" s="99">
        <v>14540</v>
      </c>
      <c r="F149" s="99">
        <v>2390</v>
      </c>
      <c r="G149" s="99">
        <v>7430</v>
      </c>
    </row>
    <row r="150" s="78" customFormat="1" ht="14.25" customHeight="1" spans="1:7">
      <c r="A150" s="92" t="s">
        <v>295</v>
      </c>
      <c r="B150" s="92" t="s">
        <v>2798</v>
      </c>
      <c r="C150" s="99">
        <v>9950</v>
      </c>
      <c r="D150" s="99">
        <v>9890</v>
      </c>
      <c r="E150" s="99">
        <v>12590</v>
      </c>
      <c r="F150" s="99">
        <v>1970</v>
      </c>
      <c r="G150" s="99">
        <v>6360</v>
      </c>
    </row>
    <row r="151" s="78" customFormat="1" ht="14.25" customHeight="1" spans="1:7">
      <c r="A151" s="92" t="s">
        <v>295</v>
      </c>
      <c r="B151" s="92" t="s">
        <v>2799</v>
      </c>
      <c r="C151" s="99">
        <v>10700</v>
      </c>
      <c r="D151" s="99">
        <v>10650</v>
      </c>
      <c r="E151" s="99">
        <v>13420</v>
      </c>
      <c r="F151" s="99">
        <v>2020</v>
      </c>
      <c r="G151" s="99">
        <v>6850</v>
      </c>
    </row>
    <row r="152" s="78" customFormat="1" ht="14.25" customHeight="1" spans="1:7">
      <c r="A152" s="92" t="s">
        <v>295</v>
      </c>
      <c r="B152" s="92" t="s">
        <v>2800</v>
      </c>
      <c r="C152" s="99">
        <v>10310</v>
      </c>
      <c r="D152" s="99">
        <v>10260</v>
      </c>
      <c r="E152" s="99">
        <v>12820</v>
      </c>
      <c r="F152" s="99">
        <v>1980</v>
      </c>
      <c r="G152" s="99">
        <v>6600</v>
      </c>
    </row>
    <row r="153" s="78" customFormat="1" ht="14.25" customHeight="1" spans="1:7">
      <c r="A153" s="92" t="s">
        <v>295</v>
      </c>
      <c r="B153" s="92" t="s">
        <v>2801</v>
      </c>
      <c r="C153" s="99">
        <v>10880</v>
      </c>
      <c r="D153" s="99">
        <v>10820</v>
      </c>
      <c r="E153" s="99">
        <v>13660</v>
      </c>
      <c r="F153" s="99">
        <v>2260</v>
      </c>
      <c r="G153" s="99">
        <v>6970</v>
      </c>
    </row>
    <row r="154" s="78" customFormat="1" ht="14.25" customHeight="1" spans="1:7">
      <c r="A154" s="92" t="s">
        <v>295</v>
      </c>
      <c r="B154" s="92" t="s">
        <v>2802</v>
      </c>
      <c r="C154" s="99">
        <v>11220</v>
      </c>
      <c r="D154" s="99">
        <v>11160</v>
      </c>
      <c r="E154" s="99">
        <v>14130</v>
      </c>
      <c r="F154" s="99">
        <v>2230</v>
      </c>
      <c r="G154" s="99">
        <v>7180</v>
      </c>
    </row>
    <row r="155" s="78" customFormat="1" ht="14.25" customHeight="1" spans="1:7">
      <c r="A155" s="92" t="s">
        <v>295</v>
      </c>
      <c r="B155" s="92" t="s">
        <v>2803</v>
      </c>
      <c r="C155" s="99">
        <v>10430</v>
      </c>
      <c r="D155" s="99">
        <v>10380</v>
      </c>
      <c r="E155" s="99">
        <v>13140</v>
      </c>
      <c r="F155" s="99">
        <v>2080</v>
      </c>
      <c r="G155" s="99">
        <v>6650</v>
      </c>
    </row>
    <row r="156" s="78" customFormat="1" ht="14.25" customHeight="1" spans="1:7">
      <c r="A156" s="92" t="s">
        <v>295</v>
      </c>
      <c r="B156" s="92" t="s">
        <v>2804</v>
      </c>
      <c r="C156" s="99">
        <v>10440</v>
      </c>
      <c r="D156" s="99">
        <v>10400</v>
      </c>
      <c r="E156" s="99">
        <v>13150</v>
      </c>
      <c r="F156" s="99">
        <v>2490</v>
      </c>
      <c r="G156" s="99">
        <v>6690</v>
      </c>
    </row>
    <row r="157" s="78" customFormat="1" ht="14.25" customHeight="1" spans="1:7">
      <c r="A157" s="92" t="s">
        <v>295</v>
      </c>
      <c r="B157" s="92" t="s">
        <v>2805</v>
      </c>
      <c r="C157" s="99">
        <v>10970</v>
      </c>
      <c r="D157" s="99">
        <v>10920</v>
      </c>
      <c r="E157" s="99">
        <v>13840</v>
      </c>
      <c r="F157" s="99">
        <v>2420</v>
      </c>
      <c r="G157" s="99">
        <v>7020</v>
      </c>
    </row>
    <row r="158" s="78" customFormat="1" ht="14.25" customHeight="1" spans="1:7">
      <c r="A158" s="92" t="s">
        <v>295</v>
      </c>
      <c r="B158" s="92" t="s">
        <v>2806</v>
      </c>
      <c r="C158" s="99">
        <v>9590</v>
      </c>
      <c r="D158" s="99">
        <v>9540</v>
      </c>
      <c r="E158" s="99">
        <v>12210</v>
      </c>
      <c r="F158" s="99">
        <v>2100</v>
      </c>
      <c r="G158" s="99">
        <v>6130</v>
      </c>
    </row>
    <row r="159" s="78" customFormat="1" ht="14.25" customHeight="1" spans="1:7">
      <c r="A159" s="92" t="s">
        <v>295</v>
      </c>
      <c r="B159" s="92" t="s">
        <v>2807</v>
      </c>
      <c r="C159" s="99">
        <v>11190</v>
      </c>
      <c r="D159" s="99">
        <v>11140</v>
      </c>
      <c r="E159" s="99">
        <v>14090</v>
      </c>
      <c r="F159" s="99">
        <v>2470</v>
      </c>
      <c r="G159" s="99">
        <v>7170</v>
      </c>
    </row>
    <row r="160" s="78" customFormat="1" ht="14.25" customHeight="1" spans="1:7">
      <c r="A160" s="92" t="s">
        <v>295</v>
      </c>
      <c r="B160" s="92" t="s">
        <v>2808</v>
      </c>
      <c r="C160" s="99">
        <v>11180</v>
      </c>
      <c r="D160" s="99">
        <v>11140</v>
      </c>
      <c r="E160" s="99">
        <v>14050</v>
      </c>
      <c r="F160" s="99">
        <v>2270</v>
      </c>
      <c r="G160" s="99">
        <v>7170</v>
      </c>
    </row>
    <row r="161" s="78" customFormat="1" ht="14.25" customHeight="1" spans="1:7">
      <c r="A161" s="92" t="s">
        <v>295</v>
      </c>
      <c r="B161" s="92" t="s">
        <v>2809</v>
      </c>
      <c r="C161" s="99">
        <v>11160</v>
      </c>
      <c r="D161" s="99">
        <v>11120</v>
      </c>
      <c r="E161" s="99">
        <v>14020</v>
      </c>
      <c r="F161" s="99">
        <v>2150</v>
      </c>
      <c r="G161" s="99">
        <v>7160</v>
      </c>
    </row>
    <row r="162" s="78" customFormat="1" ht="14.25" customHeight="1" spans="1:7">
      <c r="A162" s="92" t="s">
        <v>295</v>
      </c>
      <c r="B162" s="92" t="s">
        <v>2810</v>
      </c>
      <c r="C162" s="99">
        <v>9620</v>
      </c>
      <c r="D162" s="99">
        <v>9570</v>
      </c>
      <c r="E162" s="99">
        <v>12320</v>
      </c>
      <c r="F162" s="99">
        <v>2010</v>
      </c>
      <c r="G162" s="99">
        <v>6160</v>
      </c>
    </row>
    <row r="163" s="78" customFormat="1" ht="14.25" customHeight="1" spans="1:7">
      <c r="A163" s="92" t="s">
        <v>295</v>
      </c>
      <c r="B163" s="92" t="s">
        <v>2811</v>
      </c>
      <c r="C163" s="99">
        <v>9320</v>
      </c>
      <c r="D163" s="99">
        <v>9270</v>
      </c>
      <c r="E163" s="99">
        <v>11790</v>
      </c>
      <c r="F163" s="99">
        <v>1920</v>
      </c>
      <c r="G163" s="99">
        <v>5960</v>
      </c>
    </row>
    <row r="164" s="78" customFormat="1" ht="14.25" customHeight="1" spans="1:7">
      <c r="A164" s="92" t="s">
        <v>295</v>
      </c>
      <c r="B164" s="92" t="s">
        <v>2812</v>
      </c>
      <c r="C164" s="99"/>
      <c r="D164" s="99"/>
      <c r="E164" s="99"/>
      <c r="F164" s="99">
        <v>1980</v>
      </c>
      <c r="G164" s="99"/>
    </row>
    <row r="165" s="78" customFormat="1" ht="14.25" customHeight="1" spans="1:7">
      <c r="A165" s="92" t="s">
        <v>295</v>
      </c>
      <c r="B165" s="92" t="s">
        <v>2813</v>
      </c>
      <c r="C165" s="99">
        <v>11060</v>
      </c>
      <c r="D165" s="99">
        <v>11030</v>
      </c>
      <c r="E165" s="99">
        <v>13850</v>
      </c>
      <c r="F165" s="99">
        <v>2170</v>
      </c>
      <c r="G165" s="99">
        <v>7090</v>
      </c>
    </row>
    <row r="166" s="78" customFormat="1" ht="14.25" customHeight="1" spans="1:7">
      <c r="A166" s="92" t="s">
        <v>295</v>
      </c>
      <c r="B166" s="92" t="s">
        <v>2814</v>
      </c>
      <c r="C166" s="99">
        <v>11050</v>
      </c>
      <c r="D166" s="99">
        <v>11010</v>
      </c>
      <c r="E166" s="99">
        <v>13920</v>
      </c>
      <c r="F166" s="99">
        <v>2140</v>
      </c>
      <c r="G166" s="99">
        <v>7080</v>
      </c>
    </row>
    <row r="167" s="78" customFormat="1" ht="14.25" customHeight="1" spans="1:7">
      <c r="A167" s="92" t="s">
        <v>295</v>
      </c>
      <c r="B167" s="92" t="s">
        <v>2815</v>
      </c>
      <c r="C167" s="99">
        <v>10930</v>
      </c>
      <c r="D167" s="99">
        <v>10890</v>
      </c>
      <c r="E167" s="99">
        <v>13790</v>
      </c>
      <c r="F167" s="99">
        <v>2010</v>
      </c>
      <c r="G167" s="99">
        <v>7000</v>
      </c>
    </row>
    <row r="168" s="78" customFormat="1" ht="14.25" customHeight="1" spans="1:7">
      <c r="A168" s="92" t="s">
        <v>295</v>
      </c>
      <c r="B168" s="92" t="s">
        <v>2816</v>
      </c>
      <c r="C168" s="99">
        <v>9420</v>
      </c>
      <c r="D168" s="99">
        <v>9380</v>
      </c>
      <c r="E168" s="99">
        <v>11970</v>
      </c>
      <c r="F168" s="99"/>
      <c r="G168" s="99">
        <v>6040</v>
      </c>
    </row>
    <row r="169" s="78" customFormat="1" ht="14.25" customHeight="1" spans="1:7">
      <c r="A169" s="92" t="s">
        <v>295</v>
      </c>
      <c r="B169" s="92" t="s">
        <v>2817</v>
      </c>
      <c r="C169" s="99"/>
      <c r="D169" s="99"/>
      <c r="E169" s="99"/>
      <c r="F169" s="99">
        <v>2880</v>
      </c>
      <c r="G169" s="99"/>
    </row>
    <row r="170" s="78" customFormat="1" ht="14.25" customHeight="1" spans="1:7">
      <c r="A170" s="92" t="s">
        <v>295</v>
      </c>
      <c r="B170" s="92" t="s">
        <v>2818</v>
      </c>
      <c r="C170" s="99"/>
      <c r="D170" s="99"/>
      <c r="E170" s="99"/>
      <c r="F170" s="99">
        <v>2880</v>
      </c>
      <c r="G170" s="99"/>
    </row>
    <row r="171" s="78" customFormat="1" ht="14.25" customHeight="1" spans="1:7">
      <c r="A171" s="92" t="s">
        <v>295</v>
      </c>
      <c r="B171" s="92" t="s">
        <v>2819</v>
      </c>
      <c r="C171" s="99"/>
      <c r="D171" s="99"/>
      <c r="E171" s="99"/>
      <c r="F171" s="99">
        <v>2880</v>
      </c>
      <c r="G171" s="99"/>
    </row>
    <row r="172" s="78" customFormat="1" ht="14.25" customHeight="1" spans="1:7">
      <c r="A172" s="92" t="s">
        <v>295</v>
      </c>
      <c r="B172" s="92" t="s">
        <v>2820</v>
      </c>
      <c r="C172" s="99"/>
      <c r="D172" s="99"/>
      <c r="E172" s="99"/>
      <c r="F172" s="99">
        <v>2880</v>
      </c>
      <c r="G172" s="99"/>
    </row>
    <row r="173" s="78" customFormat="1" ht="14.25" customHeight="1" spans="1:7">
      <c r="A173" s="92" t="s">
        <v>295</v>
      </c>
      <c r="B173" s="92" t="s">
        <v>2821</v>
      </c>
      <c r="C173" s="99"/>
      <c r="D173" s="99"/>
      <c r="E173" s="99"/>
      <c r="F173" s="99">
        <v>2150</v>
      </c>
      <c r="G173" s="99"/>
    </row>
    <row r="174" s="78" customFormat="1" ht="14.25" customHeight="1" spans="1:7">
      <c r="A174" s="92" t="s">
        <v>295</v>
      </c>
      <c r="B174" s="92" t="s">
        <v>2822</v>
      </c>
      <c r="C174" s="99"/>
      <c r="D174" s="99"/>
      <c r="E174" s="99"/>
      <c r="F174" s="99">
        <v>2030</v>
      </c>
      <c r="G174" s="99"/>
    </row>
    <row r="175" s="78" customFormat="1" ht="14.25" customHeight="1" spans="1:7">
      <c r="A175" s="92" t="s">
        <v>295</v>
      </c>
      <c r="B175" s="92" t="s">
        <v>2823</v>
      </c>
      <c r="C175" s="99"/>
      <c r="D175" s="99"/>
      <c r="E175" s="99"/>
      <c r="F175" s="99">
        <v>2780</v>
      </c>
      <c r="G175" s="99"/>
    </row>
    <row r="176" s="78" customFormat="1" ht="14.25" customHeight="1" spans="1:7">
      <c r="A176" s="92" t="s">
        <v>295</v>
      </c>
      <c r="B176" s="92" t="s">
        <v>2824</v>
      </c>
      <c r="C176" s="99"/>
      <c r="D176" s="99"/>
      <c r="E176" s="99"/>
      <c r="F176" s="99">
        <v>2780</v>
      </c>
      <c r="G176" s="99"/>
    </row>
    <row r="177" s="78" customFormat="1" ht="14.25" customHeight="1" spans="1:7">
      <c r="A177" s="92" t="s">
        <v>295</v>
      </c>
      <c r="B177" s="92" t="s">
        <v>2825</v>
      </c>
      <c r="C177" s="99"/>
      <c r="D177" s="99"/>
      <c r="E177" s="99"/>
      <c r="F177" s="99">
        <v>2780</v>
      </c>
      <c r="G177" s="99"/>
    </row>
    <row r="178" s="78" customFormat="1" ht="14.25" customHeight="1" spans="1:7">
      <c r="A178" s="92" t="s">
        <v>295</v>
      </c>
      <c r="B178" s="92" t="s">
        <v>2826</v>
      </c>
      <c r="C178" s="99"/>
      <c r="D178" s="99"/>
      <c r="E178" s="99"/>
      <c r="F178" s="99">
        <v>2060</v>
      </c>
      <c r="G178" s="99"/>
    </row>
    <row r="179" s="78" customFormat="1" ht="14.25" customHeight="1" spans="1:7">
      <c r="A179" s="92" t="s">
        <v>295</v>
      </c>
      <c r="B179" s="92" t="s">
        <v>2827</v>
      </c>
      <c r="C179" s="99"/>
      <c r="D179" s="99"/>
      <c r="E179" s="99"/>
      <c r="F179" s="99">
        <v>2120</v>
      </c>
      <c r="G179" s="99"/>
    </row>
    <row r="180" s="78" customFormat="1" ht="14.25" customHeight="1" spans="1:7">
      <c r="A180" s="92" t="s">
        <v>295</v>
      </c>
      <c r="B180" s="92" t="s">
        <v>2828</v>
      </c>
      <c r="C180" s="99"/>
      <c r="D180" s="99"/>
      <c r="E180" s="99"/>
      <c r="F180" s="99">
        <v>2340</v>
      </c>
      <c r="G180" s="99"/>
    </row>
    <row r="181" s="78" customFormat="1" ht="14.25" customHeight="1" spans="1:7">
      <c r="A181" s="92" t="s">
        <v>295</v>
      </c>
      <c r="B181" s="92" t="s">
        <v>2829</v>
      </c>
      <c r="C181" s="99"/>
      <c r="D181" s="99"/>
      <c r="E181" s="99"/>
      <c r="F181" s="99">
        <v>2340</v>
      </c>
      <c r="G181" s="99"/>
    </row>
    <row r="182" s="78" customFormat="1" ht="14.25" customHeight="1" spans="1:7">
      <c r="A182" s="92" t="s">
        <v>295</v>
      </c>
      <c r="B182" s="92" t="s">
        <v>2830</v>
      </c>
      <c r="C182" s="99"/>
      <c r="D182" s="99"/>
      <c r="E182" s="99"/>
      <c r="F182" s="99">
        <v>2340</v>
      </c>
      <c r="G182" s="99"/>
    </row>
    <row r="183" s="78" customFormat="1" ht="14.25" customHeight="1" spans="1:7">
      <c r="A183" s="92" t="s">
        <v>295</v>
      </c>
      <c r="B183" s="92" t="s">
        <v>2831</v>
      </c>
      <c r="C183" s="99"/>
      <c r="D183" s="99"/>
      <c r="E183" s="99"/>
      <c r="F183" s="99">
        <v>2340</v>
      </c>
      <c r="G183" s="99"/>
    </row>
    <row r="184" s="78" customFormat="1" ht="14.25" customHeight="1" spans="1:7">
      <c r="A184" s="92" t="s">
        <v>295</v>
      </c>
      <c r="B184" s="92" t="s">
        <v>2832</v>
      </c>
      <c r="C184" s="99"/>
      <c r="D184" s="99"/>
      <c r="E184" s="99"/>
      <c r="F184" s="99">
        <v>2340</v>
      </c>
      <c r="G184" s="99"/>
    </row>
    <row r="185" s="78" customFormat="1" ht="14.25" customHeight="1" spans="1:7">
      <c r="A185" s="92" t="s">
        <v>295</v>
      </c>
      <c r="B185" s="92" t="s">
        <v>2833</v>
      </c>
      <c r="C185" s="99"/>
      <c r="D185" s="99"/>
      <c r="E185" s="99"/>
      <c r="F185" s="99">
        <v>2530</v>
      </c>
      <c r="G185" s="99"/>
    </row>
    <row r="186" s="78" customFormat="1" ht="14.25" customHeight="1" spans="1:7">
      <c r="A186" s="92" t="s">
        <v>295</v>
      </c>
      <c r="B186" s="92" t="s">
        <v>2834</v>
      </c>
      <c r="C186" s="99"/>
      <c r="D186" s="99"/>
      <c r="E186" s="99"/>
      <c r="F186" s="99">
        <v>2550</v>
      </c>
      <c r="G186" s="99"/>
    </row>
    <row r="187" s="78" customFormat="1" ht="14.25" customHeight="1" spans="1:7">
      <c r="A187" s="92" t="s">
        <v>295</v>
      </c>
      <c r="B187" s="92" t="s">
        <v>2835</v>
      </c>
      <c r="C187" s="99"/>
      <c r="D187" s="99"/>
      <c r="E187" s="99"/>
      <c r="F187" s="99">
        <v>2070</v>
      </c>
      <c r="G187" s="99"/>
    </row>
    <row r="188" s="78" customFormat="1" ht="14.25" customHeight="1" spans="1:7">
      <c r="A188" s="92" t="s">
        <v>295</v>
      </c>
      <c r="B188" s="92" t="s">
        <v>2836</v>
      </c>
      <c r="C188" s="99"/>
      <c r="D188" s="99"/>
      <c r="E188" s="99"/>
      <c r="F188" s="99">
        <v>2340</v>
      </c>
      <c r="G188" s="99"/>
    </row>
    <row r="189" s="78" customFormat="1" ht="14.25" customHeight="1" spans="1:7">
      <c r="A189" s="102" t="s">
        <v>295</v>
      </c>
      <c r="B189" s="111" t="s">
        <v>2837</v>
      </c>
      <c r="C189" s="106"/>
      <c r="D189" s="106"/>
      <c r="E189" s="106"/>
      <c r="F189" s="106">
        <v>2050</v>
      </c>
      <c r="G189" s="106"/>
    </row>
    <row r="190" s="78" customFormat="1" ht="14.25" customHeight="1" spans="1:7">
      <c r="A190" s="97" t="s">
        <v>303</v>
      </c>
      <c r="B190" s="87" t="s">
        <v>2838</v>
      </c>
      <c r="C190" s="98">
        <v>8830</v>
      </c>
      <c r="D190" s="98">
        <v>8790</v>
      </c>
      <c r="E190" s="98">
        <v>11630</v>
      </c>
      <c r="F190" s="98">
        <v>1790</v>
      </c>
      <c r="G190" s="107">
        <v>5550</v>
      </c>
    </row>
    <row r="191" s="78" customFormat="1" ht="14.25" customHeight="1" spans="1:7">
      <c r="A191" s="92" t="s">
        <v>303</v>
      </c>
      <c r="B191" s="92" t="s">
        <v>2839</v>
      </c>
      <c r="C191" s="99">
        <v>9780</v>
      </c>
      <c r="D191" s="99">
        <v>9710</v>
      </c>
      <c r="E191" s="99">
        <v>12550</v>
      </c>
      <c r="F191" s="99">
        <v>1980</v>
      </c>
      <c r="G191" s="108">
        <v>6130</v>
      </c>
    </row>
    <row r="192" s="78" customFormat="1" ht="14.25" customHeight="1" spans="1:7">
      <c r="A192" s="92" t="s">
        <v>303</v>
      </c>
      <c r="B192" s="92" t="s">
        <v>2840</v>
      </c>
      <c r="C192" s="99">
        <v>8180</v>
      </c>
      <c r="D192" s="99">
        <v>8140</v>
      </c>
      <c r="E192" s="99">
        <v>10870</v>
      </c>
      <c r="F192" s="99">
        <v>1690</v>
      </c>
      <c r="G192" s="108">
        <v>5140</v>
      </c>
    </row>
    <row r="193" s="78" customFormat="1" ht="14.25" customHeight="1" spans="1:7">
      <c r="A193" s="92" t="s">
        <v>303</v>
      </c>
      <c r="B193" s="92" t="s">
        <v>2841</v>
      </c>
      <c r="C193" s="99">
        <v>8440</v>
      </c>
      <c r="D193" s="99">
        <v>8390</v>
      </c>
      <c r="E193" s="99">
        <v>11210</v>
      </c>
      <c r="F193" s="99">
        <v>1600</v>
      </c>
      <c r="G193" s="108">
        <v>5300</v>
      </c>
    </row>
    <row r="194" s="78" customFormat="1" ht="14.25" customHeight="1" spans="1:7">
      <c r="A194" s="92" t="s">
        <v>303</v>
      </c>
      <c r="B194" s="92" t="s">
        <v>2842</v>
      </c>
      <c r="C194" s="99">
        <v>8780</v>
      </c>
      <c r="D194" s="99">
        <v>8730</v>
      </c>
      <c r="E194" s="99">
        <v>11550</v>
      </c>
      <c r="F194" s="99">
        <v>1660</v>
      </c>
      <c r="G194" s="108">
        <v>5520</v>
      </c>
    </row>
    <row r="195" s="78" customFormat="1" ht="14.25" customHeight="1" spans="1:7">
      <c r="A195" s="92" t="s">
        <v>303</v>
      </c>
      <c r="B195" s="92" t="s">
        <v>2843</v>
      </c>
      <c r="C195" s="99">
        <v>8720</v>
      </c>
      <c r="D195" s="99">
        <v>8670</v>
      </c>
      <c r="E195" s="99">
        <v>11450</v>
      </c>
      <c r="F195" s="99">
        <v>1720</v>
      </c>
      <c r="G195" s="108">
        <v>5480</v>
      </c>
    </row>
    <row r="196" s="78" customFormat="1" ht="14.25" customHeight="1" spans="1:7">
      <c r="A196" s="92" t="s">
        <v>303</v>
      </c>
      <c r="B196" s="92" t="s">
        <v>2844</v>
      </c>
      <c r="C196" s="99">
        <v>8460</v>
      </c>
      <c r="D196" s="99">
        <v>8410</v>
      </c>
      <c r="E196" s="99">
        <v>11230</v>
      </c>
      <c r="F196" s="99">
        <v>1730</v>
      </c>
      <c r="G196" s="108">
        <v>5310</v>
      </c>
    </row>
    <row r="197" s="78" customFormat="1" ht="14.25" customHeight="1" spans="1:7">
      <c r="A197" s="92" t="s">
        <v>303</v>
      </c>
      <c r="B197" s="92" t="s">
        <v>2845</v>
      </c>
      <c r="C197" s="99">
        <v>8790</v>
      </c>
      <c r="D197" s="99">
        <v>8730</v>
      </c>
      <c r="E197" s="99">
        <v>11560</v>
      </c>
      <c r="F197" s="99">
        <v>1750</v>
      </c>
      <c r="G197" s="108">
        <v>5520</v>
      </c>
    </row>
    <row r="198" s="78" customFormat="1" ht="14.25" customHeight="1" spans="1:7">
      <c r="A198" s="92" t="s">
        <v>303</v>
      </c>
      <c r="B198" s="92" t="s">
        <v>2846</v>
      </c>
      <c r="C198" s="99">
        <v>8720</v>
      </c>
      <c r="D198" s="99">
        <v>8680</v>
      </c>
      <c r="E198" s="99">
        <v>11470</v>
      </c>
      <c r="F198" s="99"/>
      <c r="G198" s="108">
        <v>5480</v>
      </c>
    </row>
    <row r="199" s="78" customFormat="1" ht="14.25" customHeight="1" spans="1:7">
      <c r="A199" s="92" t="s">
        <v>303</v>
      </c>
      <c r="B199" s="92" t="s">
        <v>2847</v>
      </c>
      <c r="C199" s="99">
        <v>8690</v>
      </c>
      <c r="D199" s="99">
        <v>8630</v>
      </c>
      <c r="E199" s="99">
        <v>11350</v>
      </c>
      <c r="F199" s="99">
        <v>1600</v>
      </c>
      <c r="G199" s="108">
        <v>5450</v>
      </c>
    </row>
    <row r="200" s="78" customFormat="1" ht="14.25" customHeight="1" spans="1:7">
      <c r="A200" s="92" t="s">
        <v>303</v>
      </c>
      <c r="B200" s="92" t="s">
        <v>2848</v>
      </c>
      <c r="C200" s="99"/>
      <c r="D200" s="99"/>
      <c r="E200" s="99"/>
      <c r="F200" s="99">
        <v>1510</v>
      </c>
      <c r="G200" s="108"/>
    </row>
    <row r="201" s="78" customFormat="1" ht="14.25" customHeight="1" spans="1:7">
      <c r="A201" s="92" t="s">
        <v>303</v>
      </c>
      <c r="B201" s="92" t="s">
        <v>2849</v>
      </c>
      <c r="C201" s="99">
        <v>8440</v>
      </c>
      <c r="D201" s="99">
        <v>8390</v>
      </c>
      <c r="E201" s="99">
        <v>10930</v>
      </c>
      <c r="F201" s="99">
        <v>1500</v>
      </c>
      <c r="G201" s="108">
        <v>5300</v>
      </c>
    </row>
    <row r="202" s="78" customFormat="1" ht="14.25" customHeight="1" spans="1:7">
      <c r="A202" s="92" t="s">
        <v>303</v>
      </c>
      <c r="B202" s="92" t="s">
        <v>2850</v>
      </c>
      <c r="C202" s="99">
        <v>8530</v>
      </c>
      <c r="D202" s="99">
        <v>8490</v>
      </c>
      <c r="E202" s="99">
        <v>11160</v>
      </c>
      <c r="F202" s="99">
        <v>1580</v>
      </c>
      <c r="G202" s="108">
        <v>5360</v>
      </c>
    </row>
    <row r="203" s="78" customFormat="1" ht="14.25" customHeight="1" spans="1:7">
      <c r="A203" s="92" t="s">
        <v>303</v>
      </c>
      <c r="B203" s="92" t="s">
        <v>2851</v>
      </c>
      <c r="C203" s="99">
        <v>8130</v>
      </c>
      <c r="D203" s="99">
        <v>8070</v>
      </c>
      <c r="E203" s="99">
        <v>10820</v>
      </c>
      <c r="F203" s="99">
        <v>1690</v>
      </c>
      <c r="G203" s="108">
        <v>5100</v>
      </c>
    </row>
    <row r="204" s="78" customFormat="1" ht="14.25" customHeight="1" spans="1:7">
      <c r="A204" s="92" t="s">
        <v>303</v>
      </c>
      <c r="B204" s="92" t="s">
        <v>2852</v>
      </c>
      <c r="C204" s="99">
        <v>8350</v>
      </c>
      <c r="D204" s="99">
        <v>8290</v>
      </c>
      <c r="E204" s="99">
        <v>11080</v>
      </c>
      <c r="F204" s="99">
        <v>1450</v>
      </c>
      <c r="G204" s="108">
        <v>5240</v>
      </c>
    </row>
    <row r="205" s="78" customFormat="1" ht="14.25" customHeight="1" spans="1:7">
      <c r="A205" s="92" t="s">
        <v>303</v>
      </c>
      <c r="B205" s="92" t="s">
        <v>2853</v>
      </c>
      <c r="C205" s="99">
        <v>7190</v>
      </c>
      <c r="D205" s="99">
        <v>7130</v>
      </c>
      <c r="E205" s="99">
        <v>9490</v>
      </c>
      <c r="F205" s="99">
        <v>1470</v>
      </c>
      <c r="G205" s="108">
        <v>4510</v>
      </c>
    </row>
    <row r="206" s="78" customFormat="1" ht="14.25" customHeight="1" spans="1:7">
      <c r="A206" s="92" t="s">
        <v>303</v>
      </c>
      <c r="B206" s="92" t="s">
        <v>2854</v>
      </c>
      <c r="C206" s="99">
        <v>7000</v>
      </c>
      <c r="D206" s="99">
        <v>6950</v>
      </c>
      <c r="E206" s="99">
        <v>9170</v>
      </c>
      <c r="F206" s="99">
        <v>1400</v>
      </c>
      <c r="G206" s="108">
        <v>4380</v>
      </c>
    </row>
    <row r="207" s="78" customFormat="1" ht="14.25" customHeight="1" spans="1:7">
      <c r="A207" s="92" t="s">
        <v>303</v>
      </c>
      <c r="B207" s="92" t="s">
        <v>2855</v>
      </c>
      <c r="C207" s="99">
        <v>6950</v>
      </c>
      <c r="D207" s="99">
        <v>6900</v>
      </c>
      <c r="E207" s="99">
        <v>9110</v>
      </c>
      <c r="F207" s="99">
        <v>1790</v>
      </c>
      <c r="G207" s="108">
        <v>4360</v>
      </c>
    </row>
    <row r="208" s="78" customFormat="1" ht="14.25" customHeight="1" spans="1:7">
      <c r="A208" s="92" t="s">
        <v>303</v>
      </c>
      <c r="B208" s="92" t="s">
        <v>2856</v>
      </c>
      <c r="C208" s="99">
        <v>9470</v>
      </c>
      <c r="D208" s="99">
        <v>9410</v>
      </c>
      <c r="E208" s="99">
        <v>12330</v>
      </c>
      <c r="F208" s="99">
        <v>1770</v>
      </c>
      <c r="G208" s="108">
        <v>5940</v>
      </c>
    </row>
    <row r="209" s="78" customFormat="1" ht="14.25" customHeight="1" spans="1:7">
      <c r="A209" s="92" t="s">
        <v>303</v>
      </c>
      <c r="B209" s="92" t="s">
        <v>2857</v>
      </c>
      <c r="C209" s="99">
        <v>8740</v>
      </c>
      <c r="D209" s="99">
        <v>8700</v>
      </c>
      <c r="E209" s="99">
        <v>11500</v>
      </c>
      <c r="F209" s="99">
        <v>1730</v>
      </c>
      <c r="G209" s="108">
        <v>5490</v>
      </c>
    </row>
    <row r="210" s="78" customFormat="1" ht="14.25" customHeight="1" spans="1:7">
      <c r="A210" s="92" t="s">
        <v>303</v>
      </c>
      <c r="B210" s="92" t="s">
        <v>2858</v>
      </c>
      <c r="C210" s="99">
        <v>8710</v>
      </c>
      <c r="D210" s="99">
        <v>8660</v>
      </c>
      <c r="E210" s="99">
        <v>11440</v>
      </c>
      <c r="F210" s="99">
        <v>1740</v>
      </c>
      <c r="G210" s="108">
        <v>5470</v>
      </c>
    </row>
    <row r="211" s="78" customFormat="1" ht="14.25" customHeight="1" spans="1:7">
      <c r="A211" s="92" t="s">
        <v>303</v>
      </c>
      <c r="B211" s="92" t="s">
        <v>2859</v>
      </c>
      <c r="C211" s="99">
        <v>9480</v>
      </c>
      <c r="D211" s="99">
        <v>9430</v>
      </c>
      <c r="E211" s="99">
        <v>12360</v>
      </c>
      <c r="F211" s="99">
        <v>1820</v>
      </c>
      <c r="G211" s="108">
        <v>5950</v>
      </c>
    </row>
    <row r="212" s="78" customFormat="1" ht="14.25" customHeight="1" spans="1:7">
      <c r="A212" s="92" t="s">
        <v>303</v>
      </c>
      <c r="B212" s="92" t="s">
        <v>2860</v>
      </c>
      <c r="C212" s="99">
        <v>9070</v>
      </c>
      <c r="D212" s="99">
        <v>9020</v>
      </c>
      <c r="E212" s="99">
        <v>11720</v>
      </c>
      <c r="F212" s="99">
        <v>1850</v>
      </c>
      <c r="G212" s="108">
        <v>5700</v>
      </c>
    </row>
    <row r="213" s="78" customFormat="1" ht="14.25" customHeight="1" spans="1:7">
      <c r="A213" s="92" t="s">
        <v>303</v>
      </c>
      <c r="B213" s="92" t="s">
        <v>2861</v>
      </c>
      <c r="C213" s="99">
        <v>9030</v>
      </c>
      <c r="D213" s="99">
        <v>8980</v>
      </c>
      <c r="E213" s="99">
        <v>11670</v>
      </c>
      <c r="F213" s="99">
        <v>1690</v>
      </c>
      <c r="G213" s="108">
        <v>5670</v>
      </c>
    </row>
    <row r="214" s="78" customFormat="1" ht="14.25" customHeight="1" spans="1:7">
      <c r="A214" s="92" t="s">
        <v>303</v>
      </c>
      <c r="B214" s="92" t="s">
        <v>2862</v>
      </c>
      <c r="C214" s="99">
        <v>8090</v>
      </c>
      <c r="D214" s="99">
        <v>8030</v>
      </c>
      <c r="E214" s="99">
        <v>10780</v>
      </c>
      <c r="F214" s="99">
        <v>1570</v>
      </c>
      <c r="G214" s="108">
        <v>5070</v>
      </c>
    </row>
    <row r="215" s="78" customFormat="1" ht="14.25" customHeight="1" spans="1:7">
      <c r="A215" s="92" t="s">
        <v>303</v>
      </c>
      <c r="B215" s="92" t="s">
        <v>2863</v>
      </c>
      <c r="C215" s="99">
        <v>7950</v>
      </c>
      <c r="D215" s="99">
        <v>7900</v>
      </c>
      <c r="E215" s="99">
        <v>10560</v>
      </c>
      <c r="F215" s="99">
        <v>1630</v>
      </c>
      <c r="G215" s="108">
        <v>4990</v>
      </c>
    </row>
    <row r="216" s="78" customFormat="1" ht="14.25" customHeight="1" spans="1:7">
      <c r="A216" s="92" t="s">
        <v>303</v>
      </c>
      <c r="B216" s="92" t="s">
        <v>2864</v>
      </c>
      <c r="C216" s="99">
        <v>8490</v>
      </c>
      <c r="D216" s="99">
        <v>8440</v>
      </c>
      <c r="E216" s="99">
        <v>11260</v>
      </c>
      <c r="F216" s="99">
        <v>1690</v>
      </c>
      <c r="G216" s="108">
        <v>5330</v>
      </c>
    </row>
    <row r="217" s="78" customFormat="1" ht="14.25" customHeight="1" spans="1:7">
      <c r="A217" s="92" t="s">
        <v>303</v>
      </c>
      <c r="B217" s="92" t="s">
        <v>2865</v>
      </c>
      <c r="C217" s="99">
        <v>8200</v>
      </c>
      <c r="D217" s="99">
        <v>8150</v>
      </c>
      <c r="E217" s="99">
        <v>10910</v>
      </c>
      <c r="F217" s="99">
        <v>1670</v>
      </c>
      <c r="G217" s="108">
        <v>5150</v>
      </c>
    </row>
    <row r="218" s="78" customFormat="1" ht="14.25" customHeight="1" spans="1:7">
      <c r="A218" s="92" t="s">
        <v>303</v>
      </c>
      <c r="B218" s="92" t="s">
        <v>2866</v>
      </c>
      <c r="C218" s="99"/>
      <c r="D218" s="99"/>
      <c r="E218" s="99"/>
      <c r="F218" s="99">
        <v>2040</v>
      </c>
      <c r="G218" s="108"/>
    </row>
    <row r="219" s="78" customFormat="1" ht="14.25" customHeight="1" spans="1:7">
      <c r="A219" s="92" t="s">
        <v>303</v>
      </c>
      <c r="B219" s="92" t="s">
        <v>2867</v>
      </c>
      <c r="C219" s="99"/>
      <c r="D219" s="99"/>
      <c r="E219" s="99"/>
      <c r="F219" s="99">
        <v>2040</v>
      </c>
      <c r="G219" s="108"/>
    </row>
    <row r="220" s="78" customFormat="1" ht="14.25" customHeight="1" spans="1:7">
      <c r="A220" s="92" t="s">
        <v>303</v>
      </c>
      <c r="B220" s="92" t="s">
        <v>2868</v>
      </c>
      <c r="C220" s="99"/>
      <c r="D220" s="99"/>
      <c r="E220" s="99"/>
      <c r="F220" s="99">
        <v>2040</v>
      </c>
      <c r="G220" s="108"/>
    </row>
    <row r="221" s="78" customFormat="1" ht="14.25" customHeight="1" spans="1:7">
      <c r="A221" s="92" t="s">
        <v>303</v>
      </c>
      <c r="B221" s="92" t="s">
        <v>2869</v>
      </c>
      <c r="C221" s="99"/>
      <c r="D221" s="99"/>
      <c r="E221" s="99"/>
      <c r="F221" s="99">
        <v>2040</v>
      </c>
      <c r="G221" s="108"/>
    </row>
    <row r="222" s="78" customFormat="1" ht="14.25" customHeight="1" spans="1:7">
      <c r="A222" s="92" t="s">
        <v>303</v>
      </c>
      <c r="B222" s="92" t="s">
        <v>2870</v>
      </c>
      <c r="C222" s="99"/>
      <c r="D222" s="99"/>
      <c r="E222" s="99"/>
      <c r="F222" s="99">
        <v>2040</v>
      </c>
      <c r="G222" s="108"/>
    </row>
    <row r="223" s="78" customFormat="1" ht="14.25" customHeight="1" spans="1:7">
      <c r="A223" s="92" t="s">
        <v>303</v>
      </c>
      <c r="B223" s="92" t="s">
        <v>2871</v>
      </c>
      <c r="C223" s="99"/>
      <c r="D223" s="99"/>
      <c r="E223" s="99"/>
      <c r="F223" s="99">
        <v>1930</v>
      </c>
      <c r="G223" s="108"/>
    </row>
    <row r="224" s="78" customFormat="1" ht="14.25" customHeight="1" spans="1:7">
      <c r="A224" s="92" t="s">
        <v>303</v>
      </c>
      <c r="B224" s="92" t="s">
        <v>2872</v>
      </c>
      <c r="C224" s="99"/>
      <c r="D224" s="99"/>
      <c r="E224" s="99"/>
      <c r="F224" s="99">
        <v>1930</v>
      </c>
      <c r="G224" s="108"/>
    </row>
    <row r="225" s="78" customFormat="1" ht="14.25" customHeight="1" spans="1:7">
      <c r="A225" s="92" t="s">
        <v>303</v>
      </c>
      <c r="B225" s="92" t="s">
        <v>2873</v>
      </c>
      <c r="C225" s="99"/>
      <c r="D225" s="99"/>
      <c r="E225" s="99"/>
      <c r="F225" s="99">
        <v>1930</v>
      </c>
      <c r="G225" s="108"/>
    </row>
    <row r="226" s="78" customFormat="1" ht="14.25" customHeight="1" spans="1:7">
      <c r="A226" s="92" t="s">
        <v>303</v>
      </c>
      <c r="B226" s="92" t="s">
        <v>2874</v>
      </c>
      <c r="C226" s="99"/>
      <c r="D226" s="99"/>
      <c r="E226" s="99"/>
      <c r="F226" s="99">
        <v>1700</v>
      </c>
      <c r="G226" s="108"/>
    </row>
    <row r="227" s="78" customFormat="1" ht="14.25" customHeight="1" spans="1:7">
      <c r="A227" s="92" t="s">
        <v>303</v>
      </c>
      <c r="B227" s="92" t="s">
        <v>3167</v>
      </c>
      <c r="C227" s="99"/>
      <c r="D227" s="99"/>
      <c r="E227" s="99"/>
      <c r="F227" s="99">
        <v>1520</v>
      </c>
      <c r="G227" s="108"/>
    </row>
    <row r="228" s="78" customFormat="1" ht="14.25" customHeight="1" spans="1:7">
      <c r="A228" s="92" t="s">
        <v>303</v>
      </c>
      <c r="B228" s="92" t="s">
        <v>3168</v>
      </c>
      <c r="C228" s="99"/>
      <c r="D228" s="99"/>
      <c r="E228" s="99"/>
      <c r="F228" s="99">
        <v>1520</v>
      </c>
      <c r="G228" s="108"/>
    </row>
    <row r="229" s="78" customFormat="1" ht="14.25" customHeight="1" spans="1:7">
      <c r="A229" s="92" t="s">
        <v>303</v>
      </c>
      <c r="B229" s="92" t="s">
        <v>3169</v>
      </c>
      <c r="C229" s="99"/>
      <c r="D229" s="99"/>
      <c r="E229" s="99"/>
      <c r="F229" s="99">
        <v>1520</v>
      </c>
      <c r="G229" s="108"/>
    </row>
    <row r="230" s="78" customFormat="1" ht="14.25" customHeight="1" spans="1:7">
      <c r="A230" s="92" t="s">
        <v>303</v>
      </c>
      <c r="B230" s="92" t="s">
        <v>2878</v>
      </c>
      <c r="C230" s="99"/>
      <c r="D230" s="99"/>
      <c r="E230" s="99"/>
      <c r="F230" s="99">
        <v>1820</v>
      </c>
      <c r="G230" s="108"/>
    </row>
    <row r="231" s="78" customFormat="1" ht="14.25" customHeight="1" spans="1:7">
      <c r="A231" s="92" t="s">
        <v>303</v>
      </c>
      <c r="B231" s="92" t="s">
        <v>2879</v>
      </c>
      <c r="C231" s="99"/>
      <c r="D231" s="99"/>
      <c r="E231" s="99"/>
      <c r="F231" s="99">
        <v>1760</v>
      </c>
      <c r="G231" s="108"/>
    </row>
    <row r="232" s="78" customFormat="1" ht="14.25" customHeight="1" spans="1:7">
      <c r="A232" s="92" t="s">
        <v>303</v>
      </c>
      <c r="B232" s="92" t="s">
        <v>3170</v>
      </c>
      <c r="C232" s="99"/>
      <c r="D232" s="99"/>
      <c r="E232" s="99"/>
      <c r="F232" s="99">
        <v>1840</v>
      </c>
      <c r="G232" s="108"/>
    </row>
    <row r="233" s="78" customFormat="1" ht="14.25" customHeight="1" spans="1:7">
      <c r="A233" s="109" t="s">
        <v>303</v>
      </c>
      <c r="B233" s="101" t="s">
        <v>2881</v>
      </c>
      <c r="C233" s="103"/>
      <c r="D233" s="103"/>
      <c r="E233" s="103"/>
      <c r="F233" s="103">
        <v>1770</v>
      </c>
      <c r="G233" s="110"/>
    </row>
    <row r="234" s="78" customFormat="1" ht="14.25" customHeight="1" spans="1:7">
      <c r="A234" s="97" t="s">
        <v>311</v>
      </c>
      <c r="B234" s="87" t="s">
        <v>2882</v>
      </c>
      <c r="C234" s="99">
        <v>6980</v>
      </c>
      <c r="D234" s="99">
        <v>6970</v>
      </c>
      <c r="E234" s="99">
        <v>8720</v>
      </c>
      <c r="F234" s="99">
        <v>1350</v>
      </c>
      <c r="G234" s="99">
        <v>4280</v>
      </c>
    </row>
    <row r="235" s="78" customFormat="1" ht="14.25" customHeight="1" spans="1:7">
      <c r="A235" s="92" t="s">
        <v>311</v>
      </c>
      <c r="B235" s="92" t="s">
        <v>2883</v>
      </c>
      <c r="C235" s="99">
        <v>7620</v>
      </c>
      <c r="D235" s="99">
        <v>7580</v>
      </c>
      <c r="E235" s="99">
        <v>9360</v>
      </c>
      <c r="F235" s="99">
        <v>1490</v>
      </c>
      <c r="G235" s="99">
        <v>4650</v>
      </c>
    </row>
    <row r="236" s="78" customFormat="1" ht="14.25" customHeight="1" spans="1:7">
      <c r="A236" s="92" t="s">
        <v>311</v>
      </c>
      <c r="B236" s="92" t="s">
        <v>2884</v>
      </c>
      <c r="C236" s="99">
        <v>6650</v>
      </c>
      <c r="D236" s="99">
        <v>6630</v>
      </c>
      <c r="E236" s="99">
        <v>8330</v>
      </c>
      <c r="F236" s="99">
        <v>1250</v>
      </c>
      <c r="G236" s="99">
        <v>4070</v>
      </c>
    </row>
    <row r="237" s="78" customFormat="1" ht="14.25" customHeight="1" spans="1:7">
      <c r="A237" s="92" t="s">
        <v>311</v>
      </c>
      <c r="B237" s="92" t="s">
        <v>2885</v>
      </c>
      <c r="C237" s="99">
        <v>5850</v>
      </c>
      <c r="D237" s="99">
        <v>5820</v>
      </c>
      <c r="E237" s="99">
        <v>7260</v>
      </c>
      <c r="F237" s="99">
        <v>1140</v>
      </c>
      <c r="G237" s="99">
        <v>3570</v>
      </c>
    </row>
    <row r="238" s="78" customFormat="1" ht="14.25" customHeight="1" spans="1:7">
      <c r="A238" s="92" t="s">
        <v>311</v>
      </c>
      <c r="B238" s="92" t="s">
        <v>2886</v>
      </c>
      <c r="C238" s="99">
        <v>6920</v>
      </c>
      <c r="D238" s="99">
        <v>6890</v>
      </c>
      <c r="E238" s="99">
        <v>8640</v>
      </c>
      <c r="F238" s="99">
        <v>1310</v>
      </c>
      <c r="G238" s="99">
        <v>4230</v>
      </c>
    </row>
    <row r="239" s="78" customFormat="1" ht="14.25" customHeight="1" spans="1:7">
      <c r="A239" s="92" t="s">
        <v>311</v>
      </c>
      <c r="B239" s="92" t="s">
        <v>2887</v>
      </c>
      <c r="C239" s="99">
        <v>6780</v>
      </c>
      <c r="D239" s="99">
        <v>6750</v>
      </c>
      <c r="E239" s="99">
        <v>8440</v>
      </c>
      <c r="F239" s="99">
        <v>1160</v>
      </c>
      <c r="G239" s="99">
        <v>4140</v>
      </c>
    </row>
    <row r="240" s="78" customFormat="1" ht="14.25" customHeight="1" spans="1:7">
      <c r="A240" s="92" t="s">
        <v>311</v>
      </c>
      <c r="B240" s="92" t="s">
        <v>2888</v>
      </c>
      <c r="C240" s="99">
        <v>5420</v>
      </c>
      <c r="D240" s="99">
        <v>5380</v>
      </c>
      <c r="E240" s="99">
        <v>6640</v>
      </c>
      <c r="F240" s="99">
        <v>1020</v>
      </c>
      <c r="G240" s="99">
        <v>3300</v>
      </c>
    </row>
    <row r="241" s="78" customFormat="1" ht="14.25" customHeight="1" spans="1:7">
      <c r="A241" s="92" t="s">
        <v>311</v>
      </c>
      <c r="B241" s="92" t="s">
        <v>2889</v>
      </c>
      <c r="C241" s="99">
        <v>6660</v>
      </c>
      <c r="D241" s="99">
        <v>6640</v>
      </c>
      <c r="E241" s="99">
        <v>8340</v>
      </c>
      <c r="F241" s="99">
        <v>1130</v>
      </c>
      <c r="G241" s="99">
        <v>4080</v>
      </c>
    </row>
    <row r="242" s="78" customFormat="1" ht="14.25" customHeight="1" spans="1:7">
      <c r="A242" s="92" t="s">
        <v>311</v>
      </c>
      <c r="B242" s="92" t="s">
        <v>2890</v>
      </c>
      <c r="C242" s="99">
        <v>6580</v>
      </c>
      <c r="D242" s="99">
        <v>6550</v>
      </c>
      <c r="E242" s="99">
        <v>8090</v>
      </c>
      <c r="F242" s="99">
        <v>1240</v>
      </c>
      <c r="G242" s="99">
        <v>4020</v>
      </c>
    </row>
    <row r="243" s="78" customFormat="1" ht="14.25" customHeight="1" spans="1:7">
      <c r="A243" s="92" t="s">
        <v>311</v>
      </c>
      <c r="B243" s="92" t="s">
        <v>2891</v>
      </c>
      <c r="C243" s="99">
        <v>6000</v>
      </c>
      <c r="D243" s="99">
        <v>5970</v>
      </c>
      <c r="E243" s="99">
        <v>7370</v>
      </c>
      <c r="F243" s="99">
        <v>1070</v>
      </c>
      <c r="G243" s="99">
        <v>3670</v>
      </c>
    </row>
    <row r="244" s="78" customFormat="1" ht="14.25" customHeight="1" spans="1:7">
      <c r="A244" s="92" t="s">
        <v>311</v>
      </c>
      <c r="B244" s="92" t="s">
        <v>2892</v>
      </c>
      <c r="C244" s="99">
        <v>5840</v>
      </c>
      <c r="D244" s="99">
        <v>5810</v>
      </c>
      <c r="E244" s="99">
        <v>7240</v>
      </c>
      <c r="F244" s="99">
        <v>1100</v>
      </c>
      <c r="G244" s="99">
        <v>3560</v>
      </c>
    </row>
    <row r="245" s="78" customFormat="1" ht="14.25" customHeight="1" spans="1:7">
      <c r="A245" s="92" t="s">
        <v>311</v>
      </c>
      <c r="B245" s="92" t="s">
        <v>2893</v>
      </c>
      <c r="C245" s="99">
        <v>6040</v>
      </c>
      <c r="D245" s="99">
        <v>6000</v>
      </c>
      <c r="E245" s="99">
        <v>7420</v>
      </c>
      <c r="F245" s="99">
        <v>1140</v>
      </c>
      <c r="G245" s="99">
        <v>3690</v>
      </c>
    </row>
    <row r="246" s="78" customFormat="1" ht="14.25" customHeight="1" spans="1:7">
      <c r="A246" s="92" t="s">
        <v>311</v>
      </c>
      <c r="B246" s="92" t="s">
        <v>2894</v>
      </c>
      <c r="C246" s="99">
        <v>5890</v>
      </c>
      <c r="D246" s="99">
        <v>5860</v>
      </c>
      <c r="E246" s="99">
        <v>7300</v>
      </c>
      <c r="F246" s="99">
        <v>1110</v>
      </c>
      <c r="G246" s="99">
        <v>3590</v>
      </c>
    </row>
    <row r="247" s="78" customFormat="1" ht="14.25" customHeight="1" spans="1:7">
      <c r="A247" s="92" t="s">
        <v>311</v>
      </c>
      <c r="B247" s="92" t="s">
        <v>2895</v>
      </c>
      <c r="C247" s="99">
        <v>6480</v>
      </c>
      <c r="D247" s="99">
        <v>6450</v>
      </c>
      <c r="E247" s="99">
        <v>8010</v>
      </c>
      <c r="F247" s="99">
        <v>1170</v>
      </c>
      <c r="G247" s="99">
        <v>3960</v>
      </c>
    </row>
    <row r="248" s="78" customFormat="1" ht="14.25" customHeight="1" spans="1:7">
      <c r="A248" s="92" t="s">
        <v>311</v>
      </c>
      <c r="B248" s="92" t="s">
        <v>2896</v>
      </c>
      <c r="C248" s="99">
        <v>6860</v>
      </c>
      <c r="D248" s="99">
        <v>6840</v>
      </c>
      <c r="E248" s="99">
        <v>8520</v>
      </c>
      <c r="F248" s="99">
        <v>1240</v>
      </c>
      <c r="G248" s="99">
        <v>4200</v>
      </c>
    </row>
    <row r="249" s="78" customFormat="1" ht="14.25" customHeight="1" spans="1:7">
      <c r="A249" s="92" t="s">
        <v>311</v>
      </c>
      <c r="B249" s="92" t="s">
        <v>2897</v>
      </c>
      <c r="C249" s="99">
        <v>7180</v>
      </c>
      <c r="D249" s="99">
        <v>7140</v>
      </c>
      <c r="E249" s="99">
        <v>8900</v>
      </c>
      <c r="F249" s="99">
        <v>1350</v>
      </c>
      <c r="G249" s="99">
        <v>4380</v>
      </c>
    </row>
    <row r="250" s="78" customFormat="1" ht="14.25" customHeight="1" spans="1:7">
      <c r="A250" s="92" t="s">
        <v>311</v>
      </c>
      <c r="B250" s="92" t="s">
        <v>2898</v>
      </c>
      <c r="C250" s="99">
        <v>6880</v>
      </c>
      <c r="D250" s="99">
        <v>6860</v>
      </c>
      <c r="E250" s="99">
        <v>8550</v>
      </c>
      <c r="F250" s="99">
        <v>1220</v>
      </c>
      <c r="G250" s="99">
        <v>4210</v>
      </c>
    </row>
    <row r="251" s="78" customFormat="1" ht="14.25" customHeight="1" spans="1:7">
      <c r="A251" s="92" t="s">
        <v>311</v>
      </c>
      <c r="B251" s="92" t="s">
        <v>2899</v>
      </c>
      <c r="C251" s="99"/>
      <c r="D251" s="99"/>
      <c r="E251" s="99"/>
      <c r="F251" s="99">
        <v>1100</v>
      </c>
      <c r="G251" s="99"/>
    </row>
    <row r="252" s="78" customFormat="1" ht="14.25" customHeight="1" spans="1:7">
      <c r="A252" s="92" t="s">
        <v>311</v>
      </c>
      <c r="B252" s="92" t="s">
        <v>2900</v>
      </c>
      <c r="C252" s="99">
        <v>7240</v>
      </c>
      <c r="D252" s="99">
        <v>7200</v>
      </c>
      <c r="E252" s="99">
        <v>9040</v>
      </c>
      <c r="F252" s="99">
        <v>1380</v>
      </c>
      <c r="G252" s="99">
        <v>4420</v>
      </c>
    </row>
    <row r="253" s="78" customFormat="1" ht="14.25" customHeight="1" spans="1:7">
      <c r="A253" s="92" t="s">
        <v>311</v>
      </c>
      <c r="B253" s="92" t="s">
        <v>2901</v>
      </c>
      <c r="C253" s="99">
        <v>6670</v>
      </c>
      <c r="D253" s="99">
        <v>6650</v>
      </c>
      <c r="E253" s="99">
        <v>8350</v>
      </c>
      <c r="F253" s="99">
        <v>1260</v>
      </c>
      <c r="G253" s="99">
        <v>4080</v>
      </c>
    </row>
    <row r="254" s="78" customFormat="1" ht="14.25" customHeight="1" spans="1:7">
      <c r="A254" s="92" t="s">
        <v>311</v>
      </c>
      <c r="B254" s="92" t="s">
        <v>2902</v>
      </c>
      <c r="C254" s="99">
        <v>7630</v>
      </c>
      <c r="D254" s="99">
        <v>7590</v>
      </c>
      <c r="E254" s="99">
        <v>9380</v>
      </c>
      <c r="F254" s="99">
        <v>1320</v>
      </c>
      <c r="G254" s="99">
        <v>4660</v>
      </c>
    </row>
    <row r="255" s="78" customFormat="1" ht="14.25" customHeight="1" spans="1:7">
      <c r="A255" s="92" t="s">
        <v>311</v>
      </c>
      <c r="B255" s="92" t="s">
        <v>2903</v>
      </c>
      <c r="C255" s="99">
        <v>6940</v>
      </c>
      <c r="D255" s="99">
        <v>6890</v>
      </c>
      <c r="E255" s="99">
        <v>8650</v>
      </c>
      <c r="F255" s="99">
        <v>1210</v>
      </c>
      <c r="G255" s="99">
        <v>4230</v>
      </c>
    </row>
    <row r="256" s="78" customFormat="1" ht="14.25" customHeight="1" spans="1:7">
      <c r="A256" s="92" t="s">
        <v>311</v>
      </c>
      <c r="B256" s="92" t="s">
        <v>2904</v>
      </c>
      <c r="C256" s="99">
        <v>7520</v>
      </c>
      <c r="D256" s="99">
        <v>7490</v>
      </c>
      <c r="E256" s="99">
        <v>9240</v>
      </c>
      <c r="F256" s="99">
        <v>1270</v>
      </c>
      <c r="G256" s="99">
        <v>4590</v>
      </c>
    </row>
    <row r="257" s="78" customFormat="1" ht="14.25" customHeight="1" spans="1:7">
      <c r="A257" s="92" t="s">
        <v>311</v>
      </c>
      <c r="B257" s="92" t="s">
        <v>2905</v>
      </c>
      <c r="C257" s="99">
        <v>6280</v>
      </c>
      <c r="D257" s="99">
        <v>6230</v>
      </c>
      <c r="E257" s="99">
        <v>7740</v>
      </c>
      <c r="F257" s="99">
        <v>1080</v>
      </c>
      <c r="G257" s="99">
        <v>3830</v>
      </c>
    </row>
    <row r="258" s="78" customFormat="1" ht="14.25" customHeight="1" spans="1:7">
      <c r="A258" s="92" t="s">
        <v>311</v>
      </c>
      <c r="B258" s="92" t="s">
        <v>2906</v>
      </c>
      <c r="C258" s="99">
        <v>6190</v>
      </c>
      <c r="D258" s="99">
        <v>6160</v>
      </c>
      <c r="E258" s="99">
        <v>7680</v>
      </c>
      <c r="F258" s="99">
        <v>1170</v>
      </c>
      <c r="G258" s="99">
        <v>3780</v>
      </c>
    </row>
    <row r="259" s="78" customFormat="1" ht="14.25" customHeight="1" spans="1:7">
      <c r="A259" s="92" t="s">
        <v>311</v>
      </c>
      <c r="B259" s="92" t="s">
        <v>2907</v>
      </c>
      <c r="C259" s="99">
        <v>7610</v>
      </c>
      <c r="D259" s="99">
        <v>7570</v>
      </c>
      <c r="E259" s="99">
        <v>9350</v>
      </c>
      <c r="F259" s="99">
        <v>1350</v>
      </c>
      <c r="G259" s="99">
        <v>4650</v>
      </c>
    </row>
    <row r="260" s="78" customFormat="1" ht="14.25" customHeight="1" spans="1:7">
      <c r="A260" s="92" t="s">
        <v>311</v>
      </c>
      <c r="B260" s="92" t="s">
        <v>2908</v>
      </c>
      <c r="C260" s="99">
        <v>6920</v>
      </c>
      <c r="D260" s="99">
        <v>6880</v>
      </c>
      <c r="E260" s="99">
        <v>8380</v>
      </c>
      <c r="F260" s="99">
        <v>1160</v>
      </c>
      <c r="G260" s="99">
        <v>4220</v>
      </c>
    </row>
    <row r="261" s="78" customFormat="1" ht="14.25" customHeight="1" spans="1:7">
      <c r="A261" s="92" t="s">
        <v>311</v>
      </c>
      <c r="B261" s="92" t="s">
        <v>2909</v>
      </c>
      <c r="C261" s="99">
        <v>6850</v>
      </c>
      <c r="D261" s="99">
        <v>6810</v>
      </c>
      <c r="E261" s="99">
        <v>8290</v>
      </c>
      <c r="F261" s="99">
        <v>1130</v>
      </c>
      <c r="G261" s="99">
        <v>4180</v>
      </c>
    </row>
    <row r="262" s="78" customFormat="1" ht="14.25" customHeight="1" spans="1:7">
      <c r="A262" s="92" t="s">
        <v>311</v>
      </c>
      <c r="B262" s="92" t="s">
        <v>2910</v>
      </c>
      <c r="C262" s="99">
        <v>5860</v>
      </c>
      <c r="D262" s="99">
        <v>5820</v>
      </c>
      <c r="E262" s="99">
        <v>7640</v>
      </c>
      <c r="F262" s="99">
        <v>1070</v>
      </c>
      <c r="G262" s="99">
        <v>3570</v>
      </c>
    </row>
    <row r="263" s="78" customFormat="1" ht="14.25" customHeight="1" spans="1:7">
      <c r="A263" s="92" t="s">
        <v>311</v>
      </c>
      <c r="B263" s="92" t="s">
        <v>2911</v>
      </c>
      <c r="C263" s="99">
        <v>5870</v>
      </c>
      <c r="D263" s="99">
        <v>5840</v>
      </c>
      <c r="E263" s="99">
        <v>7270</v>
      </c>
      <c r="F263" s="99">
        <v>1190</v>
      </c>
      <c r="G263" s="99">
        <v>3580</v>
      </c>
    </row>
    <row r="264" s="78" customFormat="1" ht="14.25" customHeight="1" spans="1:7">
      <c r="A264" s="92" t="s">
        <v>311</v>
      </c>
      <c r="B264" s="92" t="s">
        <v>2912</v>
      </c>
      <c r="C264" s="99">
        <v>6190</v>
      </c>
      <c r="D264" s="99">
        <v>6150</v>
      </c>
      <c r="E264" s="99">
        <v>7660</v>
      </c>
      <c r="F264" s="99">
        <v>1160</v>
      </c>
      <c r="G264" s="99">
        <v>3770</v>
      </c>
    </row>
    <row r="265" s="78" customFormat="1" ht="14.25" customHeight="1" spans="1:7">
      <c r="A265" s="92" t="s">
        <v>311</v>
      </c>
      <c r="B265" s="92" t="s">
        <v>2913</v>
      </c>
      <c r="C265" s="99"/>
      <c r="D265" s="99"/>
      <c r="E265" s="99"/>
      <c r="F265" s="99">
        <v>1500</v>
      </c>
      <c r="G265" s="99"/>
    </row>
    <row r="266" s="78" customFormat="1" ht="14.25" customHeight="1" spans="1:7">
      <c r="A266" s="92" t="s">
        <v>311</v>
      </c>
      <c r="B266" s="92" t="s">
        <v>2914</v>
      </c>
      <c r="C266" s="99"/>
      <c r="D266" s="99"/>
      <c r="E266" s="99"/>
      <c r="F266" s="99">
        <v>1500</v>
      </c>
      <c r="G266" s="99"/>
    </row>
    <row r="267" s="78" customFormat="1" ht="14.25" customHeight="1" spans="1:7">
      <c r="A267" s="92" t="s">
        <v>311</v>
      </c>
      <c r="B267" s="92" t="s">
        <v>2915</v>
      </c>
      <c r="C267" s="99"/>
      <c r="D267" s="99"/>
      <c r="E267" s="99"/>
      <c r="F267" s="99">
        <v>1500</v>
      </c>
      <c r="G267" s="99"/>
    </row>
    <row r="268" s="78" customFormat="1" ht="14.25" customHeight="1" spans="1:7">
      <c r="A268" s="92" t="s">
        <v>311</v>
      </c>
      <c r="B268" s="92" t="s">
        <v>2916</v>
      </c>
      <c r="C268" s="99"/>
      <c r="D268" s="99"/>
      <c r="E268" s="99"/>
      <c r="F268" s="99">
        <v>1290</v>
      </c>
      <c r="G268" s="99"/>
    </row>
    <row r="269" s="78" customFormat="1" ht="14.25" customHeight="1" spans="1:7">
      <c r="A269" s="92" t="s">
        <v>311</v>
      </c>
      <c r="B269" s="92" t="s">
        <v>2917</v>
      </c>
      <c r="C269" s="99"/>
      <c r="D269" s="99"/>
      <c r="E269" s="99"/>
      <c r="F269" s="99">
        <v>1150</v>
      </c>
      <c r="G269" s="99"/>
    </row>
    <row r="270" s="78" customFormat="1" ht="14.25" customHeight="1" spans="1:7">
      <c r="A270" s="92" t="s">
        <v>311</v>
      </c>
      <c r="B270" s="92" t="s">
        <v>2918</v>
      </c>
      <c r="C270" s="99"/>
      <c r="D270" s="99"/>
      <c r="E270" s="99"/>
      <c r="F270" s="99">
        <v>1380</v>
      </c>
      <c r="G270" s="99"/>
    </row>
    <row r="271" s="78" customFormat="1" ht="14.25" customHeight="1" spans="1:7">
      <c r="A271" s="92" t="s">
        <v>311</v>
      </c>
      <c r="B271" s="92" t="s">
        <v>2919</v>
      </c>
      <c r="C271" s="99"/>
      <c r="D271" s="99"/>
      <c r="E271" s="99"/>
      <c r="F271" s="99">
        <v>1460</v>
      </c>
      <c r="G271" s="99"/>
    </row>
    <row r="272" s="78" customFormat="1" ht="14.25" customHeight="1" spans="1:7">
      <c r="A272" s="92" t="s">
        <v>311</v>
      </c>
      <c r="B272" s="92" t="s">
        <v>2920</v>
      </c>
      <c r="C272" s="99"/>
      <c r="D272" s="99"/>
      <c r="E272" s="99"/>
      <c r="F272" s="99">
        <v>1460</v>
      </c>
      <c r="G272" s="99"/>
    </row>
    <row r="273" s="78" customFormat="1" ht="14.25" customHeight="1" spans="1:7">
      <c r="A273" s="92" t="s">
        <v>311</v>
      </c>
      <c r="B273" s="92" t="s">
        <v>2921</v>
      </c>
      <c r="C273" s="99"/>
      <c r="D273" s="99"/>
      <c r="E273" s="99"/>
      <c r="F273" s="99">
        <v>1490</v>
      </c>
      <c r="G273" s="99"/>
    </row>
    <row r="274" s="78" customFormat="1" ht="14.25" customHeight="1" spans="1:7">
      <c r="A274" s="92" t="s">
        <v>311</v>
      </c>
      <c r="B274" s="92" t="s">
        <v>2922</v>
      </c>
      <c r="C274" s="99"/>
      <c r="D274" s="99"/>
      <c r="E274" s="99"/>
      <c r="F274" s="99">
        <v>1490</v>
      </c>
      <c r="G274" s="99"/>
    </row>
    <row r="275" s="78" customFormat="1" ht="14.25" customHeight="1" spans="1:7">
      <c r="A275" s="92" t="s">
        <v>311</v>
      </c>
      <c r="B275" s="92" t="s">
        <v>2923</v>
      </c>
      <c r="C275" s="99"/>
      <c r="D275" s="99"/>
      <c r="E275" s="99"/>
      <c r="F275" s="99">
        <v>1220</v>
      </c>
      <c r="G275" s="99"/>
    </row>
    <row r="276" s="78" customFormat="1" ht="14.25" customHeight="1" spans="1:7">
      <c r="A276" s="102" t="s">
        <v>311</v>
      </c>
      <c r="B276" s="105" t="s">
        <v>2924</v>
      </c>
      <c r="C276" s="106"/>
      <c r="D276" s="106"/>
      <c r="E276" s="106"/>
      <c r="F276" s="106">
        <v>1380</v>
      </c>
      <c r="G276" s="106"/>
    </row>
    <row r="277" s="78" customFormat="1" ht="14.25" customHeight="1" spans="1:7">
      <c r="A277" s="97" t="s">
        <v>318</v>
      </c>
      <c r="B277" s="87" t="s">
        <v>2925</v>
      </c>
      <c r="C277" s="98">
        <v>5790</v>
      </c>
      <c r="D277" s="98">
        <v>5740</v>
      </c>
      <c r="E277" s="98">
        <v>6730</v>
      </c>
      <c r="F277" s="98">
        <v>1110</v>
      </c>
      <c r="G277" s="107">
        <v>3460</v>
      </c>
    </row>
    <row r="278" s="78" customFormat="1" ht="14.25" customHeight="1" spans="1:7">
      <c r="A278" s="92" t="s">
        <v>318</v>
      </c>
      <c r="B278" s="92" t="s">
        <v>2926</v>
      </c>
      <c r="C278" s="99">
        <v>5740</v>
      </c>
      <c r="D278" s="99">
        <v>5670</v>
      </c>
      <c r="E278" s="99">
        <v>6680</v>
      </c>
      <c r="F278" s="99">
        <v>1070</v>
      </c>
      <c r="G278" s="108">
        <v>3420</v>
      </c>
    </row>
    <row r="279" s="78" customFormat="1" ht="14.25" customHeight="1" spans="1:7">
      <c r="A279" s="92" t="s">
        <v>318</v>
      </c>
      <c r="B279" s="92" t="s">
        <v>2927</v>
      </c>
      <c r="C279" s="99">
        <v>4760</v>
      </c>
      <c r="D279" s="99">
        <v>4720</v>
      </c>
      <c r="E279" s="99">
        <v>5540</v>
      </c>
      <c r="F279" s="99">
        <v>810</v>
      </c>
      <c r="G279" s="108">
        <v>2850</v>
      </c>
    </row>
    <row r="280" s="78" customFormat="1" ht="14.25" customHeight="1" spans="1:7">
      <c r="A280" s="92" t="s">
        <v>318</v>
      </c>
      <c r="B280" s="92" t="s">
        <v>2928</v>
      </c>
      <c r="C280" s="99">
        <v>4010</v>
      </c>
      <c r="D280" s="99">
        <v>3950</v>
      </c>
      <c r="E280" s="99">
        <v>4710</v>
      </c>
      <c r="F280" s="99">
        <v>800</v>
      </c>
      <c r="G280" s="108">
        <v>2390</v>
      </c>
    </row>
    <row r="281" s="78" customFormat="1" ht="14.25" customHeight="1" spans="1:7">
      <c r="A281" s="92" t="s">
        <v>318</v>
      </c>
      <c r="B281" s="92" t="s">
        <v>2929</v>
      </c>
      <c r="C281" s="99">
        <v>4480</v>
      </c>
      <c r="D281" s="99">
        <v>4420</v>
      </c>
      <c r="E281" s="99">
        <v>5230</v>
      </c>
      <c r="F281" s="99">
        <v>870</v>
      </c>
      <c r="G281" s="108">
        <v>2660</v>
      </c>
    </row>
    <row r="282" s="78" customFormat="1" ht="14.25" customHeight="1" spans="1:7">
      <c r="A282" s="92" t="s">
        <v>318</v>
      </c>
      <c r="B282" s="92" t="s">
        <v>2930</v>
      </c>
      <c r="C282" s="99">
        <v>5360</v>
      </c>
      <c r="D282" s="99">
        <v>5300</v>
      </c>
      <c r="E282" s="99">
        <v>6190</v>
      </c>
      <c r="F282" s="99">
        <v>950</v>
      </c>
      <c r="G282" s="108">
        <v>3190</v>
      </c>
    </row>
    <row r="283" s="78" customFormat="1" ht="14.25" customHeight="1" spans="1:7">
      <c r="A283" s="92" t="s">
        <v>318</v>
      </c>
      <c r="B283" s="92" t="s">
        <v>2931</v>
      </c>
      <c r="C283" s="99">
        <v>4950</v>
      </c>
      <c r="D283" s="99">
        <v>4900</v>
      </c>
      <c r="E283" s="99">
        <v>5720</v>
      </c>
      <c r="F283" s="99">
        <v>920</v>
      </c>
      <c r="G283" s="108">
        <v>2950</v>
      </c>
    </row>
    <row r="284" s="78" customFormat="1" ht="14.25" customHeight="1" spans="1:7">
      <c r="A284" s="92" t="s">
        <v>318</v>
      </c>
      <c r="B284" s="92" t="s">
        <v>2932</v>
      </c>
      <c r="C284" s="99">
        <v>5610</v>
      </c>
      <c r="D284" s="99">
        <v>5560</v>
      </c>
      <c r="E284" s="99">
        <v>6520</v>
      </c>
      <c r="F284" s="99">
        <v>1030</v>
      </c>
      <c r="G284" s="108">
        <v>3360</v>
      </c>
    </row>
    <row r="285" s="78" customFormat="1" ht="14.25" customHeight="1" spans="1:7">
      <c r="A285" s="92" t="s">
        <v>318</v>
      </c>
      <c r="B285" s="92" t="s">
        <v>2933</v>
      </c>
      <c r="C285" s="99">
        <v>5340</v>
      </c>
      <c r="D285" s="99">
        <v>5290</v>
      </c>
      <c r="E285" s="99">
        <v>6170</v>
      </c>
      <c r="F285" s="99">
        <v>1080</v>
      </c>
      <c r="G285" s="108">
        <v>3180</v>
      </c>
    </row>
    <row r="286" s="78" customFormat="1" ht="14.25" customHeight="1" spans="1:7">
      <c r="A286" s="92" t="s">
        <v>318</v>
      </c>
      <c r="B286" s="92" t="s">
        <v>2934</v>
      </c>
      <c r="C286" s="99">
        <v>4890</v>
      </c>
      <c r="D286" s="99">
        <v>4840</v>
      </c>
      <c r="E286" s="99">
        <v>5640</v>
      </c>
      <c r="F286" s="99">
        <v>960</v>
      </c>
      <c r="G286" s="108">
        <v>2910</v>
      </c>
    </row>
    <row r="287" s="78" customFormat="1" ht="14.25" customHeight="1" spans="1:7">
      <c r="A287" s="92" t="s">
        <v>318</v>
      </c>
      <c r="B287" s="92" t="s">
        <v>2935</v>
      </c>
      <c r="C287" s="99">
        <v>4960</v>
      </c>
      <c r="D287" s="99">
        <v>4920</v>
      </c>
      <c r="E287" s="99">
        <v>5730</v>
      </c>
      <c r="F287" s="99">
        <v>930</v>
      </c>
      <c r="G287" s="108">
        <v>2960</v>
      </c>
    </row>
    <row r="288" s="78" customFormat="1" ht="14.25" customHeight="1" spans="1:7">
      <c r="A288" s="92" t="s">
        <v>318</v>
      </c>
      <c r="B288" s="92" t="s">
        <v>2936</v>
      </c>
      <c r="C288" s="99">
        <v>4350</v>
      </c>
      <c r="D288" s="99">
        <v>4300</v>
      </c>
      <c r="E288" s="99">
        <v>4900</v>
      </c>
      <c r="F288" s="99">
        <v>820</v>
      </c>
      <c r="G288" s="108">
        <v>2590</v>
      </c>
    </row>
    <row r="289" s="78" customFormat="1" ht="14.25" customHeight="1" spans="1:7">
      <c r="A289" s="92" t="s">
        <v>318</v>
      </c>
      <c r="B289" s="92" t="s">
        <v>2937</v>
      </c>
      <c r="C289" s="99">
        <v>5230</v>
      </c>
      <c r="D289" s="99">
        <v>5170</v>
      </c>
      <c r="E289" s="99">
        <v>6060</v>
      </c>
      <c r="F289" s="99">
        <v>900</v>
      </c>
      <c r="G289" s="108">
        <v>3120</v>
      </c>
    </row>
    <row r="290" s="78" customFormat="1" ht="14.25" customHeight="1" spans="1:7">
      <c r="A290" s="92" t="s">
        <v>318</v>
      </c>
      <c r="B290" s="92" t="s">
        <v>2938</v>
      </c>
      <c r="C290" s="99">
        <v>5550</v>
      </c>
      <c r="D290" s="99">
        <v>5500</v>
      </c>
      <c r="E290" s="99">
        <v>6440</v>
      </c>
      <c r="F290" s="99">
        <v>960</v>
      </c>
      <c r="G290" s="108">
        <v>3320</v>
      </c>
    </row>
    <row r="291" s="78" customFormat="1" ht="14.25" customHeight="1" spans="1:7">
      <c r="A291" s="92" t="s">
        <v>318</v>
      </c>
      <c r="B291" s="92" t="s">
        <v>2939</v>
      </c>
      <c r="C291" s="99">
        <v>5440</v>
      </c>
      <c r="D291" s="99">
        <v>5400</v>
      </c>
      <c r="E291" s="99">
        <v>6320</v>
      </c>
      <c r="F291" s="99">
        <v>930</v>
      </c>
      <c r="G291" s="108">
        <v>3250</v>
      </c>
    </row>
    <row r="292" s="78" customFormat="1" ht="14.25" customHeight="1" spans="1:7">
      <c r="A292" s="92" t="s">
        <v>318</v>
      </c>
      <c r="B292" s="92" t="s">
        <v>2940</v>
      </c>
      <c r="C292" s="99">
        <v>5400</v>
      </c>
      <c r="D292" s="99">
        <v>5360</v>
      </c>
      <c r="E292" s="99">
        <v>6270</v>
      </c>
      <c r="F292" s="99">
        <v>1040</v>
      </c>
      <c r="G292" s="108">
        <v>3230</v>
      </c>
    </row>
    <row r="293" s="78" customFormat="1" ht="14.25" customHeight="1" spans="1:7">
      <c r="A293" s="92" t="s">
        <v>318</v>
      </c>
      <c r="B293" s="92" t="s">
        <v>2941</v>
      </c>
      <c r="C293" s="99">
        <v>5320</v>
      </c>
      <c r="D293" s="99">
        <v>5270</v>
      </c>
      <c r="E293" s="99">
        <v>6160</v>
      </c>
      <c r="F293" s="99">
        <v>990</v>
      </c>
      <c r="G293" s="108">
        <v>3170</v>
      </c>
    </row>
    <row r="294" s="78" customFormat="1" ht="14.25" customHeight="1" spans="1:7">
      <c r="A294" s="92" t="s">
        <v>318</v>
      </c>
      <c r="B294" s="92" t="s">
        <v>2942</v>
      </c>
      <c r="C294" s="99">
        <v>5260</v>
      </c>
      <c r="D294" s="99">
        <v>5210</v>
      </c>
      <c r="E294" s="99">
        <v>6100</v>
      </c>
      <c r="F294" s="99">
        <v>950</v>
      </c>
      <c r="G294" s="108">
        <v>3150</v>
      </c>
    </row>
    <row r="295" s="78" customFormat="1" ht="14.25" customHeight="1" spans="1:7">
      <c r="A295" s="92" t="s">
        <v>318</v>
      </c>
      <c r="B295" s="92" t="s">
        <v>2943</v>
      </c>
      <c r="C295" s="99">
        <v>5610</v>
      </c>
      <c r="D295" s="99">
        <v>5570</v>
      </c>
      <c r="E295" s="99">
        <v>6530</v>
      </c>
      <c r="F295" s="99">
        <v>960</v>
      </c>
      <c r="G295" s="108">
        <v>3360</v>
      </c>
    </row>
    <row r="296" s="78" customFormat="1" ht="14.25" customHeight="1" spans="1:7">
      <c r="A296" s="92" t="s">
        <v>318</v>
      </c>
      <c r="B296" s="92" t="s">
        <v>2944</v>
      </c>
      <c r="C296" s="99">
        <v>5540</v>
      </c>
      <c r="D296" s="99">
        <v>5490</v>
      </c>
      <c r="E296" s="99">
        <v>6430</v>
      </c>
      <c r="F296" s="99">
        <v>980</v>
      </c>
      <c r="G296" s="108">
        <v>3310</v>
      </c>
    </row>
    <row r="297" s="78" customFormat="1" ht="14.25" customHeight="1" spans="1:7">
      <c r="A297" s="92" t="s">
        <v>318</v>
      </c>
      <c r="B297" s="92" t="s">
        <v>2945</v>
      </c>
      <c r="C297" s="99">
        <v>5480</v>
      </c>
      <c r="D297" s="99">
        <v>5420</v>
      </c>
      <c r="E297" s="99">
        <v>6370</v>
      </c>
      <c r="F297" s="99">
        <v>990</v>
      </c>
      <c r="G297" s="108">
        <v>3270</v>
      </c>
    </row>
    <row r="298" s="78" customFormat="1" ht="14.25" customHeight="1" spans="1:7">
      <c r="A298" s="92" t="s">
        <v>318</v>
      </c>
      <c r="B298" s="92" t="s">
        <v>2946</v>
      </c>
      <c r="C298" s="99">
        <v>5090</v>
      </c>
      <c r="D298" s="99">
        <v>5050</v>
      </c>
      <c r="E298" s="99">
        <v>5910</v>
      </c>
      <c r="F298" s="99">
        <v>900</v>
      </c>
      <c r="G298" s="108">
        <v>3040</v>
      </c>
    </row>
    <row r="299" s="78" customFormat="1" ht="14.25" customHeight="1" spans="1:7">
      <c r="A299" s="92" t="s">
        <v>318</v>
      </c>
      <c r="B299" s="104" t="s">
        <v>2947</v>
      </c>
      <c r="C299" s="99">
        <v>5430</v>
      </c>
      <c r="D299" s="99">
        <v>5380</v>
      </c>
      <c r="E299" s="99">
        <v>6280</v>
      </c>
      <c r="F299" s="99">
        <v>1000</v>
      </c>
      <c r="G299" s="108">
        <v>3240</v>
      </c>
    </row>
    <row r="300" s="78" customFormat="1" ht="14.25" customHeight="1" spans="1:7">
      <c r="A300" s="92" t="s">
        <v>318</v>
      </c>
      <c r="B300" s="104" t="s">
        <v>2948</v>
      </c>
      <c r="C300" s="99">
        <v>4740</v>
      </c>
      <c r="D300" s="99">
        <v>4680</v>
      </c>
      <c r="E300" s="99">
        <v>5450</v>
      </c>
      <c r="F300" s="99">
        <v>900</v>
      </c>
      <c r="G300" s="108">
        <v>2830</v>
      </c>
    </row>
    <row r="301" s="78" customFormat="1" ht="14.25" customHeight="1" spans="1:7">
      <c r="A301" s="92" t="s">
        <v>318</v>
      </c>
      <c r="B301" s="104" t="s">
        <v>2949</v>
      </c>
      <c r="C301" s="99">
        <v>4870</v>
      </c>
      <c r="D301" s="99">
        <v>4810</v>
      </c>
      <c r="E301" s="99">
        <v>5560</v>
      </c>
      <c r="F301" s="99">
        <v>990</v>
      </c>
      <c r="G301" s="108">
        <v>2910</v>
      </c>
    </row>
    <row r="302" s="78" customFormat="1" ht="14.25" customHeight="1" spans="1:7">
      <c r="A302" s="92" t="s">
        <v>318</v>
      </c>
      <c r="B302" s="92" t="s">
        <v>2950</v>
      </c>
      <c r="C302" s="99">
        <v>5520</v>
      </c>
      <c r="D302" s="99">
        <v>5470</v>
      </c>
      <c r="E302" s="99">
        <v>6410</v>
      </c>
      <c r="F302" s="99">
        <v>950</v>
      </c>
      <c r="G302" s="108">
        <v>3300</v>
      </c>
    </row>
    <row r="303" s="78" customFormat="1" ht="14.25" customHeight="1" spans="1:7">
      <c r="A303" s="92" t="s">
        <v>318</v>
      </c>
      <c r="B303" s="92" t="s">
        <v>2951</v>
      </c>
      <c r="C303" s="99">
        <v>5630</v>
      </c>
      <c r="D303" s="99">
        <v>5590</v>
      </c>
      <c r="E303" s="99">
        <v>6550</v>
      </c>
      <c r="F303" s="99">
        <v>1010</v>
      </c>
      <c r="G303" s="108">
        <v>3370</v>
      </c>
    </row>
    <row r="304" s="78" customFormat="1" ht="14.25" customHeight="1" spans="1:7">
      <c r="A304" s="92" t="s">
        <v>318</v>
      </c>
      <c r="B304" s="92" t="s">
        <v>2952</v>
      </c>
      <c r="C304" s="99">
        <v>5680</v>
      </c>
      <c r="D304" s="99">
        <v>5620</v>
      </c>
      <c r="E304" s="99">
        <v>6620</v>
      </c>
      <c r="F304" s="99">
        <v>1050</v>
      </c>
      <c r="G304" s="108">
        <v>3390</v>
      </c>
    </row>
    <row r="305" s="78" customFormat="1" ht="14.25" customHeight="1" spans="1:7">
      <c r="A305" s="92" t="s">
        <v>318</v>
      </c>
      <c r="B305" s="92" t="s">
        <v>2953</v>
      </c>
      <c r="C305" s="99">
        <v>5590</v>
      </c>
      <c r="D305" s="99">
        <v>5530</v>
      </c>
      <c r="E305" s="99">
        <v>6460</v>
      </c>
      <c r="F305" s="99">
        <v>900</v>
      </c>
      <c r="G305" s="108">
        <v>3340</v>
      </c>
    </row>
    <row r="306" s="78" customFormat="1" ht="14.25" customHeight="1" spans="1:7">
      <c r="A306" s="92" t="s">
        <v>318</v>
      </c>
      <c r="B306" s="92" t="s">
        <v>2954</v>
      </c>
      <c r="C306" s="99">
        <v>5560</v>
      </c>
      <c r="D306" s="99">
        <v>5510</v>
      </c>
      <c r="E306" s="99">
        <v>6440</v>
      </c>
      <c r="F306" s="99">
        <v>900</v>
      </c>
      <c r="G306" s="108">
        <v>3320</v>
      </c>
    </row>
    <row r="307" s="78" customFormat="1" ht="14.25" customHeight="1" spans="1:7">
      <c r="A307" s="92" t="s">
        <v>318</v>
      </c>
      <c r="B307" s="92" t="s">
        <v>2955</v>
      </c>
      <c r="C307" s="99">
        <v>5650</v>
      </c>
      <c r="D307" s="99">
        <v>5600</v>
      </c>
      <c r="E307" s="99">
        <v>6590</v>
      </c>
      <c r="F307" s="99">
        <v>930</v>
      </c>
      <c r="G307" s="108">
        <v>3380</v>
      </c>
    </row>
    <row r="308" s="78" customFormat="1" ht="14.25" customHeight="1" spans="1:7">
      <c r="A308" s="92" t="s">
        <v>318</v>
      </c>
      <c r="B308" s="92" t="s">
        <v>2956</v>
      </c>
      <c r="C308" s="99">
        <v>5620</v>
      </c>
      <c r="D308" s="99">
        <v>5580</v>
      </c>
      <c r="E308" s="99">
        <v>6540</v>
      </c>
      <c r="F308" s="99">
        <v>910</v>
      </c>
      <c r="G308" s="108">
        <v>3370</v>
      </c>
    </row>
    <row r="309" s="78" customFormat="1" ht="14.25" customHeight="1" spans="1:7">
      <c r="A309" s="92" t="s">
        <v>318</v>
      </c>
      <c r="B309" s="92" t="s">
        <v>2957</v>
      </c>
      <c r="C309" s="99">
        <v>5060</v>
      </c>
      <c r="D309" s="99">
        <v>5020</v>
      </c>
      <c r="E309" s="99">
        <v>6370</v>
      </c>
      <c r="F309" s="99">
        <v>800</v>
      </c>
      <c r="G309" s="108">
        <v>3020</v>
      </c>
    </row>
    <row r="310" s="78" customFormat="1" ht="14.25" customHeight="1" spans="1:7">
      <c r="A310" s="92" t="s">
        <v>318</v>
      </c>
      <c r="B310" s="92" t="s">
        <v>2958</v>
      </c>
      <c r="C310" s="99">
        <v>5150</v>
      </c>
      <c r="D310" s="99">
        <v>5110</v>
      </c>
      <c r="E310" s="99">
        <v>6500</v>
      </c>
      <c r="F310" s="99">
        <v>880</v>
      </c>
      <c r="G310" s="108">
        <v>3080</v>
      </c>
    </row>
    <row r="311" s="78" customFormat="1" ht="14.25" customHeight="1" spans="1:7">
      <c r="A311" s="92" t="s">
        <v>318</v>
      </c>
      <c r="B311" s="92" t="s">
        <v>2959</v>
      </c>
      <c r="C311" s="99">
        <v>4750</v>
      </c>
      <c r="D311" s="99">
        <v>4710</v>
      </c>
      <c r="E311" s="99">
        <v>5510</v>
      </c>
      <c r="F311" s="99">
        <v>880</v>
      </c>
      <c r="G311" s="108">
        <v>2840</v>
      </c>
    </row>
    <row r="312" s="78" customFormat="1" ht="14.25" customHeight="1" spans="1:7">
      <c r="A312" s="92" t="s">
        <v>318</v>
      </c>
      <c r="B312" s="92" t="s">
        <v>2960</v>
      </c>
      <c r="C312" s="99">
        <v>4690</v>
      </c>
      <c r="D312" s="99">
        <v>4640</v>
      </c>
      <c r="E312" s="99">
        <v>5420</v>
      </c>
      <c r="F312" s="99">
        <v>800</v>
      </c>
      <c r="G312" s="108">
        <v>2800</v>
      </c>
    </row>
    <row r="313" s="78" customFormat="1" ht="14.25" customHeight="1" spans="1:7">
      <c r="A313" s="92" t="s">
        <v>318</v>
      </c>
      <c r="B313" s="92" t="s">
        <v>2961</v>
      </c>
      <c r="C313" s="99">
        <v>4810</v>
      </c>
      <c r="D313" s="99">
        <v>4760</v>
      </c>
      <c r="E313" s="99">
        <v>5550</v>
      </c>
      <c r="F313" s="99">
        <v>920</v>
      </c>
      <c r="G313" s="108">
        <v>2870</v>
      </c>
    </row>
    <row r="314" s="78" customFormat="1" ht="14.25" customHeight="1" spans="1:7">
      <c r="A314" s="92" t="s">
        <v>318</v>
      </c>
      <c r="B314" s="92" t="s">
        <v>2962</v>
      </c>
      <c r="C314" s="99"/>
      <c r="D314" s="99"/>
      <c r="E314" s="99"/>
      <c r="F314" s="99">
        <v>1020</v>
      </c>
      <c r="G314" s="108"/>
    </row>
    <row r="315" s="78" customFormat="1" ht="14.25" customHeight="1" spans="1:7">
      <c r="A315" s="92" t="s">
        <v>318</v>
      </c>
      <c r="B315" s="92" t="s">
        <v>2963</v>
      </c>
      <c r="C315" s="99"/>
      <c r="D315" s="99"/>
      <c r="E315" s="99"/>
      <c r="F315" s="99">
        <v>1050</v>
      </c>
      <c r="G315" s="108"/>
    </row>
    <row r="316" s="78" customFormat="1" ht="14.25" customHeight="1" spans="1:7">
      <c r="A316" s="92" t="s">
        <v>318</v>
      </c>
      <c r="B316" s="92" t="s">
        <v>2964</v>
      </c>
      <c r="C316" s="99"/>
      <c r="D316" s="99"/>
      <c r="E316" s="99"/>
      <c r="F316" s="99">
        <v>900</v>
      </c>
      <c r="G316" s="108"/>
    </row>
    <row r="317" s="78" customFormat="1" ht="14.25" customHeight="1" spans="1:7">
      <c r="A317" s="92" t="s">
        <v>318</v>
      </c>
      <c r="B317" s="92" t="s">
        <v>2965</v>
      </c>
      <c r="C317" s="99"/>
      <c r="D317" s="99"/>
      <c r="E317" s="99"/>
      <c r="F317" s="99">
        <v>920</v>
      </c>
      <c r="G317" s="108"/>
    </row>
    <row r="318" s="78" customFormat="1" ht="14.25" customHeight="1" spans="1:7">
      <c r="A318" s="92" t="s">
        <v>318</v>
      </c>
      <c r="B318" s="92" t="s">
        <v>2966</v>
      </c>
      <c r="C318" s="99"/>
      <c r="D318" s="99"/>
      <c r="E318" s="99"/>
      <c r="F318" s="99">
        <v>1080</v>
      </c>
      <c r="G318" s="108"/>
    </row>
    <row r="319" s="78" customFormat="1" ht="14.25" customHeight="1" spans="1:7">
      <c r="A319" s="92" t="s">
        <v>318</v>
      </c>
      <c r="B319" s="92" t="s">
        <v>2967</v>
      </c>
      <c r="C319" s="99"/>
      <c r="D319" s="99"/>
      <c r="E319" s="99"/>
      <c r="F319" s="99">
        <v>1020</v>
      </c>
      <c r="G319" s="108"/>
    </row>
    <row r="320" s="78" customFormat="1" ht="14.25" customHeight="1" spans="1:7">
      <c r="A320" s="92" t="s">
        <v>318</v>
      </c>
      <c r="B320" s="92" t="s">
        <v>2968</v>
      </c>
      <c r="C320" s="99"/>
      <c r="D320" s="99"/>
      <c r="E320" s="99"/>
      <c r="F320" s="99">
        <v>1050</v>
      </c>
      <c r="G320" s="108"/>
    </row>
    <row r="321" s="78" customFormat="1" ht="14.25" customHeight="1" spans="1:7">
      <c r="A321" s="92" t="s">
        <v>318</v>
      </c>
      <c r="B321" s="92" t="s">
        <v>2969</v>
      </c>
      <c r="C321" s="99"/>
      <c r="D321" s="99"/>
      <c r="E321" s="99"/>
      <c r="F321" s="99">
        <v>960</v>
      </c>
      <c r="G321" s="108"/>
    </row>
    <row r="322" s="78" customFormat="1" ht="14.25" customHeight="1" spans="1:7">
      <c r="A322" s="92" t="s">
        <v>318</v>
      </c>
      <c r="B322" s="92" t="s">
        <v>2970</v>
      </c>
      <c r="C322" s="99"/>
      <c r="D322" s="99"/>
      <c r="E322" s="99"/>
      <c r="F322" s="99">
        <v>960</v>
      </c>
      <c r="G322" s="108"/>
    </row>
    <row r="323" s="78" customFormat="1" ht="14.25" customHeight="1" spans="1:7">
      <c r="A323" s="92" t="s">
        <v>318</v>
      </c>
      <c r="B323" s="92" t="s">
        <v>2971</v>
      </c>
      <c r="C323" s="99"/>
      <c r="D323" s="99"/>
      <c r="E323" s="99"/>
      <c r="F323" s="99">
        <v>880</v>
      </c>
      <c r="G323" s="108"/>
    </row>
    <row r="324" s="78" customFormat="1" ht="14.25" customHeight="1" spans="1:7">
      <c r="A324" s="92" t="s">
        <v>318</v>
      </c>
      <c r="B324" s="92" t="s">
        <v>2972</v>
      </c>
      <c r="C324" s="99"/>
      <c r="D324" s="99"/>
      <c r="E324" s="99"/>
      <c r="F324" s="99">
        <v>930</v>
      </c>
      <c r="G324" s="108"/>
    </row>
    <row r="325" s="78" customFormat="1" ht="14.25" customHeight="1" spans="1:7">
      <c r="A325" s="92" t="s">
        <v>318</v>
      </c>
      <c r="B325" s="93" t="s">
        <v>2973</v>
      </c>
      <c r="C325" s="99"/>
      <c r="D325" s="99"/>
      <c r="E325" s="99"/>
      <c r="F325" s="99">
        <v>900</v>
      </c>
      <c r="G325" s="108"/>
    </row>
    <row r="326" s="78" customFormat="1" ht="14.25" customHeight="1" spans="1:7">
      <c r="A326" s="109" t="s">
        <v>318</v>
      </c>
      <c r="B326" s="101" t="s">
        <v>2974</v>
      </c>
      <c r="C326" s="103"/>
      <c r="D326" s="103"/>
      <c r="E326" s="103"/>
      <c r="F326" s="103">
        <v>790</v>
      </c>
      <c r="G326" s="110"/>
    </row>
    <row r="327" s="78" customFormat="1" ht="14.25" customHeight="1" spans="1:7">
      <c r="A327" s="97" t="s">
        <v>324</v>
      </c>
      <c r="B327" s="87" t="s">
        <v>2975</v>
      </c>
      <c r="C327" s="99">
        <v>3750</v>
      </c>
      <c r="D327" s="99">
        <v>3710</v>
      </c>
      <c r="E327" s="99">
        <v>4080</v>
      </c>
      <c r="F327" s="99">
        <v>860</v>
      </c>
      <c r="G327" s="99">
        <v>2210</v>
      </c>
    </row>
    <row r="328" s="78" customFormat="1" ht="14.25" customHeight="1" spans="1:7">
      <c r="A328" s="92" t="s">
        <v>324</v>
      </c>
      <c r="B328" s="92" t="s">
        <v>2976</v>
      </c>
      <c r="C328" s="99">
        <v>3330</v>
      </c>
      <c r="D328" s="99">
        <v>3290</v>
      </c>
      <c r="E328" s="99">
        <v>3610</v>
      </c>
      <c r="F328" s="99">
        <v>850</v>
      </c>
      <c r="G328" s="99">
        <v>1960</v>
      </c>
    </row>
    <row r="329" s="78" customFormat="1" ht="14.25" customHeight="1" spans="1:7">
      <c r="A329" s="92" t="s">
        <v>324</v>
      </c>
      <c r="B329" s="92" t="s">
        <v>2977</v>
      </c>
      <c r="C329" s="99">
        <v>2730</v>
      </c>
      <c r="D329" s="99">
        <v>2690</v>
      </c>
      <c r="E329" s="99">
        <v>3100</v>
      </c>
      <c r="F329" s="99">
        <v>660</v>
      </c>
      <c r="G329" s="99">
        <v>1610</v>
      </c>
    </row>
    <row r="330" s="78" customFormat="1" ht="14.25" customHeight="1" spans="1:7">
      <c r="A330" s="92" t="s">
        <v>324</v>
      </c>
      <c r="B330" s="92" t="s">
        <v>2978</v>
      </c>
      <c r="C330" s="99">
        <v>3270</v>
      </c>
      <c r="D330" s="99">
        <v>3240</v>
      </c>
      <c r="E330" s="99">
        <v>3560</v>
      </c>
      <c r="F330" s="99">
        <v>680</v>
      </c>
      <c r="G330" s="99">
        <v>1940</v>
      </c>
    </row>
    <row r="331" s="78" customFormat="1" ht="14.25" customHeight="1" spans="1:7">
      <c r="A331" s="92" t="s">
        <v>324</v>
      </c>
      <c r="B331" s="92" t="s">
        <v>2979</v>
      </c>
      <c r="C331" s="99">
        <v>3770</v>
      </c>
      <c r="D331" s="99">
        <v>3740</v>
      </c>
      <c r="E331" s="99">
        <v>4110</v>
      </c>
      <c r="F331" s="99">
        <v>730</v>
      </c>
      <c r="G331" s="99">
        <v>2230</v>
      </c>
    </row>
    <row r="332" s="78" customFormat="1" ht="14.25" customHeight="1" spans="1:7">
      <c r="A332" s="92" t="s">
        <v>324</v>
      </c>
      <c r="B332" s="92" t="s">
        <v>2980</v>
      </c>
      <c r="C332" s="99">
        <v>3520</v>
      </c>
      <c r="D332" s="99">
        <v>3480</v>
      </c>
      <c r="E332" s="99">
        <v>3830</v>
      </c>
      <c r="F332" s="99">
        <v>720</v>
      </c>
      <c r="G332" s="99">
        <v>2090</v>
      </c>
    </row>
    <row r="333" s="78" customFormat="1" ht="14.25" customHeight="1" spans="1:7">
      <c r="A333" s="92" t="s">
        <v>324</v>
      </c>
      <c r="B333" s="92" t="s">
        <v>2981</v>
      </c>
      <c r="C333" s="99">
        <v>3840</v>
      </c>
      <c r="D333" s="99">
        <v>3800</v>
      </c>
      <c r="E333" s="99">
        <v>4200</v>
      </c>
      <c r="F333" s="99">
        <v>760</v>
      </c>
      <c r="G333" s="99">
        <v>2270</v>
      </c>
    </row>
    <row r="334" s="78" customFormat="1" ht="14.25" customHeight="1" spans="1:7">
      <c r="A334" s="92" t="s">
        <v>324</v>
      </c>
      <c r="B334" s="92" t="s">
        <v>2982</v>
      </c>
      <c r="C334" s="99">
        <v>3960</v>
      </c>
      <c r="D334" s="99">
        <v>3910</v>
      </c>
      <c r="E334" s="99">
        <v>4340</v>
      </c>
      <c r="F334" s="99">
        <v>780</v>
      </c>
      <c r="G334" s="99">
        <v>2340</v>
      </c>
    </row>
    <row r="335" s="78" customFormat="1" ht="14.25" customHeight="1" spans="1:7">
      <c r="A335" s="92" t="s">
        <v>324</v>
      </c>
      <c r="B335" s="92" t="s">
        <v>2983</v>
      </c>
      <c r="C335" s="99">
        <v>3710</v>
      </c>
      <c r="D335" s="99">
        <v>3670</v>
      </c>
      <c r="E335" s="99">
        <v>4030</v>
      </c>
      <c r="F335" s="99">
        <v>750</v>
      </c>
      <c r="G335" s="99">
        <v>2200</v>
      </c>
    </row>
    <row r="336" s="78" customFormat="1" ht="14.25" customHeight="1" spans="1:7">
      <c r="A336" s="92" t="s">
        <v>324</v>
      </c>
      <c r="B336" s="92" t="s">
        <v>2984</v>
      </c>
      <c r="C336" s="99">
        <v>3570</v>
      </c>
      <c r="D336" s="99">
        <v>3530</v>
      </c>
      <c r="E336" s="99">
        <v>3880</v>
      </c>
      <c r="F336" s="99">
        <v>770</v>
      </c>
      <c r="G336" s="99">
        <v>2110</v>
      </c>
    </row>
    <row r="337" s="78" customFormat="1" ht="14.25" customHeight="1" spans="1:10">
      <c r="A337" s="92" t="s">
        <v>324</v>
      </c>
      <c r="B337" s="92" t="s">
        <v>2985</v>
      </c>
      <c r="C337" s="99">
        <v>3780</v>
      </c>
      <c r="D337" s="99">
        <v>3750</v>
      </c>
      <c r="E337" s="99">
        <v>4130</v>
      </c>
      <c r="F337" s="99">
        <v>750</v>
      </c>
      <c r="G337" s="99">
        <v>2240</v>
      </c>
    </row>
    <row r="338" s="78" customFormat="1" ht="14.25" customHeight="1" spans="1:10">
      <c r="A338" s="92" t="s">
        <v>324</v>
      </c>
      <c r="B338" s="92" t="s">
        <v>2986</v>
      </c>
      <c r="C338" s="99">
        <v>3600</v>
      </c>
      <c r="D338" s="99">
        <v>3570</v>
      </c>
      <c r="E338" s="99">
        <v>3920</v>
      </c>
      <c r="F338" s="99">
        <v>790</v>
      </c>
      <c r="G338" s="99">
        <v>2140</v>
      </c>
    </row>
    <row r="339" s="78" customFormat="1" ht="14.25" customHeight="1" spans="1:10">
      <c r="A339" s="92" t="s">
        <v>324</v>
      </c>
      <c r="B339" s="92" t="s">
        <v>2987</v>
      </c>
      <c r="C339" s="99">
        <v>3540</v>
      </c>
      <c r="D339" s="99">
        <v>3500</v>
      </c>
      <c r="E339" s="99">
        <v>3850</v>
      </c>
      <c r="F339" s="99">
        <v>780</v>
      </c>
      <c r="G339" s="99">
        <v>2100</v>
      </c>
    </row>
    <row r="340" s="78" customFormat="1" ht="14.25" customHeight="1" spans="1:10">
      <c r="A340" s="92" t="s">
        <v>324</v>
      </c>
      <c r="B340" s="92" t="s">
        <v>2988</v>
      </c>
      <c r="C340" s="99">
        <v>3850</v>
      </c>
      <c r="D340" s="99">
        <v>3810</v>
      </c>
      <c r="E340" s="99">
        <v>4210</v>
      </c>
      <c r="F340" s="99">
        <v>750</v>
      </c>
      <c r="G340" s="99">
        <v>2280</v>
      </c>
    </row>
    <row r="341" s="78" customFormat="1" ht="14.25" customHeight="1" spans="1:10">
      <c r="A341" s="92" t="s">
        <v>324</v>
      </c>
      <c r="B341" s="92" t="s">
        <v>2989</v>
      </c>
      <c r="C341" s="99">
        <v>3780</v>
      </c>
      <c r="D341" s="99">
        <v>3750</v>
      </c>
      <c r="E341" s="99">
        <v>4140</v>
      </c>
      <c r="F341" s="99">
        <v>720</v>
      </c>
      <c r="G341" s="99">
        <v>2240</v>
      </c>
    </row>
    <row r="342" s="78" customFormat="1" ht="14.25" customHeight="1" spans="1:10">
      <c r="A342" s="92" t="s">
        <v>324</v>
      </c>
      <c r="B342" s="92" t="s">
        <v>2990</v>
      </c>
      <c r="C342" s="99">
        <v>3670</v>
      </c>
      <c r="D342" s="99">
        <v>3620</v>
      </c>
      <c r="E342" s="99">
        <v>3990</v>
      </c>
      <c r="F342" s="99">
        <v>760</v>
      </c>
      <c r="G342" s="99">
        <v>2170</v>
      </c>
    </row>
    <row r="343" s="78" customFormat="1" ht="14.25" customHeight="1" spans="1:10">
      <c r="A343" s="92" t="s">
        <v>324</v>
      </c>
      <c r="B343" s="92" t="s">
        <v>2991</v>
      </c>
      <c r="C343" s="99">
        <v>3760</v>
      </c>
      <c r="D343" s="99">
        <v>3720</v>
      </c>
      <c r="E343" s="99">
        <v>4090</v>
      </c>
      <c r="F343" s="99">
        <v>780</v>
      </c>
      <c r="G343" s="99">
        <v>2220</v>
      </c>
    </row>
    <row r="344" s="78" customFormat="1" ht="14.25" customHeight="1" spans="1:10">
      <c r="A344" s="92" t="s">
        <v>324</v>
      </c>
      <c r="B344" s="92" t="s">
        <v>2992</v>
      </c>
      <c r="C344" s="99">
        <v>3680</v>
      </c>
      <c r="D344" s="99">
        <v>3640</v>
      </c>
      <c r="E344" s="99">
        <v>4010</v>
      </c>
      <c r="F344" s="99">
        <v>750</v>
      </c>
      <c r="G344" s="99">
        <v>2180</v>
      </c>
    </row>
    <row r="345" spans="1:10">
      <c r="A345" s="92" t="s">
        <v>324</v>
      </c>
      <c r="B345" s="92" t="s">
        <v>2993</v>
      </c>
      <c r="C345" s="99">
        <v>3190</v>
      </c>
      <c r="D345" s="99">
        <v>3140</v>
      </c>
      <c r="E345" s="99">
        <v>3450</v>
      </c>
      <c r="F345" s="99">
        <v>720</v>
      </c>
      <c r="G345" s="99">
        <v>1880</v>
      </c>
      <c r="J345" s="78"/>
    </row>
    <row r="346" spans="1:10">
      <c r="A346" s="92" t="s">
        <v>324</v>
      </c>
      <c r="B346" s="92" t="s">
        <v>2994</v>
      </c>
      <c r="C346" s="99">
        <v>3630</v>
      </c>
      <c r="D346" s="99">
        <v>3590</v>
      </c>
      <c r="E346" s="99">
        <v>3940</v>
      </c>
      <c r="F346" s="99">
        <v>730</v>
      </c>
      <c r="G346" s="99">
        <v>2150</v>
      </c>
      <c r="J346" s="78"/>
    </row>
    <row r="347" spans="1:10">
      <c r="A347" s="92" t="s">
        <v>324</v>
      </c>
      <c r="B347" s="92" t="s">
        <v>2995</v>
      </c>
      <c r="C347" s="99">
        <v>3860</v>
      </c>
      <c r="D347" s="99">
        <v>3820</v>
      </c>
      <c r="E347" s="99">
        <v>4220</v>
      </c>
      <c r="F347" s="99">
        <v>750</v>
      </c>
      <c r="G347" s="99">
        <v>2280</v>
      </c>
      <c r="J347" s="78"/>
    </row>
    <row r="348" spans="1:10">
      <c r="A348" s="92" t="s">
        <v>324</v>
      </c>
      <c r="B348" s="92" t="s">
        <v>2996</v>
      </c>
      <c r="C348" s="99">
        <v>4000</v>
      </c>
      <c r="D348" s="99">
        <v>3950</v>
      </c>
      <c r="E348" s="99">
        <v>4430</v>
      </c>
      <c r="F348" s="99">
        <v>760</v>
      </c>
      <c r="G348" s="99">
        <v>2360</v>
      </c>
      <c r="J348" s="78"/>
    </row>
    <row r="349" spans="1:10">
      <c r="A349" s="92" t="s">
        <v>324</v>
      </c>
      <c r="B349" s="92" t="s">
        <v>2997</v>
      </c>
      <c r="C349" s="99">
        <v>3820</v>
      </c>
      <c r="D349" s="99">
        <v>3780</v>
      </c>
      <c r="E349" s="99">
        <v>4170</v>
      </c>
      <c r="F349" s="99">
        <v>710</v>
      </c>
      <c r="G349" s="99">
        <v>2260</v>
      </c>
      <c r="J349" s="78"/>
    </row>
    <row r="350" spans="1:10">
      <c r="A350" s="92" t="s">
        <v>324</v>
      </c>
      <c r="B350" s="92" t="s">
        <v>2998</v>
      </c>
      <c r="C350" s="99">
        <v>3760</v>
      </c>
      <c r="D350" s="99">
        <v>3730</v>
      </c>
      <c r="E350" s="99">
        <v>4100</v>
      </c>
      <c r="F350" s="99">
        <v>800</v>
      </c>
      <c r="G350" s="99">
        <v>2230</v>
      </c>
      <c r="J350" s="78"/>
    </row>
    <row r="351" spans="1:10">
      <c r="A351" s="92" t="s">
        <v>324</v>
      </c>
      <c r="B351" s="92" t="s">
        <v>2999</v>
      </c>
      <c r="C351" s="99">
        <v>3610</v>
      </c>
      <c r="D351" s="99">
        <v>3580</v>
      </c>
      <c r="E351" s="99">
        <v>3930</v>
      </c>
      <c r="F351" s="99">
        <v>700</v>
      </c>
      <c r="G351" s="99">
        <v>2140</v>
      </c>
      <c r="J351" s="78"/>
    </row>
    <row r="352" spans="1:10">
      <c r="A352" s="92" t="s">
        <v>324</v>
      </c>
      <c r="B352" s="92" t="s">
        <v>3000</v>
      </c>
      <c r="C352" s="99">
        <v>3670</v>
      </c>
      <c r="D352" s="99">
        <v>3630</v>
      </c>
      <c r="E352" s="99">
        <v>4000</v>
      </c>
      <c r="F352" s="99">
        <v>750</v>
      </c>
      <c r="G352" s="99">
        <v>2180</v>
      </c>
    </row>
    <row r="353" s="79" customFormat="1" spans="1:7">
      <c r="A353" s="92" t="s">
        <v>324</v>
      </c>
      <c r="B353" s="92" t="s">
        <v>3001</v>
      </c>
      <c r="C353" s="99">
        <v>3190</v>
      </c>
      <c r="D353" s="99">
        <v>3150</v>
      </c>
      <c r="E353" s="99">
        <v>3640</v>
      </c>
      <c r="F353" s="99">
        <v>630</v>
      </c>
      <c r="G353" s="99">
        <v>1890</v>
      </c>
    </row>
    <row r="354" s="79" customFormat="1" spans="1:7">
      <c r="A354" s="92" t="s">
        <v>324</v>
      </c>
      <c r="B354" s="92" t="s">
        <v>3002</v>
      </c>
      <c r="C354" s="99">
        <v>3450</v>
      </c>
      <c r="D354" s="99">
        <v>3420</v>
      </c>
      <c r="E354" s="99">
        <v>3960</v>
      </c>
      <c r="F354" s="99">
        <v>660</v>
      </c>
      <c r="G354" s="99">
        <v>2050</v>
      </c>
    </row>
    <row r="355" s="79" customFormat="1" spans="1:7">
      <c r="A355" s="92" t="s">
        <v>324</v>
      </c>
      <c r="B355" s="92" t="s">
        <v>3003</v>
      </c>
      <c r="C355" s="99">
        <v>3650</v>
      </c>
      <c r="D355" s="99">
        <v>3610</v>
      </c>
      <c r="E355" s="99">
        <v>4200</v>
      </c>
      <c r="F355" s="99">
        <v>640</v>
      </c>
      <c r="G355" s="99">
        <v>2160</v>
      </c>
    </row>
    <row r="356" s="79" customFormat="1" spans="1:7">
      <c r="A356" s="92" t="s">
        <v>324</v>
      </c>
      <c r="B356" s="92" t="s">
        <v>3004</v>
      </c>
      <c r="C356" s="99">
        <v>3260</v>
      </c>
      <c r="D356" s="99">
        <v>3230</v>
      </c>
      <c r="E356" s="99">
        <v>3740</v>
      </c>
      <c r="F356" s="99">
        <v>600</v>
      </c>
      <c r="G356" s="99">
        <v>1930</v>
      </c>
    </row>
    <row r="357" s="79" customFormat="1" ht="12" spans="1:7">
      <c r="A357" s="102" t="s">
        <v>324</v>
      </c>
      <c r="B357" s="111" t="s">
        <v>3005</v>
      </c>
      <c r="C357" s="106">
        <v>3690</v>
      </c>
      <c r="D357" s="106">
        <v>3650</v>
      </c>
      <c r="E357" s="106">
        <v>4020</v>
      </c>
      <c r="F357" s="106">
        <v>700</v>
      </c>
      <c r="G357" s="106">
        <v>2190</v>
      </c>
    </row>
    <row r="358" s="79" customFormat="1" spans="1:7">
      <c r="A358" s="97" t="s">
        <v>330</v>
      </c>
      <c r="B358" s="87" t="s">
        <v>3006</v>
      </c>
      <c r="C358" s="98">
        <v>2080</v>
      </c>
      <c r="D358" s="98">
        <v>2040</v>
      </c>
      <c r="E358" s="98">
        <v>2010</v>
      </c>
      <c r="F358" s="98">
        <v>530</v>
      </c>
      <c r="G358" s="107">
        <v>1230</v>
      </c>
    </row>
    <row r="359" s="79" customFormat="1" spans="1:7">
      <c r="A359" s="92" t="s">
        <v>330</v>
      </c>
      <c r="B359" s="92" t="s">
        <v>3007</v>
      </c>
      <c r="C359" s="99">
        <v>1850</v>
      </c>
      <c r="D359" s="99">
        <v>1820</v>
      </c>
      <c r="E359" s="99">
        <v>1780</v>
      </c>
      <c r="F359" s="99">
        <v>520</v>
      </c>
      <c r="G359" s="108">
        <v>1100</v>
      </c>
    </row>
    <row r="360" s="79" customFormat="1" spans="1:7">
      <c r="A360" s="92" t="s">
        <v>330</v>
      </c>
      <c r="B360" s="92" t="s">
        <v>3008</v>
      </c>
      <c r="C360" s="99">
        <v>2020</v>
      </c>
      <c r="D360" s="99">
        <v>1990</v>
      </c>
      <c r="E360" s="99">
        <v>1950</v>
      </c>
      <c r="F360" s="99">
        <v>500</v>
      </c>
      <c r="G360" s="108">
        <v>1200</v>
      </c>
    </row>
    <row r="361" s="79" customFormat="1" spans="1:7">
      <c r="A361" s="92" t="s">
        <v>330</v>
      </c>
      <c r="B361" s="92" t="s">
        <v>3009</v>
      </c>
      <c r="C361" s="99">
        <v>2260</v>
      </c>
      <c r="D361" s="99">
        <v>2220</v>
      </c>
      <c r="E361" s="99">
        <v>2180</v>
      </c>
      <c r="F361" s="99">
        <v>580</v>
      </c>
      <c r="G361" s="108">
        <v>1340</v>
      </c>
    </row>
    <row r="362" s="79" customFormat="1" spans="1:7">
      <c r="A362" s="92" t="s">
        <v>330</v>
      </c>
      <c r="B362" s="92" t="s">
        <v>3010</v>
      </c>
      <c r="C362" s="99">
        <v>2650</v>
      </c>
      <c r="D362" s="99">
        <v>2610</v>
      </c>
      <c r="E362" s="99">
        <v>2570</v>
      </c>
      <c r="F362" s="99">
        <v>630</v>
      </c>
      <c r="G362" s="108">
        <v>1570</v>
      </c>
    </row>
    <row r="363" s="79" customFormat="1" spans="1:7">
      <c r="A363" s="92" t="s">
        <v>330</v>
      </c>
      <c r="B363" s="92" t="s">
        <v>3011</v>
      </c>
      <c r="C363" s="99">
        <v>2390</v>
      </c>
      <c r="D363" s="99">
        <v>2360</v>
      </c>
      <c r="E363" s="99">
        <v>2320</v>
      </c>
      <c r="F363" s="99">
        <v>600</v>
      </c>
      <c r="G363" s="108">
        <v>1420</v>
      </c>
    </row>
    <row r="364" s="79" customFormat="1" spans="1:7">
      <c r="A364" s="92" t="s">
        <v>330</v>
      </c>
      <c r="B364" s="92" t="s">
        <v>3012</v>
      </c>
      <c r="C364" s="99">
        <v>2050</v>
      </c>
      <c r="D364" s="99">
        <v>2030</v>
      </c>
      <c r="E364" s="99">
        <v>1990</v>
      </c>
      <c r="F364" s="99">
        <v>550</v>
      </c>
      <c r="G364" s="108">
        <v>1220</v>
      </c>
    </row>
    <row r="365" s="79" customFormat="1" spans="1:7">
      <c r="A365" s="92" t="s">
        <v>330</v>
      </c>
      <c r="B365" s="92" t="s">
        <v>3013</v>
      </c>
      <c r="C365" s="99">
        <v>2140</v>
      </c>
      <c r="D365" s="99">
        <v>2100</v>
      </c>
      <c r="E365" s="99">
        <v>2060</v>
      </c>
      <c r="F365" s="99">
        <v>540</v>
      </c>
      <c r="G365" s="108">
        <v>1270</v>
      </c>
    </row>
    <row r="366" s="79" customFormat="1" spans="1:7">
      <c r="A366" s="92" t="s">
        <v>330</v>
      </c>
      <c r="B366" s="92" t="s">
        <v>3014</v>
      </c>
      <c r="C366" s="99">
        <v>2410</v>
      </c>
      <c r="D366" s="99">
        <v>2370</v>
      </c>
      <c r="E366" s="99">
        <v>2330</v>
      </c>
      <c r="F366" s="99">
        <v>570</v>
      </c>
      <c r="G366" s="108">
        <v>1440</v>
      </c>
    </row>
    <row r="367" s="79" customFormat="1" spans="1:7">
      <c r="A367" s="92" t="s">
        <v>330</v>
      </c>
      <c r="B367" s="92" t="s">
        <v>3015</v>
      </c>
      <c r="C367" s="99">
        <v>2300</v>
      </c>
      <c r="D367" s="99">
        <v>2260</v>
      </c>
      <c r="E367" s="99">
        <v>2220</v>
      </c>
      <c r="F367" s="99">
        <v>560</v>
      </c>
      <c r="G367" s="108">
        <v>1370</v>
      </c>
    </row>
    <row r="368" s="79" customFormat="1" spans="1:7">
      <c r="A368" s="92" t="s">
        <v>330</v>
      </c>
      <c r="B368" s="92" t="s">
        <v>3016</v>
      </c>
      <c r="C368" s="99">
        <v>2430</v>
      </c>
      <c r="D368" s="99">
        <v>2390</v>
      </c>
      <c r="E368" s="99">
        <v>2350</v>
      </c>
      <c r="F368" s="99">
        <v>570</v>
      </c>
      <c r="G368" s="108">
        <v>1450</v>
      </c>
    </row>
    <row r="369" s="79" customFormat="1" spans="1:7">
      <c r="A369" s="92" t="s">
        <v>330</v>
      </c>
      <c r="B369" s="92" t="s">
        <v>3017</v>
      </c>
      <c r="C369" s="99">
        <v>2320</v>
      </c>
      <c r="D369" s="99">
        <v>2290</v>
      </c>
      <c r="E369" s="99">
        <v>2250</v>
      </c>
      <c r="F369" s="99">
        <v>550</v>
      </c>
      <c r="G369" s="108">
        <v>1380</v>
      </c>
    </row>
    <row r="370" s="79" customFormat="1" spans="1:7">
      <c r="A370" s="92" t="s">
        <v>330</v>
      </c>
      <c r="B370" s="92" t="s">
        <v>3018</v>
      </c>
      <c r="C370" s="99">
        <v>2190</v>
      </c>
      <c r="D370" s="99">
        <v>2170</v>
      </c>
      <c r="E370" s="99">
        <v>2130</v>
      </c>
      <c r="F370" s="99">
        <v>530</v>
      </c>
      <c r="G370" s="108">
        <v>1310</v>
      </c>
    </row>
    <row r="371" s="79" customFormat="1" spans="1:7">
      <c r="A371" s="92" t="s">
        <v>330</v>
      </c>
      <c r="B371" s="92" t="s">
        <v>3019</v>
      </c>
      <c r="C371" s="99">
        <v>2460</v>
      </c>
      <c r="D371" s="99">
        <v>2420</v>
      </c>
      <c r="E371" s="99">
        <v>2370</v>
      </c>
      <c r="F371" s="99">
        <v>560</v>
      </c>
      <c r="G371" s="108">
        <v>1470</v>
      </c>
    </row>
    <row r="372" s="79" customFormat="1" spans="1:7">
      <c r="A372" s="92" t="s">
        <v>330</v>
      </c>
      <c r="B372" s="92" t="s">
        <v>3020</v>
      </c>
      <c r="C372" s="99">
        <v>2250</v>
      </c>
      <c r="D372" s="99">
        <v>2210</v>
      </c>
      <c r="E372" s="99">
        <v>2180</v>
      </c>
      <c r="F372" s="99">
        <v>550</v>
      </c>
      <c r="G372" s="108">
        <v>1340</v>
      </c>
    </row>
    <row r="373" s="79" customFormat="1" spans="1:7">
      <c r="A373" s="92" t="s">
        <v>330</v>
      </c>
      <c r="B373" s="92" t="s">
        <v>3021</v>
      </c>
      <c r="C373" s="99">
        <v>2210</v>
      </c>
      <c r="D373" s="99">
        <v>2190</v>
      </c>
      <c r="E373" s="99">
        <v>2150</v>
      </c>
      <c r="F373" s="99">
        <v>530</v>
      </c>
      <c r="G373" s="108">
        <v>1320</v>
      </c>
    </row>
    <row r="374" s="79" customFormat="1" spans="1:7">
      <c r="A374" s="92" t="s">
        <v>330</v>
      </c>
      <c r="B374" s="92" t="s">
        <v>3022</v>
      </c>
      <c r="C374" s="99">
        <v>2320</v>
      </c>
      <c r="D374" s="99">
        <v>2280</v>
      </c>
      <c r="E374" s="99">
        <v>2230</v>
      </c>
      <c r="F374" s="99">
        <v>580</v>
      </c>
      <c r="G374" s="108">
        <v>1380</v>
      </c>
    </row>
    <row r="375" s="79" customFormat="1" spans="1:7">
      <c r="A375" s="92" t="s">
        <v>330</v>
      </c>
      <c r="B375" s="92" t="s">
        <v>3023</v>
      </c>
      <c r="C375" s="99">
        <v>2090</v>
      </c>
      <c r="D375" s="99">
        <v>2050</v>
      </c>
      <c r="E375" s="99">
        <v>2020</v>
      </c>
      <c r="F375" s="99">
        <v>520</v>
      </c>
      <c r="G375" s="108">
        <v>1240</v>
      </c>
    </row>
    <row r="376" s="79" customFormat="1" spans="1:7">
      <c r="A376" s="92" t="s">
        <v>330</v>
      </c>
      <c r="B376" s="92" t="s">
        <v>3024</v>
      </c>
      <c r="C376" s="99">
        <v>2010</v>
      </c>
      <c r="D376" s="99">
        <v>1980</v>
      </c>
      <c r="E376" s="99">
        <v>1940</v>
      </c>
      <c r="F376" s="99">
        <v>540</v>
      </c>
      <c r="G376" s="108">
        <v>1190</v>
      </c>
    </row>
    <row r="377" s="79" customFormat="1" ht="12" spans="1:7">
      <c r="A377" s="102" t="s">
        <v>330</v>
      </c>
      <c r="B377" s="111" t="s">
        <v>3025</v>
      </c>
      <c r="C377" s="106">
        <v>1930</v>
      </c>
      <c r="D377" s="106">
        <v>1890</v>
      </c>
      <c r="E377" s="106">
        <v>1860</v>
      </c>
      <c r="F377" s="106">
        <v>530</v>
      </c>
      <c r="G377" s="112">
        <v>1150</v>
      </c>
    </row>
    <row r="378" s="79" customFormat="1" spans="1:7">
      <c r="A378" s="113" t="s">
        <v>336</v>
      </c>
      <c r="B378" s="87" t="s">
        <v>3026</v>
      </c>
      <c r="C378" s="98">
        <v>1520</v>
      </c>
      <c r="D378" s="98">
        <v>1490</v>
      </c>
      <c r="E378" s="98">
        <v>1460</v>
      </c>
      <c r="F378" s="98">
        <v>460</v>
      </c>
      <c r="G378" s="107">
        <v>940</v>
      </c>
    </row>
    <row r="379" s="79" customFormat="1" spans="1:7">
      <c r="A379" s="114" t="s">
        <v>336</v>
      </c>
      <c r="B379" s="92" t="s">
        <v>3027</v>
      </c>
      <c r="C379" s="99">
        <v>1500</v>
      </c>
      <c r="D379" s="99">
        <v>1470</v>
      </c>
      <c r="E379" s="99">
        <v>1430</v>
      </c>
      <c r="F379" s="99">
        <v>460</v>
      </c>
      <c r="G379" s="108">
        <v>920</v>
      </c>
    </row>
    <row r="380" s="79" customFormat="1" spans="1:7">
      <c r="A380" s="114" t="s">
        <v>336</v>
      </c>
      <c r="B380" s="92" t="s">
        <v>3028</v>
      </c>
      <c r="C380" s="99">
        <v>1620</v>
      </c>
      <c r="D380" s="99">
        <v>1590</v>
      </c>
      <c r="E380" s="99">
        <v>1560</v>
      </c>
      <c r="F380" s="99">
        <v>480</v>
      </c>
      <c r="G380" s="108">
        <v>1000</v>
      </c>
    </row>
    <row r="381" s="79" customFormat="1" spans="1:7">
      <c r="A381" s="114" t="s">
        <v>336</v>
      </c>
      <c r="B381" s="92" t="s">
        <v>3029</v>
      </c>
      <c r="C381" s="99">
        <v>1460</v>
      </c>
      <c r="D381" s="99">
        <v>1430</v>
      </c>
      <c r="E381" s="99">
        <v>1390</v>
      </c>
      <c r="F381" s="99">
        <v>450</v>
      </c>
      <c r="G381" s="108">
        <v>900</v>
      </c>
    </row>
    <row r="382" s="79" customFormat="1" spans="1:7">
      <c r="A382" s="114" t="s">
        <v>336</v>
      </c>
      <c r="B382" s="92" t="s">
        <v>3030</v>
      </c>
      <c r="C382" s="99">
        <v>1310</v>
      </c>
      <c r="D382" s="99">
        <v>1280</v>
      </c>
      <c r="E382" s="99">
        <v>1250</v>
      </c>
      <c r="F382" s="99">
        <v>440</v>
      </c>
      <c r="G382" s="108">
        <v>800</v>
      </c>
    </row>
    <row r="383" s="79" customFormat="1" spans="1:7">
      <c r="A383" s="114" t="s">
        <v>336</v>
      </c>
      <c r="B383" s="92" t="s">
        <v>3031</v>
      </c>
      <c r="C383" s="99">
        <v>1260</v>
      </c>
      <c r="D383" s="99">
        <v>1230</v>
      </c>
      <c r="E383" s="99">
        <v>1200</v>
      </c>
      <c r="F383" s="99">
        <v>420</v>
      </c>
      <c r="G383" s="108">
        <v>770</v>
      </c>
    </row>
    <row r="384" s="79" customFormat="1" ht="12" spans="1:7">
      <c r="A384" s="115" t="s">
        <v>336</v>
      </c>
      <c r="B384" s="101" t="s">
        <v>3032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3171</v>
      </c>
      <c r="E1" s="9">
        <f>'数据-取费表'!B22</f>
        <v>1</v>
      </c>
      <c r="F1" s="7" t="s">
        <v>3172</v>
      </c>
      <c r="G1" s="10">
        <f ca="1">IF(OR(C1&lt;C27,E1&lt;=1),INDIRECT("d"&amp;$K$1)/100,ROUND((D5+(E1-C5)*(D7-D5)/(C7-C5))/100,4))</f>
        <v>0.03</v>
      </c>
      <c r="H1" s="7" t="s">
        <v>3173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3172</v>
      </c>
      <c r="E2" s="14"/>
      <c r="F2" s="14" t="s">
        <v>3174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3181</v>
      </c>
      <c r="C10" s="41"/>
      <c r="D10" s="41"/>
      <c r="E10" s="41"/>
      <c r="F10" s="41"/>
      <c r="G10" s="41"/>
      <c r="H10" s="41"/>
      <c r="I10" s="3"/>
      <c r="J10" s="3"/>
      <c r="K10" s="41"/>
      <c r="L10" s="42" t="s">
        <v>3182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3183</v>
      </c>
      <c r="C11" s="46" t="s">
        <v>3184</v>
      </c>
      <c r="D11" s="47" t="s">
        <v>3185</v>
      </c>
      <c r="E11" s="48"/>
      <c r="F11" s="47" t="s">
        <v>3186</v>
      </c>
      <c r="G11" s="49"/>
      <c r="H11" s="48"/>
      <c r="I11" s="47" t="s">
        <v>3187</v>
      </c>
      <c r="J11" s="48"/>
      <c r="K11" s="44"/>
      <c r="L11" s="45" t="s">
        <v>3183</v>
      </c>
      <c r="M11" s="46" t="s">
        <v>3184</v>
      </c>
      <c r="N11" s="45" t="s">
        <v>3188</v>
      </c>
      <c r="O11" s="47" t="s">
        <v>3189</v>
      </c>
      <c r="P11" s="49"/>
      <c r="Q11" s="49"/>
      <c r="R11" s="49"/>
      <c r="S11" s="49"/>
      <c r="T11" s="48"/>
      <c r="U11" s="47" t="s">
        <v>3190</v>
      </c>
      <c r="V11" s="49"/>
      <c r="W11" s="48"/>
      <c r="X11" s="45" t="s">
        <v>3191</v>
      </c>
      <c r="Y11" s="45" t="s">
        <v>3192</v>
      </c>
      <c r="Z11" s="45" t="s">
        <v>3193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3194</v>
      </c>
      <c r="E12" s="54" t="s">
        <v>3176</v>
      </c>
      <c r="F12" s="54" t="s">
        <v>3177</v>
      </c>
      <c r="G12" s="54" t="s">
        <v>3178</v>
      </c>
      <c r="H12" s="54" t="s">
        <v>3179</v>
      </c>
      <c r="I12" s="55" t="s">
        <v>3195</v>
      </c>
      <c r="J12" s="55" t="s">
        <v>3195</v>
      </c>
      <c r="K12" s="51"/>
      <c r="L12" s="52"/>
      <c r="M12" s="53"/>
      <c r="N12" s="52"/>
      <c r="O12" s="55" t="s">
        <v>3196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3197</v>
      </c>
      <c r="C13" s="59">
        <v>45797</v>
      </c>
      <c r="D13" s="60">
        <v>3</v>
      </c>
      <c r="E13" s="60">
        <v>3</v>
      </c>
      <c r="F13" s="60">
        <f t="shared" ref="F13:F18" si="0">D13</f>
        <v>3</v>
      </c>
      <c r="G13" s="60">
        <f t="shared" ref="G13:G18" si="1">D13</f>
        <v>3</v>
      </c>
      <c r="H13" s="60">
        <v>3.5</v>
      </c>
      <c r="I13" s="60"/>
      <c r="J13" s="60"/>
      <c r="K13" s="57"/>
      <c r="L13" s="58" t="s">
        <v>3197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3198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3199</v>
      </c>
      <c r="Y42" s="65" t="s">
        <v>3199</v>
      </c>
      <c r="Z42" s="65" t="s">
        <v>3199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3199</v>
      </c>
      <c r="Y43" s="65" t="s">
        <v>3199</v>
      </c>
      <c r="Z43" s="65" t="s">
        <v>3199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3199</v>
      </c>
      <c r="Y44" s="65" t="s">
        <v>3199</v>
      </c>
      <c r="Z44" s="65" t="s">
        <v>3199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3199</v>
      </c>
      <c r="Y45" s="65" t="s">
        <v>3199</v>
      </c>
      <c r="Z45" s="65" t="s">
        <v>3199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3199</v>
      </c>
      <c r="Y46" s="65" t="s">
        <v>3199</v>
      </c>
      <c r="Z46" s="65" t="s">
        <v>3199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3199</v>
      </c>
      <c r="Y47" s="65" t="s">
        <v>3199</v>
      </c>
      <c r="Z47" s="65" t="s">
        <v>3199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3199</v>
      </c>
      <c r="Y48" s="65" t="s">
        <v>3199</v>
      </c>
      <c r="Z48" s="65" t="s">
        <v>3199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3199</v>
      </c>
      <c r="Y49" s="65" t="s">
        <v>3199</v>
      </c>
      <c r="Z49" s="65" t="s">
        <v>3199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3199</v>
      </c>
      <c r="Y50" s="65" t="s">
        <v>3199</v>
      </c>
      <c r="Z50" s="65" t="s">
        <v>3199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3199</v>
      </c>
      <c r="V51" s="65" t="s">
        <v>3199</v>
      </c>
      <c r="W51" s="65" t="s">
        <v>3199</v>
      </c>
      <c r="X51" s="65" t="s">
        <v>3199</v>
      </c>
      <c r="Y51" s="65" t="s">
        <v>3199</v>
      </c>
      <c r="Z51" s="65" t="s">
        <v>3199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3199</v>
      </c>
      <c r="J70" s="65" t="s">
        <v>3199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9" t="s">
        <v>114</v>
      </c>
      <c r="B1" s="4659"/>
      <c r="C1" s="4659"/>
      <c r="D1" s="4659"/>
    </row>
    <row r="2" ht="18" spans="1:4">
      <c r="A2" s="4660" t="s">
        <v>115</v>
      </c>
      <c r="B2" s="4660"/>
      <c r="C2" s="4660"/>
      <c r="D2" s="4660"/>
    </row>
    <row r="3" ht="18.75"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8" spans="1:4">
      <c r="A6" s="4660" t="s">
        <v>121</v>
      </c>
      <c r="B6" s="4660"/>
      <c r="C6" s="4660"/>
      <c r="D6" s="4660"/>
    </row>
    <row r="7" ht="18.75"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8.75"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385"/>
      <c r="C23" s="2385"/>
      <c r="D23" s="2385"/>
    </row>
    <row r="24" spans="1:4">
      <c r="A24" s="4675"/>
      <c r="B24" s="2385"/>
      <c r="C24" s="2385"/>
      <c r="D24" s="2385"/>
    </row>
    <row r="25" ht="18.75" spans="1:4">
      <c r="A25" s="4676" t="s">
        <v>130</v>
      </c>
    </row>
    <row r="26" ht="18" spans="1:4">
      <c r="A26" s="4677"/>
    </row>
    <row r="27" ht="18.75" spans="1:4">
      <c r="A27" s="4677" t="s">
        <v>131</v>
      </c>
    </row>
    <row r="30" ht="18.75"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5" customWidth="1"/>
    <col min="3" max="10" width="12.5" style="4655" customWidth="1"/>
    <col min="11" max="16384" width="9" style="4655"/>
  </cols>
  <sheetData>
    <row r="1" ht="18.75" spans="1:10">
      <c r="A1" s="4656" t="s">
        <v>133</v>
      </c>
      <c r="B1" s="4657"/>
      <c r="C1" s="4657"/>
      <c r="D1" s="4657"/>
      <c r="E1" s="4657"/>
      <c r="F1" s="4657"/>
      <c r="G1" s="4657"/>
      <c r="H1" s="4657"/>
      <c r="I1" s="4657"/>
      <c r="J1" s="4657"/>
    </row>
    <row r="2" ht="18.75"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1" customWidth="1"/>
    <col min="2" max="16384" width="14.5" style="511"/>
  </cols>
  <sheetData>
    <row r="1" s="4630" customFormat="1" ht="18.75"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3.5" spans="1:7">
      <c r="A15" s="4641" t="s">
        <v>146</v>
      </c>
      <c r="B15" s="4642" t="s">
        <v>147</v>
      </c>
      <c r="C15" s="4643"/>
    </row>
    <row r="16" ht="13.5" spans="1:7">
      <c r="A16" s="4644"/>
      <c r="B16" s="4642" t="s">
        <v>148</v>
      </c>
      <c r="C16" s="4643"/>
    </row>
    <row r="17" ht="13.5" spans="1:3">
      <c r="A17" s="4644"/>
      <c r="B17" s="4645" t="s">
        <v>149</v>
      </c>
      <c r="C17" s="4645" t="s">
        <v>146</v>
      </c>
    </row>
    <row r="18" ht="13.5" spans="1:3">
      <c r="A18" s="4644"/>
      <c r="B18" s="4645"/>
      <c r="C18" s="4645" t="s">
        <v>150</v>
      </c>
    </row>
    <row r="19" ht="13.5" spans="1:3">
      <c r="A19" s="4644"/>
      <c r="B19" s="4645"/>
      <c r="C19" s="4645" t="s">
        <v>151</v>
      </c>
    </row>
    <row r="20" ht="13.5" spans="1:3">
      <c r="A20" s="4646"/>
      <c r="B20" s="4647" t="s">
        <v>152</v>
      </c>
      <c r="C20" s="4643"/>
    </row>
    <row r="21" ht="13.5" spans="1:3">
      <c r="A21" s="4648" t="s">
        <v>153</v>
      </c>
      <c r="B21" s="4649"/>
      <c r="C21" s="4650"/>
    </row>
    <row r="22" ht="13.5" spans="1:3">
      <c r="A22" s="4651" t="s">
        <v>154</v>
      </c>
      <c r="B22" s="4647" t="s">
        <v>155</v>
      </c>
      <c r="C22" s="4643"/>
    </row>
    <row r="23" ht="13.5" spans="1:3">
      <c r="A23" s="4651"/>
      <c r="B23" s="4647" t="s">
        <v>156</v>
      </c>
      <c r="C23" s="4643"/>
    </row>
    <row r="24" ht="13.5" spans="1:3">
      <c r="A24" s="4651"/>
      <c r="B24" s="4647" t="s">
        <v>157</v>
      </c>
      <c r="C24" s="4643"/>
    </row>
    <row r="25" ht="13.5" spans="1:3">
      <c r="A25" s="4651"/>
      <c r="B25" s="4645" t="s">
        <v>158</v>
      </c>
      <c r="C25" s="4645" t="s">
        <v>159</v>
      </c>
    </row>
    <row r="26" ht="13.5" spans="1:3">
      <c r="A26" s="4651"/>
      <c r="B26" s="4645"/>
      <c r="C26" s="4645" t="s">
        <v>160</v>
      </c>
    </row>
    <row r="27" ht="13.5" spans="1:3">
      <c r="A27" s="4651"/>
      <c r="B27" s="4645"/>
      <c r="C27" s="4645" t="s">
        <v>161</v>
      </c>
    </row>
    <row r="28" ht="13.5" spans="1:3">
      <c r="A28" s="4651"/>
      <c r="B28" s="4645"/>
      <c r="C28" s="4645" t="s">
        <v>162</v>
      </c>
    </row>
    <row r="29" ht="13.5" spans="1:3">
      <c r="A29" s="4651"/>
      <c r="B29" s="4645"/>
      <c r="C29" s="4645" t="s">
        <v>163</v>
      </c>
    </row>
    <row r="30" ht="13.5" spans="1:3">
      <c r="A30" s="4651"/>
      <c r="B30" s="4645"/>
      <c r="C30" s="4645" t="s">
        <v>164</v>
      </c>
    </row>
    <row r="31" ht="13.5" spans="1:3">
      <c r="A31" s="4651"/>
      <c r="B31" s="4645"/>
      <c r="C31" s="4645" t="s">
        <v>165</v>
      </c>
    </row>
    <row r="32" ht="13.5" spans="1:3">
      <c r="A32" s="4651"/>
      <c r="B32" s="4645"/>
      <c r="C32" s="4645" t="s">
        <v>166</v>
      </c>
    </row>
    <row r="33" ht="13.5" spans="1:3">
      <c r="A33" s="4651"/>
      <c r="B33" s="4645"/>
      <c r="C33" s="4645" t="s">
        <v>167</v>
      </c>
    </row>
    <row r="34" spans="1:3">
      <c r="A34" s="4652" t="s">
        <v>168</v>
      </c>
    </row>
    <row r="37" spans="1:3">
      <c r="A37" s="4652" t="s">
        <v>169</v>
      </c>
    </row>
    <row r="38" ht="13.5" spans="1:3">
      <c r="A38" s="4653" t="s">
        <v>170</v>
      </c>
    </row>
    <row r="39" ht="13.5" spans="1:3">
      <c r="A39" s="4653" t="s">
        <v>171</v>
      </c>
    </row>
    <row r="40" ht="13.5" spans="1:3">
      <c r="A40" s="4653" t="s">
        <v>172</v>
      </c>
    </row>
    <row r="41" ht="13.5" spans="1:3">
      <c r="A41" s="4654" t="s">
        <v>173</v>
      </c>
    </row>
    <row r="42" ht="13.5"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98" customWidth="1"/>
    <col min="2" max="2" width="38.625" style="4598" customWidth="1"/>
    <col min="3" max="3" width="26" style="4598" customWidth="1"/>
    <col min="4" max="4" width="35" style="4598" hidden="1" customWidth="1"/>
    <col min="5" max="5" width="30.125" style="4598" customWidth="1"/>
    <col min="6" max="6" width="35.5" style="4598" customWidth="1"/>
    <col min="7" max="7" width="31" style="4598" customWidth="1"/>
    <col min="8" max="8" width="37.5" style="4598" hidden="1" customWidth="1"/>
    <col min="9" max="16384" width="22.625" style="4598"/>
  </cols>
  <sheetData>
    <row r="1" customHeight="1" spans="1:8">
      <c r="A1" s="4599"/>
      <c r="B1" s="4599"/>
      <c r="C1" s="4599"/>
      <c r="D1" s="4599"/>
      <c r="E1" s="4599"/>
      <c r="F1" s="4599"/>
      <c r="G1" s="4599"/>
      <c r="H1" s="4599"/>
    </row>
    <row r="2" customHeight="1" spans="1:8">
      <c r="A2" s="4600" t="s">
        <v>175</v>
      </c>
      <c r="B2" s="4601">
        <f ca="1">TODAY()</f>
        <v>46084</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比较法-商业租金</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2026-03-03T02:06:11Z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1727726AEA90452BB8332570592FF19D_12</vt:lpwstr>
  </property>
  <property fmtid="{D5CDD505-2E9C-101B-9397-08002B2CF9AE}" pid="3" name="KSOProductBuildVer">
    <vt:lpwstr>2052-12.1.0.24657</vt:lpwstr>
  </property>
  <property fmtid="{D5CDD505-2E9C-101B-9397-08002B2CF9AE}" pid="4" name="CalculationRule">
    <vt:i4>0</vt:i4>
  </property>
</Properties>
</file>