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面积" sheetId="68"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15" r:id="rId31"/>
    <sheet name="酒店收入计算" sheetId="57" state="hidden" r:id="rId32"/>
    <sheet name="成本逼近法" sheetId="11" state="hidden" r:id="rId33"/>
    <sheet name="不动产收益法-底商" sheetId="71"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市场案例" sheetId="69" r:id="rId43"/>
    <sheet name="土地案例" sheetId="70" r:id="rId44"/>
  </sheets>
  <externalReferences>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7" i="1"/>
  <c r="F41" i="15"/>
  <c r="C40" i="15"/>
  <c r="D10" i="12"/>
  <c r="F6" i="71"/>
  <c r="F8" i="71"/>
  <c r="F7" i="71"/>
  <c r="F9" i="71"/>
  <c r="C6" i="71"/>
  <c r="F11" i="71"/>
  <c r="C10" i="71"/>
  <c r="C5" i="71"/>
  <c r="C32" i="71"/>
  <c r="C14" i="71"/>
  <c r="C15" i="71"/>
  <c r="F16" i="71"/>
  <c r="C16" i="71"/>
  <c r="F43" i="71"/>
  <c r="C17" i="71"/>
  <c r="C18" i="71"/>
  <c r="C19" i="71"/>
  <c r="C20" i="71"/>
  <c r="F24" i="71"/>
  <c r="C23" i="71"/>
  <c r="F26" i="71"/>
  <c r="C26" i="71"/>
  <c r="C24" i="71"/>
  <c r="C27" i="71"/>
  <c r="C29" i="71"/>
  <c r="C33" i="71"/>
  <c r="F35" i="71"/>
  <c r="C34" i="71"/>
  <c r="C31"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J60" i="71"/>
  <c r="L46" i="71"/>
  <c r="B2" i="71"/>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G19" i="9"/>
  <c r="C32" i="9"/>
  <c r="C34" i="9"/>
  <c r="R24" i="31"/>
  <c r="R25" i="31"/>
  <c r="S25" i="31"/>
  <c r="T25" i="31"/>
  <c r="R26" i="31"/>
  <c r="S26" i="31"/>
  <c r="T26" i="31"/>
  <c r="S24" i="31"/>
  <c r="T24" i="31"/>
  <c r="U25" i="31"/>
  <c r="U26" i="31"/>
  <c r="U24" i="31"/>
  <c r="D83" i="39"/>
  <c r="E83" i="39"/>
  <c r="F83" i="39"/>
  <c r="F13" i="39"/>
  <c r="AA13" i="39"/>
  <c r="D107" i="39"/>
  <c r="E107" i="39"/>
  <c r="F33" i="39"/>
  <c r="AA33" i="39"/>
  <c r="F43" i="39"/>
  <c r="AA43" i="39"/>
  <c r="F9" i="39"/>
  <c r="AA9" i="39"/>
  <c r="R49" i="39"/>
  <c r="H13" i="39"/>
  <c r="AB13" i="39"/>
  <c r="H33" i="39"/>
  <c r="AB33" i="39"/>
  <c r="H43" i="39"/>
  <c r="AB43" i="39"/>
  <c r="H9" i="39"/>
  <c r="AB9" i="39"/>
  <c r="T49" i="39"/>
  <c r="J33" i="39"/>
  <c r="AC33" i="39"/>
  <c r="J13" i="39"/>
  <c r="AC13" i="39"/>
  <c r="J43" i="39"/>
  <c r="AC43"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7" i="9"/>
  <c r="C17" i="9"/>
  <c r="C18" i="9"/>
  <c r="D18" i="9"/>
  <c r="C16" i="66"/>
  <c r="C17" i="66"/>
  <c r="C15" i="66"/>
  <c r="B6" i="68"/>
  <c r="C5" i="68"/>
  <c r="D33" i="68"/>
  <c r="E5" i="68"/>
  <c r="G33" i="68"/>
  <c r="B8" i="68"/>
  <c r="D5" i="68"/>
  <c r="H33" i="68"/>
  <c r="C33" i="68"/>
  <c r="B16" i="66"/>
  <c r="E34" i="68"/>
  <c r="F34" i="68"/>
  <c r="D3" i="68"/>
  <c r="D4" i="68"/>
  <c r="D7" i="68"/>
  <c r="H34" i="68"/>
  <c r="C34" i="68"/>
  <c r="B17" i="66"/>
  <c r="C4" i="68"/>
  <c r="D32" i="68"/>
  <c r="E4" i="68"/>
  <c r="G32" i="68"/>
  <c r="H32" i="68"/>
  <c r="C32" i="68"/>
  <c r="B15" i="66"/>
  <c r="B35" i="68"/>
  <c r="F35" i="68"/>
  <c r="E35" i="68"/>
  <c r="D22" i="68"/>
  <c r="E3" i="68"/>
  <c r="G31" i="68"/>
  <c r="C3" i="68"/>
  <c r="D31" i="68"/>
  <c r="D35" i="68"/>
  <c r="G35" i="68"/>
  <c r="F4" i="68"/>
  <c r="F5" i="68"/>
  <c r="H31" i="68"/>
  <c r="F3" i="68"/>
  <c r="B16" i="68"/>
  <c r="D17" i="66"/>
  <c r="H17" i="66"/>
  <c r="F7" i="68"/>
  <c r="H35" i="68"/>
  <c r="C31" i="68"/>
  <c r="C35" i="68"/>
  <c r="C16" i="68"/>
  <c r="D16" i="68"/>
  <c r="L22" i="1"/>
  <c r="L23" i="1"/>
  <c r="U8" i="1"/>
  <c r="Q73" i="71"/>
  <c r="Q60" i="71"/>
  <c r="D60" i="71"/>
  <c r="Q59" i="71"/>
  <c r="K59" i="71"/>
  <c r="P75" i="71"/>
  <c r="F58" i="71"/>
  <c r="Q52" i="71"/>
  <c r="P62" i="71"/>
  <c r="J50" i="71"/>
  <c r="J51" i="71"/>
  <c r="M47" i="71"/>
  <c r="F33" i="71"/>
  <c r="F60" i="71"/>
  <c r="F31" i="71"/>
  <c r="F23" i="71"/>
  <c r="D24" i="71"/>
  <c r="D23" i="71"/>
  <c r="D22" i="71"/>
  <c r="F21" i="71"/>
  <c r="F20" i="71"/>
  <c r="M19" i="71"/>
  <c r="F18" i="71"/>
  <c r="M17" i="71"/>
  <c r="F17" i="71"/>
  <c r="F15" i="71"/>
  <c r="M15" i="3"/>
  <c r="F21" i="6"/>
  <c r="B26" i="31"/>
  <c r="B25" i="31"/>
  <c r="B24" i="31"/>
  <c r="G48" i="39"/>
  <c r="E48" i="39"/>
  <c r="I48" i="39"/>
  <c r="I40" i="39"/>
  <c r="G40" i="39"/>
  <c r="E40" i="39"/>
  <c r="C40" i="39"/>
  <c r="C33" i="21"/>
  <c r="I33" i="21"/>
  <c r="G33" i="21"/>
  <c r="E33" i="21"/>
  <c r="C6" i="21"/>
  <c r="K14" i="3"/>
  <c r="G20" i="6"/>
  <c r="I13" i="3"/>
  <c r="F19" i="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0" i="55"/>
  <c r="A9" i="55"/>
  <c r="A8" i="55"/>
  <c r="A6" i="54"/>
  <c r="A8" i="54"/>
  <c r="A7" i="54"/>
  <c r="A27" i="51"/>
  <c r="D5" i="46"/>
  <c r="Q6" i="59"/>
  <c r="O6" i="59"/>
  <c r="N7" i="59"/>
  <c r="O7" i="59"/>
  <c r="P7" i="59"/>
  <c r="Q7" i="59"/>
  <c r="N6" i="59"/>
  <c r="P6" i="59"/>
  <c r="F12" i="67"/>
  <c r="E13" i="67"/>
  <c r="B12" i="67"/>
  <c r="B11" i="67"/>
  <c r="B8" i="67"/>
  <c r="E11" i="67"/>
  <c r="E9" i="67"/>
  <c r="F13" i="67"/>
  <c r="E12" i="67"/>
  <c r="F9" i="67"/>
  <c r="F10" i="67"/>
  <c r="E10" i="67"/>
  <c r="B10" i="67"/>
  <c r="B13" i="67"/>
  <c r="F8" i="67"/>
  <c r="F11" i="67"/>
  <c r="B9" i="67"/>
  <c r="B14" i="67"/>
  <c r="E14" i="67"/>
  <c r="F14" i="67"/>
  <c r="E8" i="67"/>
  <c r="K75" i="9"/>
  <c r="K6" i="4"/>
  <c r="O76" i="9"/>
  <c r="L76" i="9"/>
  <c r="K76" i="9"/>
  <c r="K77" i="9"/>
  <c r="K79" i="9"/>
  <c r="K81" i="9"/>
  <c r="B22" i="31"/>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J4" i="65"/>
  <c r="I7" i="65"/>
  <c r="I6" i="65"/>
  <c r="N5" i="65"/>
  <c r="N6" i="65"/>
  <c r="N3" i="65"/>
  <c r="I4" i="65"/>
  <c r="I3" i="65"/>
  <c r="J7" i="65"/>
  <c r="J6" i="65"/>
  <c r="J5" i="65"/>
  <c r="E20" i="46"/>
  <c r="J3" i="65"/>
  <c r="J1" i="65"/>
  <c r="M5" i="54"/>
  <c r="A23" i="51"/>
  <c r="E3" i="65"/>
  <c r="F17" i="11"/>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P16" i="59"/>
  <c r="AA16" i="59"/>
  <c r="O16" i="59"/>
  <c r="N16" i="59"/>
  <c r="X16" i="59"/>
  <c r="Q15" i="59"/>
  <c r="P15" i="59"/>
  <c r="AA15" i="59"/>
  <c r="O15" i="59"/>
  <c r="Y15" i="59"/>
  <c r="Z15" i="59"/>
  <c r="N15" i="59"/>
  <c r="X15" i="59"/>
  <c r="Q14" i="59"/>
  <c r="AB14" i="59"/>
  <c r="P14" i="59"/>
  <c r="AA14" i="59"/>
  <c r="O14" i="59"/>
  <c r="Y14" i="59"/>
  <c r="Z14" i="59"/>
  <c r="N14" i="59"/>
  <c r="X14" i="59"/>
  <c r="Q13" i="59"/>
  <c r="P13" i="59"/>
  <c r="O13" i="59"/>
  <c r="N13" i="59"/>
  <c r="D13" i="59"/>
  <c r="Q12" i="59"/>
  <c r="AB12" i="59"/>
  <c r="P12" i="59"/>
  <c r="O12" i="59"/>
  <c r="Y12" i="59"/>
  <c r="Z12" i="59"/>
  <c r="N12" i="59"/>
  <c r="Q11" i="59"/>
  <c r="AB11" i="59"/>
  <c r="P11" i="59"/>
  <c r="O11" i="59"/>
  <c r="Y11" i="59"/>
  <c r="Z11" i="59"/>
  <c r="N11" i="59"/>
  <c r="X11" i="59"/>
  <c r="Q10" i="59"/>
  <c r="AB10" i="59"/>
  <c r="P10" i="59"/>
  <c r="AA10" i="59"/>
  <c r="O10" i="59"/>
  <c r="Y10" i="59"/>
  <c r="Z10" i="59"/>
  <c r="N10" i="59"/>
  <c r="X10" i="59"/>
  <c r="Q9" i="59"/>
  <c r="P9" i="59"/>
  <c r="AA9" i="59"/>
  <c r="O9" i="59"/>
  <c r="N9" i="59"/>
  <c r="D9" i="59"/>
  <c r="B10" i="59"/>
  <c r="X9" i="59"/>
  <c r="AA11" i="59"/>
  <c r="X12" i="59"/>
  <c r="AA12" i="59"/>
  <c r="C14" i="59"/>
  <c r="Y13" i="59"/>
  <c r="Z13" i="59"/>
  <c r="F14" i="59"/>
  <c r="AB13" i="59"/>
  <c r="AB15" i="59"/>
  <c r="Y16" i="59"/>
  <c r="Z16" i="59"/>
  <c r="AB16" i="59"/>
  <c r="B18" i="59"/>
  <c r="B19" i="59"/>
  <c r="B20" i="59"/>
  <c r="S20" i="59"/>
  <c r="X17" i="59"/>
  <c r="E18" i="59"/>
  <c r="E19" i="59"/>
  <c r="E20" i="59"/>
  <c r="U20" i="59"/>
  <c r="AA17" i="59"/>
  <c r="S8" i="59"/>
  <c r="B7" i="59"/>
  <c r="B6" i="59"/>
  <c r="B5" i="59"/>
  <c r="B4" i="59"/>
  <c r="U8" i="59"/>
  <c r="E7" i="59"/>
  <c r="E6" i="59"/>
  <c r="E5" i="59"/>
  <c r="E4"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G1" i="7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B414" i="3"/>
  <c r="BC414" i="3"/>
  <c r="BD414" i="3"/>
  <c r="BE414" i="3"/>
  <c r="BF414" i="3"/>
  <c r="BG414" i="3"/>
  <c r="BH414" i="3"/>
  <c r="BI414" i="3"/>
  <c r="BJ414" i="3"/>
  <c r="BK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B394" i="3"/>
  <c r="BC394" i="3"/>
  <c r="BD394" i="3"/>
  <c r="BE394" i="3"/>
  <c r="BF394" i="3"/>
  <c r="BG394" i="3"/>
  <c r="BH394" i="3"/>
  <c r="BI394" i="3"/>
  <c r="BJ394" i="3"/>
  <c r="BK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B390" i="3"/>
  <c r="BC390" i="3"/>
  <c r="BD390" i="3"/>
  <c r="BE390" i="3"/>
  <c r="BF390" i="3"/>
  <c r="BG390" i="3"/>
  <c r="BH390" i="3"/>
  <c r="BI390" i="3"/>
  <c r="BJ390" i="3"/>
  <c r="BK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7" i="31"/>
  <c r="S27" i="31"/>
  <c r="R28" i="31"/>
  <c r="S28" i="31"/>
  <c r="R29" i="31"/>
  <c r="S29" i="31"/>
  <c r="R30" i="31"/>
  <c r="S30" i="31"/>
  <c r="R31" i="31"/>
  <c r="S31" i="31"/>
  <c r="R32" i="31"/>
  <c r="S32" i="31"/>
  <c r="R33" i="31"/>
  <c r="S33" i="31"/>
  <c r="R34" i="31"/>
  <c r="S34" i="31"/>
  <c r="R35" i="31"/>
  <c r="S35" i="31"/>
  <c r="R36" i="31"/>
  <c r="S36" i="31"/>
  <c r="R37" i="31"/>
  <c r="S37" i="31"/>
  <c r="R38" i="31"/>
  <c r="S38" i="31"/>
  <c r="R39" i="31"/>
  <c r="R40" i="31"/>
  <c r="S40" i="31"/>
  <c r="R41" i="31"/>
  <c r="S41" i="31"/>
  <c r="R42" i="31"/>
  <c r="S42" i="31"/>
  <c r="R43" i="31"/>
  <c r="S43" i="31"/>
  <c r="R44" i="31"/>
  <c r="S44" i="31"/>
  <c r="R45" i="31"/>
  <c r="S45" i="31"/>
  <c r="R46" i="31"/>
  <c r="S46" i="31"/>
  <c r="R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R62" i="31"/>
  <c r="S62" i="31"/>
  <c r="R63" i="31"/>
  <c r="S63" i="31"/>
  <c r="R64" i="31"/>
  <c r="S64" i="31"/>
  <c r="R65" i="31"/>
  <c r="S65" i="31"/>
  <c r="R66" i="31"/>
  <c r="S66" i="31"/>
  <c r="R67" i="31"/>
  <c r="S67" i="31"/>
  <c r="R68" i="31"/>
  <c r="S68" i="31"/>
  <c r="R69" i="31"/>
  <c r="R70" i="31"/>
  <c r="S70" i="31"/>
  <c r="R71" i="31"/>
  <c r="S71" i="31"/>
  <c r="R72" i="31"/>
  <c r="S72" i="31"/>
  <c r="R73" i="31"/>
  <c r="S73" i="31"/>
  <c r="R74" i="31"/>
  <c r="S74" i="31"/>
  <c r="R75" i="31"/>
  <c r="S75" i="31"/>
  <c r="R76" i="31"/>
  <c r="S76" i="31"/>
  <c r="R77" i="31"/>
  <c r="R78" i="31"/>
  <c r="S78" i="31"/>
  <c r="R79" i="31"/>
  <c r="S79" i="31"/>
  <c r="R80" i="31"/>
  <c r="S80" i="31"/>
  <c r="R81" i="31"/>
  <c r="R82" i="31"/>
  <c r="S82" i="31"/>
  <c r="R83" i="31"/>
  <c r="S83" i="31"/>
  <c r="R84" i="31"/>
  <c r="S84" i="31"/>
  <c r="R85" i="31"/>
  <c r="S85" i="31"/>
  <c r="R86" i="31"/>
  <c r="S86" i="31"/>
  <c r="R87" i="31"/>
  <c r="S87" i="31"/>
  <c r="R88" i="31"/>
  <c r="S88" i="31"/>
  <c r="R89" i="31"/>
  <c r="R90" i="31"/>
  <c r="S90" i="31"/>
  <c r="R91" i="31"/>
  <c r="S91" i="31"/>
  <c r="R92" i="31"/>
  <c r="S92" i="31"/>
  <c r="R93" i="31"/>
  <c r="S93" i="31"/>
  <c r="R94" i="31"/>
  <c r="S94" i="31"/>
  <c r="R95" i="31"/>
  <c r="S95" i="31"/>
  <c r="R96" i="31"/>
  <c r="S96" i="31"/>
  <c r="R97" i="31"/>
  <c r="R98" i="31"/>
  <c r="S98" i="31"/>
  <c r="R99" i="31"/>
  <c r="R100" i="31"/>
  <c r="S100" i="31"/>
  <c r="R101" i="31"/>
  <c r="S101" i="31"/>
  <c r="R102" i="31"/>
  <c r="S102" i="31"/>
  <c r="R103" i="31"/>
  <c r="S103" i="31"/>
  <c r="R104" i="31"/>
  <c r="S104" i="31"/>
  <c r="R105" i="31"/>
  <c r="S105" i="31"/>
  <c r="R106" i="31"/>
  <c r="S106" i="31"/>
  <c r="R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R120" i="31"/>
  <c r="S120" i="31"/>
  <c r="R121" i="31"/>
  <c r="S121" i="31"/>
  <c r="R122" i="31"/>
  <c r="S122" i="31"/>
  <c r="R123" i="31"/>
  <c r="S123" i="31"/>
  <c r="R124" i="31"/>
  <c r="S124" i="31"/>
  <c r="R125" i="31"/>
  <c r="R126" i="31"/>
  <c r="S126" i="31"/>
  <c r="R127" i="31"/>
  <c r="S127" i="31"/>
  <c r="R128" i="31"/>
  <c r="S128" i="31"/>
  <c r="R129" i="31"/>
  <c r="S129" i="31"/>
  <c r="R130" i="31"/>
  <c r="S130" i="31"/>
  <c r="R131" i="31"/>
  <c r="S131" i="31"/>
  <c r="R132" i="31"/>
  <c r="S132" i="31"/>
  <c r="R133" i="31"/>
  <c r="R134" i="31"/>
  <c r="S134" i="31"/>
  <c r="R135" i="31"/>
  <c r="S135" i="31"/>
  <c r="R136" i="31"/>
  <c r="S136" i="31"/>
  <c r="R137" i="31"/>
  <c r="S137" i="31"/>
  <c r="R138" i="31"/>
  <c r="S138" i="31"/>
  <c r="R139" i="31"/>
  <c r="S139" i="31"/>
  <c r="R140" i="31"/>
  <c r="S140" i="31"/>
  <c r="R141" i="31"/>
  <c r="R142" i="31"/>
  <c r="S142" i="31"/>
  <c r="R143" i="31"/>
  <c r="S143" i="31"/>
  <c r="R144" i="31"/>
  <c r="S144" i="31"/>
  <c r="R145" i="31"/>
  <c r="S145" i="31"/>
  <c r="R146" i="31"/>
  <c r="S146" i="31"/>
  <c r="R147" i="31"/>
  <c r="S147" i="31"/>
  <c r="R148" i="31"/>
  <c r="S148" i="31"/>
  <c r="R149" i="31"/>
  <c r="R150" i="31"/>
  <c r="S150" i="31"/>
  <c r="R151" i="31"/>
  <c r="S151" i="31"/>
  <c r="R152" i="31"/>
  <c r="S152" i="31"/>
  <c r="R153" i="31"/>
  <c r="S153" i="31"/>
  <c r="R154" i="31"/>
  <c r="S154" i="31"/>
  <c r="R155" i="31"/>
  <c r="S155" i="31"/>
  <c r="R156" i="31"/>
  <c r="S156" i="31"/>
  <c r="R157" i="31"/>
  <c r="R158" i="31"/>
  <c r="S158" i="31"/>
  <c r="R159" i="31"/>
  <c r="S159" i="31"/>
  <c r="R160" i="31"/>
  <c r="S160" i="31"/>
  <c r="R161" i="31"/>
  <c r="S161" i="31"/>
  <c r="R162" i="31"/>
  <c r="S162" i="31"/>
  <c r="R163" i="31"/>
  <c r="S163" i="31"/>
  <c r="R164" i="31"/>
  <c r="S164" i="31"/>
  <c r="R165" i="31"/>
  <c r="R166" i="31"/>
  <c r="S166" i="31"/>
  <c r="R167" i="31"/>
  <c r="S167" i="31"/>
  <c r="R168" i="31"/>
  <c r="S168" i="31"/>
  <c r="R169" i="31"/>
  <c r="S169" i="31"/>
  <c r="R170" i="31"/>
  <c r="S170" i="31"/>
  <c r="R171" i="31"/>
  <c r="S171" i="31"/>
  <c r="R172" i="31"/>
  <c r="S172" i="31"/>
  <c r="R173" i="31"/>
  <c r="R174" i="31"/>
  <c r="S174" i="31"/>
  <c r="R175" i="31"/>
  <c r="S175" i="31"/>
  <c r="R176" i="31"/>
  <c r="S176" i="31"/>
  <c r="R177" i="31"/>
  <c r="S177" i="31"/>
  <c r="R178" i="31"/>
  <c r="S178" i="31"/>
  <c r="R179" i="31"/>
  <c r="S179" i="31"/>
  <c r="R180" i="31"/>
  <c r="S180" i="31"/>
  <c r="R181" i="31"/>
  <c r="R182" i="31"/>
  <c r="S182" i="31"/>
  <c r="R183" i="31"/>
  <c r="S183" i="31"/>
  <c r="R184" i="31"/>
  <c r="S184" i="31"/>
  <c r="R185" i="31"/>
  <c r="S185" i="31"/>
  <c r="R186" i="31"/>
  <c r="S186" i="31"/>
  <c r="R187" i="31"/>
  <c r="S187" i="31"/>
  <c r="R188" i="31"/>
  <c r="S188" i="31"/>
  <c r="R189" i="31"/>
  <c r="R190" i="31"/>
  <c r="S190" i="31"/>
  <c r="R191" i="31"/>
  <c r="S191" i="31"/>
  <c r="R192" i="31"/>
  <c r="S192" i="31"/>
  <c r="R193" i="31"/>
  <c r="S193" i="31"/>
  <c r="R194" i="31"/>
  <c r="S194" i="31"/>
  <c r="R195" i="31"/>
  <c r="S195" i="31"/>
  <c r="R196" i="31"/>
  <c r="S196" i="31"/>
  <c r="R197" i="31"/>
  <c r="R198" i="31"/>
  <c r="S198" i="31"/>
  <c r="R199" i="31"/>
  <c r="S199" i="31"/>
  <c r="R200" i="31"/>
  <c r="S200" i="31"/>
  <c r="R201" i="31"/>
  <c r="S201" i="31"/>
  <c r="R202" i="31"/>
  <c r="S202" i="31"/>
  <c r="R203" i="31"/>
  <c r="S203" i="31"/>
  <c r="R204" i="31"/>
  <c r="S204" i="31"/>
  <c r="R205" i="31"/>
  <c r="R206" i="31"/>
  <c r="S206" i="31"/>
  <c r="R207" i="31"/>
  <c r="S207" i="31"/>
  <c r="R208" i="31"/>
  <c r="S208" i="31"/>
  <c r="R209" i="31"/>
  <c r="S209" i="31"/>
  <c r="R210" i="31"/>
  <c r="S210" i="31"/>
  <c r="R211" i="31"/>
  <c r="S211" i="31"/>
  <c r="R212" i="31"/>
  <c r="S212" i="31"/>
  <c r="R213" i="31"/>
  <c r="R214" i="31"/>
  <c r="S214" i="31"/>
  <c r="R215" i="31"/>
  <c r="S215" i="31"/>
  <c r="R216" i="31"/>
  <c r="S216" i="31"/>
  <c r="R217" i="31"/>
  <c r="S217" i="31"/>
  <c r="R218" i="31"/>
  <c r="S218" i="31"/>
  <c r="R219" i="31"/>
  <c r="S219" i="31"/>
  <c r="R220" i="31"/>
  <c r="S220" i="31"/>
  <c r="R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R256" i="31"/>
  <c r="S256" i="31"/>
  <c r="R257" i="31"/>
  <c r="S257" i="31"/>
  <c r="R258" i="31"/>
  <c r="S258" i="31"/>
  <c r="R259" i="31"/>
  <c r="R260" i="31"/>
  <c r="S260" i="31"/>
  <c r="R261" i="31"/>
  <c r="S261" i="31"/>
  <c r="R262" i="31"/>
  <c r="S262" i="31"/>
  <c r="R263" i="31"/>
  <c r="R264" i="31"/>
  <c r="S264" i="31"/>
  <c r="R265" i="31"/>
  <c r="S265" i="31"/>
  <c r="R266" i="31"/>
  <c r="S266" i="31"/>
  <c r="R267" i="31"/>
  <c r="R268" i="31"/>
  <c r="S268" i="31"/>
  <c r="R269" i="31"/>
  <c r="S269" i="31"/>
  <c r="R270" i="31"/>
  <c r="S270" i="31"/>
  <c r="R271" i="31"/>
  <c r="R272" i="31"/>
  <c r="S272" i="31"/>
  <c r="R273" i="31"/>
  <c r="S273" i="31"/>
  <c r="R274" i="31"/>
  <c r="S274" i="31"/>
  <c r="R275" i="31"/>
  <c r="R276" i="31"/>
  <c r="S276" i="31"/>
  <c r="R277" i="31"/>
  <c r="S277" i="31"/>
  <c r="R278" i="31"/>
  <c r="S278" i="31"/>
  <c r="R279" i="31"/>
  <c r="R280" i="31"/>
  <c r="S280" i="31"/>
  <c r="R281" i="31"/>
  <c r="S281" i="31"/>
  <c r="R282" i="31"/>
  <c r="S282" i="31"/>
  <c r="R283" i="31"/>
  <c r="R284" i="31"/>
  <c r="S284" i="31"/>
  <c r="R285" i="31"/>
  <c r="S285" i="31"/>
  <c r="R286" i="31"/>
  <c r="S286" i="31"/>
  <c r="R287" i="31"/>
  <c r="R288" i="31"/>
  <c r="S288" i="31"/>
  <c r="R289" i="31"/>
  <c r="S289" i="31"/>
  <c r="R290" i="31"/>
  <c r="S290" i="31"/>
  <c r="R291" i="31"/>
  <c r="R292" i="31"/>
  <c r="S292" i="31"/>
  <c r="R293" i="31"/>
  <c r="S293" i="31"/>
  <c r="R294" i="31"/>
  <c r="S294" i="31"/>
  <c r="R295" i="31"/>
  <c r="R296" i="31"/>
  <c r="S296" i="31"/>
  <c r="R297" i="31"/>
  <c r="S297" i="31"/>
  <c r="R298" i="31"/>
  <c r="S298" i="31"/>
  <c r="R299" i="31"/>
  <c r="R300" i="31"/>
  <c r="S300" i="31"/>
  <c r="R301" i="31"/>
  <c r="S301" i="31"/>
  <c r="R302" i="31"/>
  <c r="S302" i="31"/>
  <c r="R303" i="31"/>
  <c r="R304" i="31"/>
  <c r="S304" i="31"/>
  <c r="R305" i="31"/>
  <c r="S305" i="31"/>
  <c r="R306" i="31"/>
  <c r="S306" i="31"/>
  <c r="R307" i="31"/>
  <c r="R308" i="31"/>
  <c r="S308" i="31"/>
  <c r="R309" i="31"/>
  <c r="S309" i="31"/>
  <c r="R310" i="31"/>
  <c r="S310" i="31"/>
  <c r="R311" i="31"/>
  <c r="R312" i="31"/>
  <c r="S312" i="31"/>
  <c r="R313" i="31"/>
  <c r="S313" i="31"/>
  <c r="R314" i="31"/>
  <c r="S314" i="31"/>
  <c r="R315" i="31"/>
  <c r="R316" i="31"/>
  <c r="S316" i="31"/>
  <c r="R317" i="31"/>
  <c r="S317" i="31"/>
  <c r="R318" i="31"/>
  <c r="S318" i="31"/>
  <c r="R319" i="31"/>
  <c r="R320" i="31"/>
  <c r="S320" i="31"/>
  <c r="R321" i="31"/>
  <c r="R322" i="31"/>
  <c r="S322" i="31"/>
  <c r="R323" i="31"/>
  <c r="S323" i="31"/>
  <c r="R324" i="31"/>
  <c r="S324" i="31"/>
  <c r="R325" i="31"/>
  <c r="R326" i="31"/>
  <c r="S326" i="31"/>
  <c r="R327" i="31"/>
  <c r="S327" i="31"/>
  <c r="R328" i="31"/>
  <c r="S328" i="31"/>
  <c r="R329" i="31"/>
  <c r="R330" i="31"/>
  <c r="S330" i="31"/>
  <c r="R331" i="31"/>
  <c r="S331" i="31"/>
  <c r="R332" i="31"/>
  <c r="S332" i="31"/>
  <c r="R333" i="31"/>
  <c r="R334" i="31"/>
  <c r="S334" i="31"/>
  <c r="R335" i="31"/>
  <c r="S335" i="31"/>
  <c r="R336" i="31"/>
  <c r="S336" i="31"/>
  <c r="R337" i="31"/>
  <c r="R338" i="31"/>
  <c r="S338" i="31"/>
  <c r="R339" i="31"/>
  <c r="S339" i="31"/>
  <c r="R340" i="31"/>
  <c r="S340" i="31"/>
  <c r="R341" i="31"/>
  <c r="R342" i="31"/>
  <c r="S342" i="31"/>
  <c r="R343" i="31"/>
  <c r="S343" i="31"/>
  <c r="R344" i="31"/>
  <c r="S344" i="31"/>
  <c r="R345" i="31"/>
  <c r="R346" i="31"/>
  <c r="S346" i="31"/>
  <c r="R347" i="31"/>
  <c r="S347" i="31"/>
  <c r="R348" i="31"/>
  <c r="S348" i="31"/>
  <c r="R349" i="31"/>
  <c r="R350" i="31"/>
  <c r="S350" i="31"/>
  <c r="R351" i="31"/>
  <c r="S351" i="31"/>
  <c r="R352" i="31"/>
  <c r="S352" i="31"/>
  <c r="R353" i="31"/>
  <c r="R354" i="31"/>
  <c r="S354" i="31"/>
  <c r="R355" i="31"/>
  <c r="S355" i="31"/>
  <c r="R356" i="31"/>
  <c r="S356" i="31"/>
  <c r="R357" i="31"/>
  <c r="R358" i="31"/>
  <c r="S358" i="31"/>
  <c r="R359" i="31"/>
  <c r="S359" i="31"/>
  <c r="R360" i="31"/>
  <c r="S360" i="31"/>
  <c r="R361" i="31"/>
  <c r="R362" i="31"/>
  <c r="S362" i="31"/>
  <c r="R363" i="31"/>
  <c r="S363" i="31"/>
  <c r="R364" i="31"/>
  <c r="S364" i="31"/>
  <c r="R365" i="31"/>
  <c r="R366" i="31"/>
  <c r="S366" i="31"/>
  <c r="R367" i="31"/>
  <c r="S367" i="31"/>
  <c r="R368" i="31"/>
  <c r="S368" i="31"/>
  <c r="R369" i="31"/>
  <c r="R370" i="31"/>
  <c r="S370" i="31"/>
  <c r="R371" i="31"/>
  <c r="S371" i="31"/>
  <c r="R372" i="31"/>
  <c r="S372" i="31"/>
  <c r="R373" i="31"/>
  <c r="R374" i="31"/>
  <c r="S374" i="31"/>
  <c r="R375" i="31"/>
  <c r="S375" i="31"/>
  <c r="R376" i="31"/>
  <c r="S376" i="31"/>
  <c r="R377" i="31"/>
  <c r="R378" i="31"/>
  <c r="S378" i="31"/>
  <c r="R379" i="31"/>
  <c r="S379" i="31"/>
  <c r="R380" i="31"/>
  <c r="S380" i="31"/>
  <c r="R381" i="31"/>
  <c r="R382" i="31"/>
  <c r="S382" i="31"/>
  <c r="R383" i="31"/>
  <c r="S383" i="31"/>
  <c r="R384" i="31"/>
  <c r="S384" i="31"/>
  <c r="R385" i="31"/>
  <c r="R386" i="31"/>
  <c r="S386" i="31"/>
  <c r="R387" i="31"/>
  <c r="S387" i="31"/>
  <c r="R388" i="31"/>
  <c r="S388" i="31"/>
  <c r="R389" i="31"/>
  <c r="R390" i="31"/>
  <c r="S390" i="31"/>
  <c r="R391" i="31"/>
  <c r="S391" i="31"/>
  <c r="R392" i="31"/>
  <c r="S392" i="31"/>
  <c r="R393" i="31"/>
  <c r="R394" i="31"/>
  <c r="S394" i="31"/>
  <c r="R395" i="31"/>
  <c r="S395" i="31"/>
  <c r="R396" i="31"/>
  <c r="S396" i="31"/>
  <c r="R397" i="31"/>
  <c r="R398" i="31"/>
  <c r="S398" i="31"/>
  <c r="R399" i="31"/>
  <c r="S399" i="31"/>
  <c r="R400" i="31"/>
  <c r="S400" i="31"/>
  <c r="R401" i="31"/>
  <c r="R402" i="31"/>
  <c r="S402" i="31"/>
  <c r="R403" i="31"/>
  <c r="S403" i="31"/>
  <c r="R404" i="31"/>
  <c r="S404" i="31"/>
  <c r="R405" i="31"/>
  <c r="R406" i="31"/>
  <c r="S406" i="31"/>
  <c r="R407" i="31"/>
  <c r="S407" i="31"/>
  <c r="R408" i="31"/>
  <c r="S408" i="31"/>
  <c r="R409" i="31"/>
  <c r="R410" i="31"/>
  <c r="S410" i="31"/>
  <c r="R411" i="31"/>
  <c r="S411" i="31"/>
  <c r="R412" i="31"/>
  <c r="S412" i="31"/>
  <c r="R413" i="31"/>
  <c r="R414" i="31"/>
  <c r="S414" i="31"/>
  <c r="R415" i="31"/>
  <c r="S415" i="31"/>
  <c r="R416" i="31"/>
  <c r="S416" i="31"/>
  <c r="R417" i="31"/>
  <c r="R418" i="31"/>
  <c r="S418" i="31"/>
  <c r="R419" i="31"/>
  <c r="S419" i="31"/>
  <c r="R420" i="31"/>
  <c r="S420" i="31"/>
  <c r="R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R436" i="31"/>
  <c r="S436" i="31"/>
  <c r="R437" i="31"/>
  <c r="S437" i="31"/>
  <c r="R438" i="31"/>
  <c r="S438" i="31"/>
  <c r="R439" i="31"/>
  <c r="S439" i="31"/>
  <c r="R440" i="31"/>
  <c r="S440" i="31"/>
  <c r="R441" i="31"/>
  <c r="S441" i="31"/>
  <c r="R442" i="31"/>
  <c r="S442" i="31"/>
  <c r="R443" i="31"/>
  <c r="R444" i="31"/>
  <c r="S444" i="31"/>
  <c r="R445" i="31"/>
  <c r="S445" i="31"/>
  <c r="R446" i="31"/>
  <c r="S446" i="31"/>
  <c r="R447" i="31"/>
  <c r="R448" i="31"/>
  <c r="S448" i="31"/>
  <c r="R449" i="31"/>
  <c r="S449" i="31"/>
  <c r="R450" i="31"/>
  <c r="S450" i="31"/>
  <c r="R451" i="31"/>
  <c r="R452" i="31"/>
  <c r="S452" i="31"/>
  <c r="R453" i="31"/>
  <c r="S453" i="31"/>
  <c r="R454" i="31"/>
  <c r="S454" i="31"/>
  <c r="R455" i="31"/>
  <c r="S455" i="31"/>
  <c r="R456" i="31"/>
  <c r="S456" i="31"/>
  <c r="R457" i="31"/>
  <c r="S457" i="31"/>
  <c r="R458" i="31"/>
  <c r="S458" i="31"/>
  <c r="R459" i="31"/>
  <c r="R460" i="31"/>
  <c r="S460" i="31"/>
  <c r="R461" i="31"/>
  <c r="S461" i="31"/>
  <c r="R462" i="31"/>
  <c r="S462" i="31"/>
  <c r="R463" i="31"/>
  <c r="S463" i="31"/>
  <c r="R464" i="31"/>
  <c r="S464" i="31"/>
  <c r="R465" i="31"/>
  <c r="S465" i="31"/>
  <c r="R466" i="31"/>
  <c r="S466" i="31"/>
  <c r="R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R485" i="31"/>
  <c r="S485" i="31"/>
  <c r="R486" i="31"/>
  <c r="S486" i="31"/>
  <c r="R487" i="31"/>
  <c r="S487" i="31"/>
  <c r="R488" i="31"/>
  <c r="S488" i="31"/>
  <c r="R489" i="31"/>
  <c r="S489" i="31"/>
  <c r="R490" i="31"/>
  <c r="S490" i="31"/>
  <c r="R491" i="31"/>
  <c r="S491" i="31"/>
  <c r="R492" i="31"/>
  <c r="S492" i="31"/>
  <c r="R493" i="31"/>
  <c r="S493" i="31"/>
  <c r="R494" i="31"/>
  <c r="S494" i="31"/>
  <c r="R495" i="31"/>
  <c r="R496" i="31"/>
  <c r="S496" i="31"/>
  <c r="R497" i="31"/>
  <c r="S497" i="31"/>
  <c r="R498" i="31"/>
  <c r="S498" i="31"/>
  <c r="R499" i="31"/>
  <c r="S499" i="31"/>
  <c r="R500" i="31"/>
  <c r="S500" i="31"/>
  <c r="R501" i="31"/>
  <c r="R502" i="31"/>
  <c r="S502" i="31"/>
  <c r="R503" i="31"/>
  <c r="S503" i="31"/>
  <c r="R504" i="31"/>
  <c r="S504" i="31"/>
  <c r="R505" i="31"/>
  <c r="S505" i="31"/>
  <c r="R506" i="31"/>
  <c r="S506" i="31"/>
  <c r="R507" i="31"/>
  <c r="S507" i="31"/>
  <c r="R508" i="31"/>
  <c r="S508" i="31"/>
  <c r="R509" i="31"/>
  <c r="S509" i="31"/>
  <c r="R510" i="31"/>
  <c r="S510" i="31"/>
  <c r="R511" i="31"/>
  <c r="R512" i="31"/>
  <c r="S512" i="31"/>
  <c r="R513" i="31"/>
  <c r="S513" i="31"/>
  <c r="R514" i="31"/>
  <c r="S514" i="31"/>
  <c r="R515" i="31"/>
  <c r="S515" i="31"/>
  <c r="R516" i="31"/>
  <c r="S516" i="31"/>
  <c r="R517" i="31"/>
  <c r="S517" i="31"/>
  <c r="R518" i="31"/>
  <c r="S518" i="31"/>
  <c r="R519" i="31"/>
  <c r="S519" i="31"/>
  <c r="R520" i="31"/>
  <c r="S520" i="31"/>
  <c r="R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E22" i="6"/>
  <c r="E23" i="6"/>
  <c r="E24" i="6"/>
  <c r="E25" i="6"/>
  <c r="E26" i="6"/>
  <c r="C35" i="4"/>
  <c r="E16" i="12"/>
  <c r="F14" i="12"/>
  <c r="F15" i="12"/>
  <c r="F17" i="12"/>
  <c r="E19" i="12"/>
  <c r="E21" i="12"/>
  <c r="E22" i="12"/>
  <c r="F23" i="12"/>
  <c r="F24" i="12"/>
  <c r="F25" i="12"/>
  <c r="C43" i="9"/>
  <c r="K47" i="9"/>
  <c r="I73" i="9"/>
  <c r="F73" i="9"/>
  <c r="P73" i="9"/>
  <c r="D107" i="9"/>
  <c r="C107" i="9"/>
  <c r="C105" i="9"/>
  <c r="C110"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30" i="9"/>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7" i="31"/>
  <c r="S413" i="31"/>
  <c r="S409" i="31"/>
  <c r="S405" i="31"/>
  <c r="S401" i="31"/>
  <c r="S397" i="31"/>
  <c r="S393" i="31"/>
  <c r="S389" i="31"/>
  <c r="S385" i="31"/>
  <c r="S381" i="31"/>
  <c r="S377" i="31"/>
  <c r="S373" i="31"/>
  <c r="S369" i="31"/>
  <c r="S365" i="31"/>
  <c r="S361" i="31"/>
  <c r="S357" i="31"/>
  <c r="S353" i="31"/>
  <c r="S349" i="31"/>
  <c r="S345" i="31"/>
  <c r="S341" i="31"/>
  <c r="S337" i="31"/>
  <c r="S333" i="31"/>
  <c r="S329" i="31"/>
  <c r="S325" i="31"/>
  <c r="S321"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221" i="31"/>
  <c r="S213" i="31"/>
  <c r="S205" i="31"/>
  <c r="S197" i="31"/>
  <c r="S189" i="31"/>
  <c r="S181" i="31"/>
  <c r="S173" i="31"/>
  <c r="S165" i="31"/>
  <c r="S157" i="31"/>
  <c r="S149" i="31"/>
  <c r="S141" i="31"/>
  <c r="S133" i="31"/>
  <c r="S125" i="31"/>
  <c r="S495" i="31"/>
  <c r="S484" i="31"/>
  <c r="S443" i="31"/>
  <c r="S435" i="31"/>
  <c r="S119" i="31"/>
  <c r="S467" i="31"/>
  <c r="S459" i="31"/>
  <c r="S451" i="31"/>
  <c r="S47" i="31"/>
  <c r="S39" i="31"/>
  <c r="S77" i="31"/>
  <c r="S69" i="31"/>
  <c r="S61" i="31"/>
  <c r="S97" i="31"/>
  <c r="S89" i="31"/>
  <c r="S81" i="31"/>
  <c r="S99" i="31"/>
  <c r="S107" i="31"/>
  <c r="S447" i="31"/>
  <c r="S511"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21"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H14" i="39"/>
  <c r="AB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F571" i="3"/>
  <c r="BF572" i="3"/>
  <c r="BF5" i="3"/>
  <c r="BM570" i="3"/>
  <c r="BN570" i="3"/>
  <c r="BO570" i="3"/>
  <c r="BP570" i="3"/>
  <c r="BQ570" i="3"/>
  <c r="BR570" i="3"/>
  <c r="BS570" i="3"/>
  <c r="BT570"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AB36" i="21"/>
  <c r="C29" i="39"/>
  <c r="C23" i="39"/>
  <c r="U36" i="39"/>
  <c r="H32" i="33"/>
  <c r="AB32" i="33"/>
  <c r="F86" i="40"/>
  <c r="G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AB31" i="21"/>
  <c r="AB13" i="21"/>
  <c r="S46" i="21"/>
  <c r="U46" i="21"/>
  <c r="AC30" i="21"/>
  <c r="W30" i="21"/>
  <c r="AB30" i="21"/>
  <c r="S28" i="21"/>
  <c r="AA28" i="21"/>
  <c r="AB14" i="21"/>
  <c r="W14" i="21"/>
  <c r="AC14" i="21"/>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G492" i="3"/>
  <c r="G488" i="3"/>
  <c r="G484" i="3"/>
  <c r="G20" i="3"/>
  <c r="BQ490" i="3"/>
  <c r="BQ488" i="3"/>
  <c r="BL488" i="3"/>
  <c r="BQ486" i="3"/>
  <c r="BQ484" i="3"/>
  <c r="BL484" i="3"/>
  <c r="AZ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AC33" i="36"/>
  <c r="AC12" i="35"/>
  <c r="AC23" i="37"/>
  <c r="S27" i="37"/>
  <c r="U39" i="37"/>
  <c r="AC8" i="37"/>
  <c r="S25" i="37"/>
  <c r="AC36" i="34"/>
  <c r="AB8" i="34"/>
  <c r="AC37" i="33"/>
  <c r="AA13" i="33"/>
  <c r="AC45" i="33"/>
  <c r="U19" i="21"/>
  <c r="AC33" i="21"/>
  <c r="AA36" i="21"/>
  <c r="F43" i="33"/>
  <c r="AA43" i="33"/>
  <c r="AA23" i="37"/>
  <c r="S10" i="35"/>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G483" i="3"/>
  <c r="G515" i="3"/>
  <c r="G507" i="3"/>
  <c r="G501" i="3"/>
  <c r="BA15" i="3"/>
  <c r="BL17" i="3"/>
  <c r="BL15" i="3"/>
  <c r="BA14" i="3"/>
  <c r="AZ14" i="3"/>
  <c r="BT5" i="3"/>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26"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S33"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66" i="9"/>
  <c r="P72" i="9"/>
  <c r="F71" i="9"/>
  <c r="F72" i="9"/>
  <c r="W35"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W15" i="34"/>
  <c r="AC15" i="34"/>
  <c r="U20" i="35"/>
  <c r="AB20" i="35"/>
  <c r="W23" i="40"/>
  <c r="D73" i="9"/>
  <c r="N73" i="9"/>
  <c r="J51" i="15"/>
  <c r="B11" i="1"/>
  <c r="E11" i="1"/>
  <c r="K11" i="1"/>
  <c r="M11" i="1"/>
  <c r="B9" i="1"/>
  <c r="E9" i="1"/>
  <c r="K9" i="1"/>
  <c r="M9" i="1"/>
  <c r="B7" i="1"/>
  <c r="E7" i="1"/>
  <c r="K7" i="1"/>
  <c r="M7" i="1"/>
  <c r="O7" i="1"/>
  <c r="P7" i="1"/>
  <c r="C20" i="43"/>
  <c r="M29" i="71"/>
  <c r="L47" i="71"/>
  <c r="AZ520" i="3"/>
  <c r="AA12" i="21"/>
  <c r="S12" i="21"/>
  <c r="AA31" i="33"/>
  <c r="S31" i="33"/>
  <c r="AC23" i="35"/>
  <c r="W23" i="35"/>
  <c r="AZ420" i="3"/>
  <c r="S17" i="34"/>
  <c r="S33" i="40"/>
  <c r="AC14" i="40"/>
  <c r="AB14" i="40"/>
  <c r="F27" i="43"/>
  <c r="F32" i="71"/>
  <c r="F59" i="71"/>
  <c r="F28" i="71"/>
  <c r="C28" i="71"/>
  <c r="M18" i="71"/>
  <c r="S9" i="21"/>
  <c r="AA9" i="21"/>
  <c r="AC9" i="34"/>
  <c r="W9" i="34"/>
  <c r="AC24" i="35"/>
  <c r="W24" i="35"/>
  <c r="W24" i="36"/>
  <c r="AC24" i="36"/>
  <c r="AC39" i="37"/>
  <c r="W39" i="37"/>
  <c r="AZ396" i="3"/>
  <c r="AZ408" i="3"/>
  <c r="AZ413" i="3"/>
  <c r="AZ424" i="3"/>
  <c r="U31" i="37"/>
  <c r="S39" i="33"/>
  <c r="AC41" i="34"/>
  <c r="S45" i="21"/>
  <c r="W31" i="34"/>
  <c r="AC34" i="36"/>
  <c r="W8" i="21"/>
  <c r="G13" i="3"/>
  <c r="J43" i="21"/>
  <c r="AC43" i="21"/>
  <c r="F9" i="34"/>
  <c r="AA9" i="34"/>
  <c r="J9" i="35"/>
  <c r="W9" i="35"/>
  <c r="F34" i="35"/>
  <c r="H24" i="36"/>
  <c r="J25" i="37"/>
  <c r="A14" i="55"/>
  <c r="B65" i="63"/>
  <c r="AZ448" i="3"/>
  <c r="AZ368" i="3"/>
  <c r="AZ384" i="3"/>
  <c r="AZ386" i="3"/>
  <c r="AZ214" i="3"/>
  <c r="AZ218" i="3"/>
  <c r="AZ230" i="3"/>
  <c r="AZ234" i="3"/>
  <c r="AZ246" i="3"/>
  <c r="AZ250" i="3"/>
  <c r="AZ262" i="3"/>
  <c r="AZ266" i="3"/>
  <c r="AZ277" i="3"/>
  <c r="AZ280" i="3"/>
  <c r="AZ293" i="3"/>
  <c r="AZ117" i="3"/>
  <c r="AZ120" i="3"/>
  <c r="AZ133" i="3"/>
  <c r="AZ136" i="3"/>
  <c r="F34" i="15"/>
  <c r="F61" i="15"/>
  <c r="F34" i="71"/>
  <c r="F61" i="71"/>
  <c r="M20" i="71"/>
  <c r="AZ440" i="3"/>
  <c r="AZ472" i="3"/>
  <c r="AZ141" i="3"/>
  <c r="AZ144" i="3"/>
  <c r="AZ155" i="3"/>
  <c r="AZ163" i="3"/>
  <c r="AZ176" i="3"/>
  <c r="AZ182" i="3"/>
  <c r="AZ190" i="3"/>
  <c r="AZ198" i="3"/>
  <c r="AZ204" i="3"/>
  <c r="AZ26" i="3"/>
  <c r="AZ29" i="3"/>
  <c r="AZ36" i="3"/>
  <c r="AZ42" i="3"/>
  <c r="AZ45" i="3"/>
  <c r="AZ52" i="3"/>
  <c r="AZ58" i="3"/>
  <c r="AZ62" i="3"/>
  <c r="AZ65" i="3"/>
  <c r="G22" i="3"/>
  <c r="AZ85" i="3"/>
  <c r="AZ108" i="3"/>
  <c r="AZ22" i="3"/>
  <c r="AZ68" i="3"/>
  <c r="AZ72" i="3"/>
  <c r="I21" i="57"/>
  <c r="D1" i="57"/>
  <c r="E10" i="57"/>
  <c r="F49" i="71"/>
  <c r="F70" i="71"/>
  <c r="M8" i="1"/>
  <c r="O8" i="1"/>
  <c r="P8" i="1"/>
  <c r="L56" i="71"/>
  <c r="Q49" i="71"/>
  <c r="I54" i="71"/>
  <c r="J57" i="71"/>
  <c r="J55" i="71"/>
  <c r="J58" i="71"/>
  <c r="Q51" i="71"/>
  <c r="L57" i="71"/>
  <c r="J59" i="71"/>
  <c r="L60" i="71"/>
  <c r="L58" i="71"/>
  <c r="L59" i="71"/>
  <c r="G15" i="3"/>
  <c r="D3" i="21"/>
  <c r="C9" i="12"/>
  <c r="H5" i="3"/>
  <c r="W14" i="39"/>
  <c r="F42" i="39"/>
  <c r="J42" i="39"/>
  <c r="AC42" i="39"/>
  <c r="H41" i="39"/>
  <c r="AB41" i="39"/>
  <c r="H42" i="39"/>
  <c r="AB42" i="39"/>
  <c r="AB44" i="39"/>
  <c r="W43" i="39"/>
  <c r="U39" i="21"/>
  <c r="U17" i="21"/>
  <c r="AB29" i="39"/>
  <c r="U27" i="39"/>
  <c r="W27" i="39"/>
  <c r="A30" i="51"/>
  <c r="A30" i="64"/>
  <c r="AB25" i="39"/>
  <c r="F91" i="39"/>
  <c r="G91" i="39"/>
  <c r="F17" i="39"/>
  <c r="AA17" i="39"/>
  <c r="J17" i="39"/>
  <c r="W17" i="39"/>
  <c r="H17" i="39"/>
  <c r="U17" i="39"/>
  <c r="S23" i="39"/>
  <c r="AB17" i="39"/>
  <c r="G123" i="21"/>
  <c r="H123" i="21"/>
  <c r="I123" i="21"/>
  <c r="J123" i="21"/>
  <c r="K123" i="21"/>
  <c r="L123" i="21"/>
  <c r="M123" i="21"/>
  <c r="H42" i="21"/>
  <c r="AB42" i="21"/>
  <c r="J42" i="21"/>
  <c r="AC42" i="21"/>
  <c r="AC35" i="21"/>
  <c r="U43" i="21"/>
  <c r="U42" i="21"/>
  <c r="W42" i="21"/>
  <c r="S10" i="21"/>
  <c r="G14" i="3"/>
  <c r="A2" i="55"/>
  <c r="B55" i="63"/>
  <c r="A11" i="55"/>
  <c r="B62" i="63"/>
  <c r="J57" i="39"/>
  <c r="N67" i="9"/>
  <c r="D38" i="4"/>
  <c r="C39" i="4"/>
  <c r="G19"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I17" i="46"/>
  <c r="C16" i="46"/>
  <c r="C5" i="46"/>
  <c r="E17" i="46"/>
  <c r="D71" i="46"/>
  <c r="D84" i="46"/>
  <c r="E80" i="46"/>
  <c r="B78" i="46"/>
  <c r="D69" i="46"/>
  <c r="E69" i="46"/>
  <c r="B67" i="46"/>
  <c r="E47" i="46"/>
  <c r="E58" i="46"/>
  <c r="C52" i="15"/>
  <c r="A4" i="64"/>
  <c r="A4" i="51"/>
  <c r="B6" i="63"/>
  <c r="C51" i="10"/>
  <c r="H58" i="46"/>
  <c r="H61" i="46"/>
  <c r="H62" i="46"/>
  <c r="H71"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71"/>
  <c r="M23" i="71"/>
  <c r="M26" i="71"/>
  <c r="J15" i="71"/>
  <c r="M8" i="44"/>
  <c r="F39" i="44"/>
  <c r="M23" i="15"/>
  <c r="L48" i="44"/>
  <c r="J17" i="44"/>
  <c r="M27" i="15"/>
  <c r="F45" i="44"/>
  <c r="M8" i="15"/>
  <c r="M25" i="44"/>
  <c r="M28" i="15"/>
  <c r="M10" i="44"/>
  <c r="M30" i="44"/>
  <c r="F15" i="44"/>
  <c r="M26" i="15"/>
  <c r="M26" i="44"/>
  <c r="F8" i="44"/>
  <c r="L47" i="15"/>
  <c r="L49" i="44"/>
  <c r="F9" i="44"/>
  <c r="F11" i="44"/>
  <c r="M24" i="71"/>
  <c r="M27" i="71"/>
  <c r="M22" i="71"/>
  <c r="J36" i="71"/>
  <c r="M24" i="44"/>
  <c r="F43" i="44"/>
  <c r="M31" i="44"/>
  <c r="F10" i="44"/>
  <c r="F28" i="44"/>
  <c r="F38" i="44"/>
  <c r="F18" i="44"/>
  <c r="M29" i="44"/>
  <c r="F40" i="44"/>
  <c r="M28" i="44"/>
  <c r="M11" i="44"/>
  <c r="F67" i="71"/>
  <c r="Q72" i="71"/>
  <c r="F50" i="71"/>
  <c r="C48" i="71"/>
  <c r="C47" i="71"/>
  <c r="F65" i="71"/>
  <c r="F63" i="71"/>
  <c r="F64" i="71"/>
  <c r="C7" i="46"/>
  <c r="W25" i="37"/>
  <c r="AC25" i="37"/>
  <c r="AA34" i="35"/>
  <c r="S34" i="35"/>
  <c r="S17" i="39"/>
  <c r="J18" i="71"/>
  <c r="AB24" i="36"/>
  <c r="U24" i="36"/>
  <c r="Q62" i="71"/>
  <c r="Q75" i="71"/>
  <c r="Q53" i="71"/>
  <c r="Q61" i="71"/>
  <c r="Q74" i="71"/>
  <c r="Q58" i="71"/>
  <c r="Q67" i="71"/>
  <c r="AP6" i="1"/>
  <c r="C12" i="39"/>
  <c r="AA42" i="39"/>
  <c r="S42" i="39"/>
  <c r="AC23" i="21"/>
  <c r="G6" i="1"/>
  <c r="G16" i="1"/>
  <c r="J12" i="40"/>
  <c r="L59" i="15"/>
  <c r="Q75" i="15"/>
  <c r="I55" i="44"/>
  <c r="J54" i="44"/>
  <c r="L60" i="44"/>
  <c r="Q63" i="44"/>
  <c r="L59" i="44"/>
  <c r="Q75" i="44"/>
  <c r="J60" i="44"/>
  <c r="J58" i="44"/>
  <c r="J56" i="44"/>
  <c r="J59" i="44"/>
  <c r="Q52" i="44"/>
  <c r="L57" i="44"/>
  <c r="J61" i="44"/>
  <c r="Q50" i="44"/>
  <c r="E86" i="3"/>
  <c r="AE11" i="46"/>
  <c r="AE13" i="46"/>
  <c r="F29" i="6"/>
  <c r="F28"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E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F64" i="15"/>
  <c r="F67" i="15"/>
  <c r="M7" i="15"/>
  <c r="F49" i="15"/>
  <c r="F65" i="15"/>
  <c r="G66" i="36"/>
  <c r="J18" i="36"/>
  <c r="AE6" i="1"/>
  <c r="M19" i="44"/>
  <c r="M17" i="15"/>
  <c r="F58" i="15"/>
  <c r="F33" i="44"/>
  <c r="F31" i="15"/>
  <c r="M9" i="15"/>
  <c r="M24" i="15"/>
  <c r="J15" i="15"/>
  <c r="M22" i="15"/>
  <c r="M6" i="15"/>
  <c r="M29" i="15"/>
  <c r="J36" i="15"/>
  <c r="C18" i="44"/>
  <c r="F46" i="44"/>
  <c r="J24" i="71"/>
  <c r="C59" i="71"/>
  <c r="C65" i="71"/>
  <c r="I54" i="15"/>
  <c r="L56" i="15"/>
  <c r="L58" i="15"/>
  <c r="Q74" i="15"/>
  <c r="J57" i="15"/>
  <c r="J55" i="15"/>
  <c r="J58" i="15"/>
  <c r="Q51" i="15"/>
  <c r="Q72" i="15"/>
  <c r="F50" i="15"/>
  <c r="F70" i="15"/>
  <c r="F63" i="15"/>
  <c r="K104" i="46"/>
  <c r="J109" i="46"/>
  <c r="J105" i="46"/>
  <c r="K107" i="46"/>
  <c r="F103" i="46"/>
  <c r="F106" i="46"/>
  <c r="C107" i="46"/>
  <c r="C104" i="46"/>
  <c r="J107" i="46"/>
  <c r="F7" i="36"/>
  <c r="AA7" i="36"/>
  <c r="R36" i="36"/>
  <c r="E36" i="36"/>
  <c r="E40" i="36"/>
  <c r="F40" i="36"/>
  <c r="F7" i="35"/>
  <c r="S7" i="35"/>
  <c r="J7" i="34"/>
  <c r="H7" i="36"/>
  <c r="AB7" i="36"/>
  <c r="T36" i="36"/>
  <c r="G36" i="36"/>
  <c r="G40" i="36"/>
  <c r="H40" i="36"/>
  <c r="J7" i="35"/>
  <c r="AC7" i="35"/>
  <c r="V38" i="35"/>
  <c r="I38" i="35"/>
  <c r="I42" i="35"/>
  <c r="J42" i="35"/>
  <c r="F7" i="34"/>
  <c r="S7" i="34"/>
  <c r="J7" i="36"/>
  <c r="W7" i="36"/>
  <c r="H7" i="35"/>
  <c r="AB7" i="35"/>
  <c r="T38" i="35"/>
  <c r="G38" i="35"/>
  <c r="G42" i="35"/>
  <c r="H42" i="35"/>
  <c r="H7" i="34"/>
  <c r="AB7" i="34"/>
  <c r="T49" i="34"/>
  <c r="G49" i="34"/>
  <c r="G53" i="34"/>
  <c r="H53" i="34"/>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S7" i="37"/>
  <c r="U7" i="34"/>
  <c r="J6" i="15"/>
  <c r="J5" i="15"/>
  <c r="J18" i="15"/>
  <c r="J8" i="44"/>
  <c r="J7" i="44"/>
  <c r="E48" i="33"/>
  <c r="E52" i="33"/>
  <c r="F52" i="33"/>
  <c r="H12" i="40"/>
  <c r="AB12" i="40"/>
  <c r="AG6" i="1"/>
  <c r="H12" i="39"/>
  <c r="U12" i="39"/>
  <c r="F12" i="39"/>
  <c r="AA12" i="39"/>
  <c r="F31" i="6"/>
  <c r="F12" i="40"/>
  <c r="AA12" i="40"/>
  <c r="J12" i="39"/>
  <c r="AC12" i="39"/>
  <c r="AC6" i="3"/>
  <c r="D12" i="11"/>
  <c r="C12" i="11"/>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20" i="55"/>
  <c r="S7" i="36"/>
  <c r="AA7" i="35"/>
  <c r="R38" i="35"/>
  <c r="R39" i="35"/>
  <c r="C38" i="35"/>
  <c r="W7" i="34"/>
  <c r="AC7" i="34"/>
  <c r="V49" i="34"/>
  <c r="I49" i="34"/>
  <c r="AA7" i="34"/>
  <c r="R49" i="34"/>
  <c r="F7" i="21"/>
  <c r="J7" i="21"/>
  <c r="H7" i="21"/>
  <c r="G52" i="33"/>
  <c r="H52" i="33"/>
  <c r="G53" i="33"/>
  <c r="H53" i="33"/>
  <c r="E67" i="40"/>
  <c r="F65" i="40"/>
  <c r="E72" i="39"/>
  <c r="F70" i="39"/>
  <c r="E39" i="46"/>
  <c r="I53" i="34"/>
  <c r="J53" i="34"/>
  <c r="Q61" i="15"/>
  <c r="Q62" i="15"/>
  <c r="Q53" i="15"/>
  <c r="C48" i="15"/>
  <c r="AB12" i="39"/>
  <c r="C20" i="11"/>
  <c r="C21" i="11"/>
  <c r="C22" i="11"/>
  <c r="C23" i="11"/>
  <c r="B2" i="11"/>
  <c r="AC12" i="40"/>
  <c r="W12" i="40"/>
  <c r="E46" i="37"/>
  <c r="F46" i="37"/>
  <c r="C48" i="33"/>
  <c r="C49" i="33"/>
  <c r="B3" i="33"/>
  <c r="B2" i="33"/>
  <c r="F7" i="67"/>
  <c r="L52" i="44"/>
  <c r="F68" i="71"/>
  <c r="F68" i="15"/>
  <c r="B70" i="63"/>
  <c r="B72" i="63"/>
  <c r="S6" i="46"/>
  <c r="T6" i="46"/>
  <c r="V6" i="46"/>
  <c r="S7" i="46"/>
  <c r="T7" i="46"/>
  <c r="V7" i="46"/>
  <c r="S4" i="46"/>
  <c r="T4" i="46"/>
  <c r="V4" i="46"/>
  <c r="S5" i="46"/>
  <c r="T5" i="46"/>
  <c r="V5" i="46"/>
  <c r="S2" i="46"/>
  <c r="T2" i="46"/>
  <c r="V2" i="46"/>
  <c r="S3" i="46"/>
  <c r="T3" i="46"/>
  <c r="V3" i="46"/>
  <c r="AC7" i="37"/>
  <c r="V42" i="37"/>
  <c r="I42" i="37"/>
  <c r="I46" i="37"/>
  <c r="J46" i="37"/>
  <c r="G43" i="35"/>
  <c r="H43" i="35"/>
  <c r="G54" i="34"/>
  <c r="H54" i="34"/>
  <c r="W7" i="35"/>
  <c r="C34" i="44"/>
  <c r="U7" i="37"/>
  <c r="AB7" i="37"/>
  <c r="T42" i="37"/>
  <c r="G42" i="37"/>
  <c r="G47" i="37"/>
  <c r="H47" i="37"/>
  <c r="S12" i="40"/>
  <c r="S12" i="39"/>
  <c r="E6" i="3"/>
  <c r="Q69" i="44"/>
  <c r="L58" i="44"/>
  <c r="L61" i="44"/>
  <c r="D113" i="46"/>
  <c r="J22" i="46"/>
  <c r="W12" i="39"/>
  <c r="U12" i="40"/>
  <c r="E4" i="67"/>
  <c r="E41" i="36"/>
  <c r="F41" i="36"/>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W7" i="21"/>
  <c r="U7" i="21"/>
  <c r="AB7" i="21"/>
  <c r="S7" i="21"/>
  <c r="AA7" i="21"/>
  <c r="F72" i="39"/>
  <c r="G70" i="39"/>
  <c r="F67" i="40"/>
  <c r="G65" i="40"/>
  <c r="J24" i="15"/>
  <c r="J20" i="44"/>
  <c r="J26" i="44"/>
  <c r="B3" i="11"/>
  <c r="E7" i="67"/>
  <c r="C19" i="44"/>
  <c r="I47" i="37"/>
  <c r="J47" i="37"/>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71"/>
  <c r="F37" i="44"/>
  <c r="M21" i="15"/>
  <c r="M23" i="44"/>
  <c r="F62" i="71"/>
  <c r="C61" i="71"/>
  <c r="J20" i="71"/>
  <c r="C21" i="44"/>
  <c r="C22" i="44"/>
  <c r="C25" i="44"/>
  <c r="J20" i="15"/>
  <c r="C36" i="44"/>
  <c r="F62" i="15"/>
  <c r="C61" i="15"/>
  <c r="J22" i="44"/>
  <c r="R16" i="1"/>
  <c r="D31" i="6"/>
  <c r="I6" i="6"/>
  <c r="R27" i="6"/>
  <c r="C18" i="43"/>
  <c r="K70" i="39"/>
  <c r="J72" i="39"/>
  <c r="K65" i="40"/>
  <c r="J67" i="40"/>
  <c r="C65" i="15"/>
  <c r="C59" i="15"/>
  <c r="C13" i="39"/>
  <c r="C11" i="21"/>
  <c r="C28" i="44"/>
  <c r="C31" i="44"/>
  <c r="C35" i="44"/>
  <c r="I5" i="6"/>
  <c r="J59" i="15"/>
  <c r="J60" i="15"/>
  <c r="Q49" i="15"/>
  <c r="C19" i="43"/>
  <c r="C22" i="43"/>
  <c r="C21" i="43"/>
  <c r="K67" i="40"/>
  <c r="L65" i="40"/>
  <c r="K72" i="39"/>
  <c r="L70" i="39"/>
  <c r="C56" i="71"/>
  <c r="J19" i="71"/>
  <c r="J17" i="71"/>
  <c r="J14" i="71"/>
  <c r="Q50" i="71"/>
  <c r="F11" i="21"/>
  <c r="J11" i="21"/>
  <c r="H11" i="21"/>
  <c r="C33" i="44"/>
  <c r="J21" i="44"/>
  <c r="J19" i="44"/>
  <c r="Q51" i="44"/>
  <c r="C15" i="44"/>
  <c r="C38" i="44"/>
  <c r="J16" i="44"/>
  <c r="J15" i="44"/>
  <c r="J25" i="44"/>
  <c r="J19" i="15"/>
  <c r="J17" i="15"/>
  <c r="J14" i="15"/>
  <c r="J22" i="15"/>
  <c r="C56" i="15"/>
  <c r="C63" i="15"/>
  <c r="Q50" i="15"/>
  <c r="J35" i="15"/>
  <c r="C25" i="43"/>
  <c r="C24" i="43"/>
  <c r="C28" i="43"/>
  <c r="C30" i="43"/>
  <c r="L72" i="39"/>
  <c r="M70" i="39"/>
  <c r="M65" i="40"/>
  <c r="L67" i="40"/>
  <c r="C55" i="71"/>
  <c r="C64" i="71"/>
  <c r="Q71" i="71"/>
  <c r="J35" i="71"/>
  <c r="J13" i="71"/>
  <c r="J23" i="71"/>
  <c r="J22" i="71"/>
  <c r="C60" i="71"/>
  <c r="C58" i="71"/>
  <c r="C63" i="71"/>
  <c r="U13" i="39"/>
  <c r="S13" i="39"/>
  <c r="W13" i="39"/>
  <c r="W11" i="21"/>
  <c r="AC11" i="21"/>
  <c r="V48" i="21"/>
  <c r="I48" i="21"/>
  <c r="U11" i="21"/>
  <c r="AB11" i="21"/>
  <c r="T48" i="21"/>
  <c r="G48" i="21"/>
  <c r="S11" i="21"/>
  <c r="AA11" i="21"/>
  <c r="R48" i="21"/>
  <c r="J24" i="44"/>
  <c r="J18" i="44"/>
  <c r="J27" i="44"/>
  <c r="J28" i="44"/>
  <c r="J31" i="44"/>
  <c r="Q67" i="44"/>
  <c r="Q77" i="44"/>
  <c r="C43" i="44"/>
  <c r="Q72" i="44"/>
  <c r="C39" i="44"/>
  <c r="C32" i="44"/>
  <c r="C42" i="44"/>
  <c r="Q71" i="44"/>
  <c r="C55" i="15"/>
  <c r="C64" i="15"/>
  <c r="J13" i="15"/>
  <c r="J23" i="15"/>
  <c r="J16" i="15"/>
  <c r="J25" i="15"/>
  <c r="J26" i="15"/>
  <c r="J29" i="15"/>
  <c r="Q71" i="15"/>
  <c r="C32" i="43"/>
  <c r="B2" i="43"/>
  <c r="N70" i="39"/>
  <c r="N72" i="39"/>
  <c r="M72" i="39"/>
  <c r="N65" i="40"/>
  <c r="N67" i="40"/>
  <c r="M67" i="40"/>
  <c r="C60" i="15"/>
  <c r="L51" i="71"/>
  <c r="J16" i="71"/>
  <c r="J25" i="71"/>
  <c r="C57" i="71"/>
  <c r="C66" i="71"/>
  <c r="C67" i="71"/>
  <c r="C70" i="71"/>
  <c r="Q68" i="71"/>
  <c r="Q70" i="71"/>
  <c r="Q69" i="71"/>
  <c r="J39" i="71"/>
  <c r="J40" i="71"/>
  <c r="G53" i="21"/>
  <c r="H53" i="21"/>
  <c r="G52" i="21"/>
  <c r="H52" i="21"/>
  <c r="R49" i="21"/>
  <c r="E48" i="21"/>
  <c r="I53" i="21"/>
  <c r="J53" i="21"/>
  <c r="I52" i="21"/>
  <c r="J52" i="21"/>
  <c r="C44" i="44"/>
  <c r="C45" i="44"/>
  <c r="B2" i="44"/>
  <c r="B4" i="44"/>
  <c r="Q70" i="15"/>
  <c r="Q69" i="15"/>
  <c r="C58" i="15"/>
  <c r="C57" i="15"/>
  <c r="C66" i="15"/>
  <c r="C67" i="15"/>
  <c r="C70" i="15"/>
  <c r="Q70" i="44"/>
  <c r="Q49" i="44"/>
  <c r="Q55" i="44"/>
  <c r="Q58" i="44"/>
  <c r="Q64" i="44"/>
  <c r="B3" i="43"/>
  <c r="B5" i="43"/>
  <c r="B4" i="43"/>
  <c r="J9" i="40"/>
  <c r="F9" i="40"/>
  <c r="H9" i="40"/>
  <c r="Q66" i="71"/>
  <c r="Q76" i="71"/>
  <c r="Q48" i="71"/>
  <c r="Q54" i="71"/>
  <c r="Q57" i="71"/>
  <c r="Q63" i="71"/>
  <c r="C43" i="71"/>
  <c r="J42" i="71"/>
  <c r="J43" i="71"/>
  <c r="C46" i="71"/>
  <c r="E52" i="21"/>
  <c r="F52" i="21"/>
  <c r="E53" i="21"/>
  <c r="F53" i="21"/>
  <c r="C49" i="21"/>
  <c r="B3" i="21"/>
  <c r="C48" i="21"/>
  <c r="J39" i="15"/>
  <c r="J40" i="15"/>
  <c r="B5" i="44"/>
  <c r="B3" i="44"/>
  <c r="S9" i="39"/>
  <c r="W9" i="39"/>
  <c r="I49" i="39"/>
  <c r="AA9" i="40"/>
  <c r="R44" i="40"/>
  <c r="S9" i="40"/>
  <c r="U9" i="39"/>
  <c r="G49" i="39"/>
  <c r="AB9" i="40"/>
  <c r="T44" i="40"/>
  <c r="G44" i="40"/>
  <c r="U9" i="40"/>
  <c r="AC9" i="40"/>
  <c r="V44" i="40"/>
  <c r="I44" i="40"/>
  <c r="W9" i="40"/>
  <c r="L51" i="15"/>
  <c r="B3" i="71"/>
  <c r="E8" i="12"/>
  <c r="Q48" i="15"/>
  <c r="Q54" i="15"/>
  <c r="C8" i="12"/>
  <c r="B2" i="21"/>
  <c r="C10" i="12"/>
  <c r="C46" i="15"/>
  <c r="Q66" i="15"/>
  <c r="L57" i="15"/>
  <c r="L60" i="15"/>
  <c r="Q67" i="15"/>
  <c r="Q68" i="15"/>
  <c r="Q57" i="15"/>
  <c r="C43" i="15"/>
  <c r="D8" i="12"/>
  <c r="J42" i="15"/>
  <c r="J43" i="15"/>
  <c r="I48" i="40"/>
  <c r="J48" i="40"/>
  <c r="G48" i="40"/>
  <c r="H48" i="40"/>
  <c r="G49" i="40"/>
  <c r="H49" i="40"/>
  <c r="E44" i="40"/>
  <c r="R45" i="40"/>
  <c r="G53" i="39"/>
  <c r="H53" i="39"/>
  <c r="G54" i="39"/>
  <c r="H54" i="39"/>
  <c r="I53" i="39"/>
  <c r="J53" i="39"/>
  <c r="E49" i="39"/>
  <c r="L46" i="15"/>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4" i="9"/>
  <c r="B3" i="40"/>
  <c r="B4" i="40"/>
  <c r="B5" i="40"/>
  <c r="B3" i="39"/>
  <c r="B4" i="39"/>
  <c r="B5" i="39"/>
  <c r="D20" i="9"/>
  <c r="D21" i="9"/>
  <c r="D22" i="9"/>
  <c r="L43" i="9"/>
  <c r="B3" i="12"/>
  <c r="B4" i="12"/>
  <c r="B5" i="12"/>
  <c r="C45" i="9"/>
  <c r="H14" i="66"/>
  <c r="C21" i="9"/>
  <c r="C20" i="9"/>
  <c r="N43" i="9"/>
  <c r="G22" i="9"/>
  <c r="G20" i="9"/>
  <c r="G21" i="9"/>
  <c r="C42" i="9"/>
  <c r="O38" i="9"/>
  <c r="K25" i="9"/>
  <c r="C33" i="9"/>
  <c r="O43" i="9"/>
  <c r="C35" i="9"/>
  <c r="F42" i="9"/>
  <c r="C44" i="9"/>
  <c r="G14" i="66"/>
  <c r="B6" i="66"/>
  <c r="D14" i="66"/>
  <c r="F14" i="66"/>
  <c r="R5" i="54"/>
  <c r="M38" i="9"/>
  <c r="K27" i="9"/>
  <c r="E42" i="9"/>
  <c r="N68" i="9"/>
  <c r="D63" i="9"/>
  <c r="C111" i="9"/>
  <c r="N38" i="9"/>
  <c r="K28" i="9"/>
  <c r="D42" i="9"/>
  <c r="K26" i="9"/>
  <c r="D45" i="9"/>
  <c r="E45" i="9"/>
  <c r="O40" i="9"/>
  <c r="F45" i="9"/>
  <c r="B14" i="68"/>
  <c r="B15" i="68"/>
  <c r="B13" i="68"/>
  <c r="D13" i="68"/>
  <c r="C15" i="68"/>
  <c r="C13" i="68"/>
  <c r="S22" i="31"/>
  <c r="B48" i="63"/>
  <c r="C96" i="9"/>
  <c r="C91" i="9"/>
  <c r="C103" i="9"/>
  <c r="D71" i="9"/>
  <c r="D66" i="9"/>
  <c r="N72" i="9"/>
  <c r="C90" i="9"/>
  <c r="D77" i="9"/>
  <c r="N75" i="9"/>
  <c r="D70" i="9"/>
  <c r="E14" i="66"/>
  <c r="D6" i="66"/>
  <c r="C6" i="66"/>
  <c r="K31" i="9"/>
  <c r="K32" i="9"/>
  <c r="R7" i="54"/>
  <c r="Q5" i="54"/>
  <c r="P5" i="54"/>
  <c r="N69" i="9"/>
  <c r="O39" i="9"/>
  <c r="K29" i="9"/>
  <c r="D44" i="9"/>
  <c r="E44" i="9"/>
  <c r="F44" i="9"/>
  <c r="C82" i="9"/>
  <c r="C104" i="9"/>
  <c r="D15" i="68"/>
  <c r="D16" i="66"/>
  <c r="H16" i="66"/>
  <c r="D14" i="68"/>
  <c r="D15" i="66"/>
  <c r="H15" i="66"/>
  <c r="B7" i="66"/>
  <c r="C14" i="68"/>
  <c r="B17" i="68"/>
  <c r="B25" i="68"/>
  <c r="C27" i="68"/>
  <c r="B20" i="31"/>
  <c r="R22" i="31"/>
  <c r="B21" i="31"/>
  <c r="B46" i="63"/>
  <c r="B52" i="63"/>
  <c r="B47" i="63"/>
  <c r="C81" i="9"/>
  <c r="C85" i="9"/>
  <c r="C86" i="9"/>
  <c r="D72" i="9"/>
  <c r="M86" i="9"/>
  <c r="N86" i="9"/>
  <c r="M84" i="9"/>
  <c r="N84" i="9"/>
  <c r="M88" i="9"/>
  <c r="N88" i="9"/>
  <c r="M87" i="9"/>
  <c r="N87" i="9"/>
  <c r="M85" i="9"/>
  <c r="N85" i="9"/>
  <c r="M83" i="9"/>
  <c r="N83" i="9"/>
  <c r="K30" i="9"/>
  <c r="R6" i="54"/>
  <c r="B50" i="63"/>
  <c r="C113" i="9"/>
  <c r="C114" i="9"/>
  <c r="E114" i="9"/>
  <c r="E115" i="9"/>
  <c r="C97" i="9"/>
  <c r="C98" i="9"/>
  <c r="E98" i="9"/>
  <c r="E99" i="9"/>
  <c r="C7" i="66"/>
  <c r="D7" i="66"/>
  <c r="E16" i="66"/>
  <c r="F16" i="66"/>
  <c r="E15" i="66"/>
  <c r="F15" i="66"/>
  <c r="B5" i="66"/>
  <c r="D17" i="68"/>
  <c r="C17" i="68"/>
  <c r="C26" i="68"/>
  <c r="D26" i="68"/>
  <c r="D27" i="68"/>
  <c r="N89" i="9"/>
  <c r="C115" i="9"/>
  <c r="D76" i="9"/>
  <c r="D74" i="9"/>
  <c r="N74" i="9"/>
  <c r="C99" i="9"/>
  <c r="C5" i="66"/>
  <c r="D5" i="66"/>
  <c r="O89" i="9"/>
  <c r="N76" i="9"/>
  <c r="O77" i="9"/>
  <c r="O78" i="9"/>
  <c r="Q77" i="9"/>
  <c r="O79" i="9"/>
  <c r="C46" i="9"/>
  <c r="K33" i="9"/>
  <c r="F46" i="9"/>
  <c r="O41" i="9"/>
  <c r="K34" i="9"/>
  <c r="O80" i="9"/>
  <c r="I14" i="66"/>
  <c r="B8" i="66"/>
  <c r="E46" i="9"/>
  <c r="D46" i="9"/>
  <c r="O81"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<sst xmlns="http://schemas.openxmlformats.org/spreadsheetml/2006/main" count="7525" uniqueCount="3182">
  <si>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</si>
  <si>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</si>
  <si>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</si>
  <si>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</si>
  <si>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</si>
  <si>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</si>
  <si>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</si>
  <si>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</si>
  <si>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</si>
  <si>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</si>
  <si>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</si>
  <si>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</si>
  <si>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</si>
  <si>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</si>
  <si>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</si>
  <si>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</si>
  <si>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</si>
  <si>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</si>
  <si>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</si>
  <si>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</si>
  <si>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</si>
  <si>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</si>
  <si>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</si>
  <si>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</si>
  <si>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</si>
  <si>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</si>
  <si>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</si>
  <si>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</si>
  <si>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</si>
  <si>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</si>
  <si>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</si>
  <si>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</si>
  <si>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</si>
  <si>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</si>
  <si>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</si>
  <si>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</si>
  <si>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</si>
  <si>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</si>
  <si>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</si>
  <si>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</si>
  <si>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</si>
  <si>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</si>
  <si>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</si>
  <si>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</si>
  <si>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</si>
  <si>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</si>
  <si>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</si>
  <si>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</si>
  <si>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</si>
  <si>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</si>
  <si>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</si>
  <si>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</si>
  <si>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</si>
  <si>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</si>
  <si>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</si>
  <si>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</si>
  <si>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</si>
  <si>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</si>
  <si>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</si>
  <si>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</si>
  <si>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</si>
  <si>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</si>
  <si>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</si>
  <si>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</si>
  <si>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</si>
  <si>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</si>
  <si>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</si>
  <si>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</si>
  <si>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</si>
  <si>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</si>
  <si>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</si>
  <si>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</si>
  <si>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</si>
  <si>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</si>
  <si>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</si>
  <si>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</si>
  <si>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</si>
  <si>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</si>
  <si>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</si>
  <si>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</si>
  <si>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</si>
  <si>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</si>
  <si>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</si>
  <si>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</si>
  <si>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</si>
  <si>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</si>
  <si>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</si>
  <si>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</si>
  <si>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</si>
  <si>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</si>
  <si>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</si>
  <si>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</si>
  <si>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</si>
  <si>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</si>
  <si>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</si>
  <si>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</si>
  <si>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</si>
  <si>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</si>
  <si>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</si>
  <si>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</si>
  <si>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</si>
  <si>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</si>
  <si>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</si>
  <si>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</si>
  <si>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</si>
  <si>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</si>
  <si>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</si>
  <si>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</si>
  <si>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</si>
  <si>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</si>
  <si>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</si>
  <si>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</si>
  <si>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</si>
  <si>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</si>
  <si>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</si>
  <si>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</si>
  <si>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</si>
  <si>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</si>
  <si>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</si>
  <si>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</si>
  <si>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</si>
  <si>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</si>
  <si>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</si>
  <si>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</si>
  <si>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</si>
  <si>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</si>
  <si>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</si>
  <si>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</si>
  <si>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</si>
  <si>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</si>
  <si>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</si>
  <si>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</si>
  <si>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</si>
  <si>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</si>
  <si>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</si>
  <si>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</si>
  <si>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</si>
  <si>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</si>
  <si>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</si>
  <si>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</si>
  <si>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</si>
  <si>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</si>
  <si>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</si>
  <si>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</si>
  <si>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</si>
  <si>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</si>
  <si>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</si>
  <si>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</si>
  <si>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</si>
  <si>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</si>
  <si>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</si>
  <si>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</si>
  <si>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</si>
  <si>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</si>
  <si>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</si>
  <si>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</si>
  <si>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</si>
  <si>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</si>
  <si>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</si>
  <si>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</si>
  <si>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</si>
  <si>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</si>
  <si>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</si>
  <si>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</si>
  <si>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</si>
  <si>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</si>
  <si>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</si>
  <si>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</si>
  <si>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</si>
  <si>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</si>
  <si>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</si>
  <si>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</si>
  <si>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</si>
  <si>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</si>
  <si>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</si>
  <si>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</si>
  <si>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</si>
  <si>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</si>
  <si>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</si>
  <si>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</si>
  <si>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</si>
  <si>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</si>
  <si>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</si>
  <si>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</si>
  <si>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</si>
  <si>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</si>
  <si>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</si>
  <si>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</si>
  <si>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</si>
  <si>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</si>
  <si>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</si>
  <si>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</si>
  <si>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</si>
  <si>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</si>
  <si>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</si>
  <si>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</si>
  <si>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</si>
  <si>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</si>
  <si>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</si>
  <si>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</si>
  <si>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</si>
  <si>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</si>
  <si>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</si>
  <si>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</si>
  <si>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</si>
  <si>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</si>
  <si>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</si>
  <si>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</si>
  <si>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</si>
  <si>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</si>
  <si>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</si>
  <si>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</si>
  <si>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</si>
  <si>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</si>
  <si>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</si>
  <si>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</si>
  <si>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</si>
  <si>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</si>
  <si>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</si>
  <si>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</si>
  <si>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</si>
  <si>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</si>
  <si>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</si>
  <si>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</si>
  <si>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</si>
  <si>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</si>
  <si>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</si>
  <si>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</si>
  <si>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</si>
  <si>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</si>
  <si>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</si>
  <si>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</si>
  <si>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</si>
  <si>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</si>
  <si>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</si>
  <si>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</si>
  <si>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</si>
  <si>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</si>
  <si>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</si>
  <si>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</si>
  <si>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</si>
  <si>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</si>
  <si>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</si>
  <si>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</si>
  <si>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</si>
  <si>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</si>
  <si>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</si>
  <si>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</si>
  <si>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</si>
  <si>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</si>
  <si>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</si>
  <si>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</si>
  <si>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</si>
  <si>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</si>
  <si>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</si>
  <si>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</si>
  <si>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</si>
  <si>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</si>
  <si>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</si>
  <si>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</si>
  <si>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</si>
  <si>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</si>
  <si>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</si>
  <si>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</si>
  <si>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</si>
  <si>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</si>
  <si>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</si>
  <si>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</si>
  <si>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</si>
  <si>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</si>
  <si>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</si>
  <si>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</si>
  <si>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</si>
  <si>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</si>
  <si>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</si>
  <si>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</si>
  <si>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</si>
  <si>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</si>
  <si>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</si>
  <si>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</si>
  <si>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</si>
  <si>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</si>
  <si>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</si>
  <si>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</si>
  <si>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</si>
  <si>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</si>
  <si>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</si>
  <si>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</si>
  <si>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</si>
  <si>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</si>
  <si>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</si>
  <si>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</si>
  <si>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</si>
  <si>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</si>
  <si>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</si>
  <si>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</si>
  <si>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</si>
  <si>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</si>
  <si>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</si>
  <si>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</si>
  <si>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</si>
  <si>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</si>
  <si>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</si>
  <si>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</si>
  <si>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</si>
  <si>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</si>
  <si>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</si>
  <si>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</si>
  <si>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</si>
  <si>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</si>
  <si>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</si>
  <si>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</si>
  <si>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</si>
  <si>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</si>
  <si>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</si>
  <si>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</si>
  <si>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</si>
  <si>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</si>
  <si>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</si>
  <si>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</si>
  <si>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</si>
  <si>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</si>
  <si>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</si>
  <si>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</si>
  <si>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</si>
  <si>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</si>
  <si>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</si>
  <si>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</si>
  <si>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</si>
  <si>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</si>
  <si>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</si>
  <si>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</si>
  <si>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</si>
  <si>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</si>
  <si>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</si>
  <si>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</si>
  <si>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</si>
  <si>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</si>
  <si>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</si>
  <si>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</si>
  <si>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</si>
  <si>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</si>
  <si>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</si>
  <si>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</si>
  <si>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</si>
  <si>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</si>
  <si>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</si>
  <si>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</si>
  <si>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</si>
  <si>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</si>
  <si>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</si>
  <si>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</si>
  <si>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</si>
  <si>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</si>
  <si>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</si>
  <si>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</si>
  <si>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</si>
  <si>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</si>
  <si>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</si>
  <si>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</si>
  <si>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</si>
  <si>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</si>
  <si>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</si>
  <si>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</si>
  <si>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</si>
  <si>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</si>
  <si>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</si>
  <si>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</si>
  <si>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</si>
  <si>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</si>
  <si>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</si>
  <si>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</si>
  <si>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</si>
  <si>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</si>
  <si>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</si>
  <si>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</si>
  <si>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</si>
  <si>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</si>
  <si>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</si>
  <si>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</si>
  <si>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</si>
  <si>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</si>
  <si>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</si>
  <si>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</si>
  <si>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</si>
  <si>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</si>
  <si>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</si>
  <si>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</si>
  <si>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</si>
  <si>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</si>
  <si>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</si>
  <si>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</si>
  <si>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</si>
  <si>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</si>
  <si>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</si>
  <si>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</si>
  <si>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</si>
  <si>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</si>
  <si>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</si>
  <si>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</si>
  <si>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</si>
  <si>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</si>
  <si>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</si>
  <si>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</si>
  <si>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</si>
  <si>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</si>
  <si>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</si>
  <si>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</si>
  <si>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</si>
  <si>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</si>
  <si>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</si>
  <si>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</si>
  <si>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</si>
  <si>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</si>
  <si>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</si>
  <si>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</si>
  <si>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</si>
  <si>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</si>
  <si>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</si>
  <si>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</si>
  <si>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</si>
  <si>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</si>
  <si>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</si>
  <si>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</si>
  <si>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</si>
  <si>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</si>
  <si>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</si>
  <si>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</si>
  <si>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</si>
  <si>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</si>
  <si>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</si>
  <si>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</si>
  <si>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</si>
  <si>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</si>
  <si>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</si>
  <si>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</si>
  <si>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</si>
  <si>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</si>
  <si>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</si>
  <si>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</si>
  <si>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</si>
  <si>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</si>
  <si>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</si>
  <si>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</si>
  <si>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</si>
  <si>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</si>
  <si>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</si>
  <si>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</si>
  <si>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</si>
  <si>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</si>
  <si>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</si>
  <si>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</si>
  <si>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</si>
  <si>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</si>
  <si>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</si>
  <si>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</si>
  <si>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</si>
  <si>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</si>
  <si>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</si>
  <si>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</si>
  <si>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</si>
  <si>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</si>
  <si>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</si>
  <si>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</si>
  <si>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</si>
  <si>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</si>
  <si>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</si>
  <si>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</si>
  <si>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</si>
  <si>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</si>
  <si>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</si>
  <si>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</si>
  <si>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</si>
  <si>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</si>
  <si>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</si>
  <si>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</si>
  <si>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</si>
  <si>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</si>
  <si>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</si>
  <si>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</si>
  <si>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</si>
  <si>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</si>
  <si>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</si>
  <si>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</si>
  <si>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</si>
  <si>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</si>
  <si>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</si>
  <si>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</si>
  <si>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</si>
  <si>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</si>
  <si>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</si>
  <si>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</si>
  <si>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</si>
  <si>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</si>
  <si>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</si>
  <si>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</si>
  <si>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</si>
  <si>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</si>
  <si>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</si>
  <si>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</si>
  <si>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</si>
  <si>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</si>
  <si>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</si>
  <si>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</si>
  <si>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</si>
  <si>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</si>
  <si>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</si>
  <si>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</si>
  <si>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</si>
  <si>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</si>
  <si>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</si>
  <si>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</si>
  <si>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</si>
  <si>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</si>
  <si>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</si>
  <si>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</si>
  <si>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</si>
  <si>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</si>
  <si>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</si>
  <si>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</si>
  <si>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</si>
  <si>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</si>
  <si>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</si>
  <si>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</si>
  <si>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</si>
  <si>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</si>
  <si>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</si>
  <si>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</si>
  <si>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</si>
  <si>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</si>
  <si>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</si>
  <si>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</si>
  <si>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</si>
  <si>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</si>
  <si>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</si>
  <si>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</si>
  <si>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</si>
  <si>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</si>
  <si>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</si>
  <si>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</si>
  <si>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</si>
  <si>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</si>
  <si>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</si>
  <si>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</si>
  <si>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</si>
  <si>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</si>
  <si>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</si>
  <si>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</si>
  <si>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</si>
  <si>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</si>
  <si>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</si>
  <si>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</si>
  <si>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</si>
  <si>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</si>
  <si>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</si>
  <si>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</si>
  <si>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</si>
  <si>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</si>
  <si>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</si>
  <si>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</si>
  <si>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</si>
  <si>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</si>
  <si>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</si>
  <si>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</si>
  <si>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</si>
  <si>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</si>
  <si>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</si>
  <si>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</si>
  <si>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</si>
  <si>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</si>
  <si>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</si>
  <si>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</si>
  <si>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</si>
  <si>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</si>
  <si>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</si>
  <si>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</si>
  <si>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</si>
  <si>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</si>
  <si>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</si>
  <si>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</si>
  <si>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</si>
  <si>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</si>
  <si>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</si>
  <si>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</si>
  <si>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</si>
  <si>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</si>
  <si>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</si>
  <si>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</si>
  <si>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</si>
  <si>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</si>
  <si>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</si>
  <si>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</si>
  <si>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</si>
  <si>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</si>
  <si>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</si>
  <si>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</si>
  <si>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</si>
  <si>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</si>
  <si>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</si>
  <si>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</si>
  <si>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</si>
  <si>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</si>
  <si>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</si>
  <si>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</si>
  <si>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</si>
  <si>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</si>
  <si>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</si>
  <si>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</si>
  <si>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</si>
  <si>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</si>
  <si>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</si>
  <si>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</si>
  <si>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</si>
  <si>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</si>
  <si>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</si>
  <si>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</si>
  <si>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</si>
  <si>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</si>
  <si>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</si>
  <si>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</si>
  <si>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</si>
  <si>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</si>
  <si>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</si>
  <si>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</si>
  <si>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</si>
  <si>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</si>
  <si>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</si>
  <si>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</si>
  <si>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</si>
  <si>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</si>
  <si>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</si>
  <si>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</si>
  <si>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</si>
  <si>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</si>
  <si>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</si>
  <si>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</si>
  <si>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</si>
  <si>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</si>
  <si>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</si>
  <si>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</si>
  <si>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</si>
  <si>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</si>
  <si>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</si>
  <si>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</si>
  <si>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</si>
  <si>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</si>
  <si>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</si>
  <si>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</si>
  <si>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</si>
  <si>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</si>
  <si>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</si>
  <si>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</si>
  <si>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</si>
  <si>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</si>
  <si>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</si>
  <si>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</si>
  <si>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</si>
  <si>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</si>
  <si>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</si>
  <si>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</si>
  <si>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</si>
  <si>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</si>
  <si>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</si>
  <si>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</si>
  <si>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</si>
  <si>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</si>
  <si>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</si>
  <si>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</si>
  <si>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</si>
  <si>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</si>
  <si>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</si>
  <si>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</si>
  <si>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</si>
  <si>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</si>
  <si>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</si>
  <si>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</si>
  <si>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</si>
  <si>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</si>
  <si>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</si>
  <si>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</si>
  <si>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</si>
  <si>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</si>
  <si>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</si>
  <si>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</si>
  <si>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</si>
  <si>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</si>
  <si>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</si>
  <si>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</si>
  <si>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</si>
  <si>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</si>
  <si>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</si>
  <si>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</si>
  <si>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</si>
  <si>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</si>
  <si>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</si>
  <si>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</si>
  <si>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</si>
  <si>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</si>
  <si>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</si>
  <si>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</si>
  <si>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</si>
  <si>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</si>
  <si>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</si>
  <si>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</si>
  <si>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</si>
  <si>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</si>
  <si>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</si>
  <si>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</si>
  <si>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</si>
  <si>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</si>
  <si>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</si>
  <si>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</si>
  <si>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</si>
  <si>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</si>
  <si>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</si>
  <si>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</si>
  <si>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</si>
  <si>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</si>
  <si>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</si>
  <si>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</si>
  <si>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</si>
  <si>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</si>
  <si>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</si>
  <si>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</si>
  <si>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</si>
  <si>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</si>
  <si>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</si>
  <si>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</si>
  <si>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</si>
  <si>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</si>
  <si>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</si>
  <si>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</si>
  <si>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</si>
  <si>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</si>
  <si>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</si>
  <si>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</si>
  <si>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</si>
  <si>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</si>
  <si>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</si>
  <si>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</si>
  <si>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</si>
  <si>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</si>
  <si>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</si>
  <si>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</si>
  <si>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</si>
  <si>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</si>
  <si>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</si>
  <si>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</si>
  <si>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</si>
  <si>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</si>
  <si>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</si>
  <si>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</si>
  <si>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</si>
  <si>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</si>
  <si>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</si>
  <si>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</si>
  <si>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</si>
  <si>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</si>
  <si>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</si>
  <si>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</si>
  <si>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</si>
  <si>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</si>
  <si>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</si>
  <si>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</si>
  <si>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</si>
  <si>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</si>
  <si>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</si>
  <si>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</si>
  <si>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</si>
  <si>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</si>
  <si>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</si>
  <si>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</si>
  <si>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</si>
  <si>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</si>
  <si>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</si>
  <si>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</si>
  <si>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</si>
  <si>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</si>
  <si>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</si>
  <si>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</si>
  <si>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</si>
  <si>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</si>
  <si>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</si>
  <si>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</si>
  <si>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</si>
  <si>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</si>
  <si>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</si>
  <si>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</si>
  <si>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</si>
  <si>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</si>
  <si>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</si>
  <si>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</si>
  <si>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</si>
  <si>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</si>
  <si>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</si>
  <si>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</si>
  <si>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</si>
  <si>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</si>
  <si>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</si>
  <si>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</si>
  <si>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</si>
  <si>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</si>
  <si>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</si>
  <si>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</si>
  <si>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</si>
  <si>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</si>
  <si>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</si>
  <si>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</si>
  <si>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</si>
  <si>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</si>
  <si>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</si>
  <si>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</si>
  <si>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</si>
  <si>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</si>
  <si>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</si>
  <si>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</si>
  <si>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</si>
  <si>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</si>
  <si>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</si>
  <si>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</si>
  <si>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</si>
  <si>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</si>
  <si>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</si>
  <si>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</si>
  <si>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</si>
  <si>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</si>
  <si>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</si>
  <si>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</si>
  <si>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</si>
  <si>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</si>
  <si>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</si>
  <si>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</si>
  <si>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</si>
  <si>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</si>
  <si>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</si>
  <si>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</si>
  <si>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</si>
  <si>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</si>
  <si>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</si>
  <si>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</si>
  <si>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</si>
  <si>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</si>
  <si>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</si>
  <si>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</si>
  <si>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</si>
  <si>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</si>
  <si>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</si>
  <si>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</si>
  <si>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</si>
  <si>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</si>
  <si>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</si>
  <si>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</si>
  <si>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</si>
  <si>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</si>
  <si>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</si>
  <si>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</si>
  <si>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</si>
  <si>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</si>
  <si>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</si>
  <si>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</si>
  <si>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</si>
  <si>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</si>
  <si>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</si>
  <si>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</si>
  <si>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</si>
  <si>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</si>
  <si>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</si>
  <si>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</si>
  <si>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</si>
  <si>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</si>
  <si>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</si>
  <si>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</si>
  <si>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</si>
  <si>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</si>
  <si>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</si>
  <si>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</si>
  <si>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</si>
  <si>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</si>
  <si>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</si>
  <si>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</si>
  <si>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</si>
  <si>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</si>
  <si>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</si>
  <si>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</si>
  <si>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</si>
  <si>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</si>
  <si>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</si>
  <si>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</si>
  <si>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</si>
  <si>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</si>
  <si>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</si>
  <si>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</si>
  <si>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</si>
  <si>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</si>
  <si>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</si>
  <si>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</si>
  <si>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</si>
  <si>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</si>
  <si>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</si>
  <si>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</si>
  <si>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</si>
  <si>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</si>
  <si>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</si>
  <si>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</si>
  <si>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</si>
  <si>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</si>
  <si>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</si>
  <si>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</si>
  <si>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</si>
  <si>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</si>
  <si>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</si>
  <si>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</si>
  <si>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</si>
  <si>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</si>
  <si>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</si>
  <si>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</si>
  <si>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</si>
  <si>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</si>
  <si>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</si>
  <si>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</si>
  <si>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</si>
  <si>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</si>
  <si>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</si>
  <si>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</si>
  <si>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</si>
  <si>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</si>
  <si>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</si>
  <si>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</si>
  <si>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</si>
  <si>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</si>
  <si>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</si>
  <si>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</si>
  <si>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</si>
  <si>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</si>
  <si>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</si>
  <si>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</si>
  <si>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</si>
  <si>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</si>
  <si>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</si>
  <si>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</si>
  <si>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</si>
  <si>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</si>
  <si>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</si>
  <si>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</si>
  <si>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</si>
  <si>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</si>
  <si>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</si>
  <si>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</si>
  <si>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</si>
  <si>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</si>
  <si>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</si>
  <si>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</si>
  <si>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</si>
  <si>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</si>
  <si>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</si>
  <si>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</si>
  <si>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</si>
  <si>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</si>
  <si>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</si>
  <si>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</si>
  <si>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</si>
  <si>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</si>
  <si>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</si>
  <si>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</si>
  <si>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</si>
  <si>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</si>
  <si>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</si>
  <si>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</si>
  <si>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</si>
  <si>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</si>
  <si>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</si>
  <si>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</si>
  <si>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</si>
  <si>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</si>
  <si>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</si>
  <si>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</si>
  <si>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</si>
  <si>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</si>
  <si>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</si>
  <si>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</si>
  <si>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</si>
  <si>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</si>
  <si>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</si>
  <si>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</si>
  <si>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</si>
  <si>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</si>
  <si>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</si>
  <si>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</si>
  <si>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</si>
  <si>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</si>
  <si>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</si>
  <si>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</si>
  <si>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</si>
  <si>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</si>
  <si>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</si>
  <si>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</si>
  <si>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</si>
  <si>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</si>
  <si>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</si>
  <si>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</si>
  <si>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</si>
  <si>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</si>
  <si>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</si>
  <si>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</si>
  <si>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</si>
  <si>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</si>
  <si>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</si>
  <si>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</si>
  <si>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</si>
  <si>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</si>
  <si>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</si>
  <si>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</si>
  <si>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</si>
  <si>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</si>
  <si>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</si>
  <si>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</si>
  <si>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</si>
  <si>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</si>
  <si>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</si>
  <si>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</si>
  <si>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</si>
  <si>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</si>
  <si>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</si>
  <si>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</si>
  <si>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</si>
  <si>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</si>
  <si>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</si>
  <si>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</si>
  <si>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</si>
  <si>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</si>
  <si>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</si>
  <si>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</si>
  <si>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</si>
  <si>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</si>
  <si>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</si>
  <si>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</si>
  <si>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</si>
  <si>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</si>
  <si>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</si>
  <si>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</si>
  <si>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</si>
  <si>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</si>
  <si>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</si>
  <si>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</si>
  <si>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</si>
  <si>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</si>
  <si>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</si>
  <si>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</si>
  <si>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</si>
  <si>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</si>
  <si>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</si>
  <si>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</si>
  <si>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</si>
  <si>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</si>
  <si>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</si>
  <si>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</si>
  <si>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</si>
  <si>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</si>
  <si>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</si>
  <si>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</si>
  <si>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</si>
  <si>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</si>
  <si>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</si>
  <si>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</si>
  <si>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</si>
  <si>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</si>
  <si>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</si>
  <si>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</si>
  <si>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</si>
  <si>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</si>
  <si>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</si>
  <si>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</si>
  <si>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</si>
  <si>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</si>
  <si>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</si>
  <si>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</si>
  <si>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</si>
  <si>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</si>
  <si>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</si>
  <si>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</si>
  <si>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</si>
  <si>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</si>
  <si>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</si>
  <si>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</si>
  <si>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</si>
  <si>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</si>
  <si>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</si>
  <si>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</si>
  <si>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</si>
  <si>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</si>
  <si>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</si>
  <si>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</si>
  <si>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</si>
  <si>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</si>
  <si>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</si>
  <si>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</si>
  <si>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</si>
  <si>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</si>
  <si>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</si>
  <si>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</si>
  <si>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</si>
  <si>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</si>
  <si>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</si>
  <si>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</si>
  <si>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</si>
  <si>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</si>
  <si>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</si>
  <si>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</si>
  <si>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</si>
  <si>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</si>
  <si>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</si>
  <si>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</si>
  <si>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</si>
  <si>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</si>
  <si>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</si>
  <si>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</si>
  <si>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</si>
  <si>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</si>
  <si>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</si>
  <si>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</si>
  <si>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</si>
  <si>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</si>
  <si>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</si>
  <si>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</si>
  <si>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</si>
  <si>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</si>
  <si>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</si>
  <si>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</si>
  <si>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</si>
  <si>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</si>
  <si>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</si>
  <si>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</si>
  <si>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</si>
  <si>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</si>
  <si>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</si>
  <si>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</si>
  <si>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</si>
  <si>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</si>
  <si>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</si>
  <si>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</si>
  <si>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</si>
  <si>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</si>
  <si>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</si>
  <si>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</si>
  <si>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</si>
  <si>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</si>
  <si>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</si>
  <si>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</si>
  <si>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</si>
  <si>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</si>
  <si>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</si>
  <si>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</si>
  <si>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</si>
  <si>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</si>
  <si>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</si>
  <si>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</si>
  <si>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</si>
  <si>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</si>
  <si>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</si>
  <si>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</si>
  <si>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</si>
  <si>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</si>
  <si>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</si>
  <si>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</si>
  <si>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</si>
  <si>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</si>
  <si>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</si>
  <si>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</si>
  <si>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</si>
  <si>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</si>
  <si>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</si>
  <si>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</si>
  <si>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</si>
  <si>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</si>
  <si>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</si>
  <si>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</si>
  <si>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</si>
  <si>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</si>
  <si>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</si>
  <si>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</si>
  <si>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</si>
  <si>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</si>
  <si>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</si>
  <si>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</si>
  <si>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</si>
  <si>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</si>
  <si>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</si>
  <si>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</si>
  <si>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</si>
  <si>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</si>
  <si>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</si>
  <si>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</si>
  <si>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</si>
  <si>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</si>
  <si>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</si>
  <si>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</si>
  <si>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</si>
  <si>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</si>
  <si>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</si>
  <si>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</si>
  <si>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</si>
  <si>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</si>
  <si>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</si>
  <si>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</si>
  <si>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</si>
  <si>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</si>
  <si>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</si>
  <si>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</si>
  <si>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</si>
  <si>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</si>
  <si>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</si>
  <si>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</si>
  <si>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</si>
  <si>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</si>
  <si>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</si>
  <si>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</si>
  <si>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</si>
  <si>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</si>
  <si>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</si>
  <si>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</si>
  <si>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</si>
  <si>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</si>
  <si>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</si>
  <si>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</si>
  <si>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</si>
  <si>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</si>
  <si>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</si>
  <si>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</si>
  <si>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</si>
  <si>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</si>
  <si>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</si>
  <si>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</si>
  <si>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</si>
  <si>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</si>
  <si>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</si>
  <si>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</si>
  <si>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</si>
  <si>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</si>
  <si>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</si>
  <si>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</si>
  <si>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</si>
  <si>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</si>
  <si>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</si>
  <si>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</si>
  <si>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</si>
  <si>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</si>
  <si>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</si>
  <si>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</si>
  <si>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</si>
  <si>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</si>
  <si>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</si>
  <si>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</si>
  <si>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</si>
  <si>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</si>
  <si>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</si>
  <si>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</si>
  <si>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</si>
  <si>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</si>
  <si>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</si>
  <si>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</si>
  <si>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</si>
  <si>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</si>
  <si>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</si>
  <si>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</si>
  <si>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</si>
  <si>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</si>
  <si>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</si>
  <si>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</si>
  <si>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</si>
  <si>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</si>
  <si>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</si>
  <si>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</si>
  <si>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</si>
  <si>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</si>
  <si>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</si>
  <si>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</si>
  <si>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</si>
  <si>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</si>
  <si>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</si>
  <si>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</si>
  <si>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</si>
  <si>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</si>
  <si>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</si>
  <si>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</si>
  <si>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</si>
  <si>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</si>
  <si>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</si>
  <si>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</si>
  <si>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</si>
  <si>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</si>
  <si>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</si>
  <si>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</si>
  <si>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</si>
  <si>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</si>
  <si>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</si>
  <si>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</si>
  <si>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</si>
  <si>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</si>
  <si>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</si>
  <si>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</si>
  <si>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</si>
  <si>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</si>
  <si>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</si>
  <si>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</si>
  <si>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</si>
  <si>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</si>
  <si>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</si>
  <si>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</si>
  <si>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</si>
  <si>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</si>
  <si>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</si>
  <si>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</si>
  <si>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</si>
  <si>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</si>
  <si>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</si>
  <si>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</si>
  <si>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</si>
  <si>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</si>
  <si>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</si>
  <si>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</si>
  <si>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</si>
  <si>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</si>
  <si>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</si>
  <si>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</si>
  <si>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</si>
  <si>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</si>
  <si>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</si>
  <si>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</si>
  <si>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</si>
  <si>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</si>
  <si>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</si>
  <si>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</si>
  <si>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</si>
  <si>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</si>
  <si>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</si>
  <si>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</si>
  <si>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</si>
  <si>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</si>
  <si>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</si>
  <si>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</si>
  <si>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</si>
  <si>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</si>
  <si>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</si>
  <si>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</si>
  <si>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</si>
  <si>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</si>
  <si>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</si>
  <si>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</si>
  <si>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</si>
  <si>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</si>
  <si>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</si>
  <si>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</si>
  <si>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</si>
  <si>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</si>
  <si>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</si>
  <si>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</si>
  <si>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</si>
  <si>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</si>
  <si>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</si>
  <si>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</si>
  <si>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</si>
  <si>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</si>
  <si>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</si>
  <si>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</si>
  <si>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</si>
  <si>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</si>
  <si>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</si>
  <si>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</si>
  <si>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</si>
  <si>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</si>
  <si>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</si>
  <si>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</si>
  <si>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</si>
  <si>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</si>
  <si>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</si>
  <si>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</si>
  <si>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</si>
  <si>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</si>
  <si>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</si>
  <si>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</si>
  <si>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</si>
  <si>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</si>
  <si>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</si>
  <si>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</si>
  <si>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</si>
  <si>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</si>
  <si>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</si>
  <si>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</si>
  <si>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</si>
  <si>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</si>
  <si>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</si>
  <si>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</si>
  <si>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</si>
  <si>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</si>
  <si>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</si>
  <si>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</si>
  <si>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</si>
  <si>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</si>
  <si>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</si>
  <si>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</si>
  <si>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</si>
  <si>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</si>
  <si>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</si>
  <si>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</si>
  <si>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</si>
  <si>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</si>
  <si>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</si>
  <si>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</si>
  <si>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</si>
  <si>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</si>
  <si>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</si>
  <si>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</si>
  <si>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</si>
  <si>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</si>
  <si>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</si>
  <si>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</si>
  <si>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</si>
  <si>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</si>
  <si>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</si>
  <si>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</si>
  <si>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</si>
  <si>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</si>
  <si>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</si>
  <si>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</si>
  <si>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</si>
  <si>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</si>
  <si>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</si>
  <si>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</si>
  <si>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</si>
  <si>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</si>
  <si>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</si>
  <si>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</si>
  <si>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</si>
  <si>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</si>
  <si>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</si>
  <si>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</si>
  <si>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</si>
  <si>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</si>
  <si>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</si>
  <si>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</si>
  <si>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</si>
  <si>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</si>
  <si>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</si>
  <si>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</si>
  <si>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</si>
  <si>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</si>
  <si>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</si>
  <si>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</si>
  <si>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</si>
  <si>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</si>
  <si>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</si>
  <si>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</si>
  <si>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</si>
  <si>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</si>
  <si>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</si>
  <si>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</si>
  <si>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</si>
  <si>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</si>
  <si>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</si>
  <si>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</si>
  <si>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</si>
  <si>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</si>
  <si>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</si>
  <si>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</si>
  <si>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</si>
  <si>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</si>
  <si>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</si>
  <si>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</si>
  <si>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</si>
  <si>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</si>
  <si>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</si>
  <si>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</si>
  <si>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</si>
  <si>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</si>
  <si>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</si>
  <si>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</si>
  <si>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</si>
  <si>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</si>
  <si>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</si>
  <si>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</si>
  <si>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</si>
  <si>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</si>
  <si>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</si>
  <si>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</si>
  <si>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</si>
  <si>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</si>
  <si>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</si>
  <si>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</si>
  <si>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</si>
  <si>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</si>
  <si>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</si>
  <si>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</si>
  <si>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</si>
  <si>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</si>
  <si>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</si>
  <si>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</si>
  <si>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</si>
  <si>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</si>
  <si>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</si>
  <si>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</si>
  <si>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</si>
  <si>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</si>
  <si>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</si>
  <si>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</si>
  <si>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</si>
  <si>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</si>
  <si>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</si>
  <si>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</si>
  <si>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</si>
  <si>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</si>
  <si>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</si>
  <si>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</si>
  <si>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</si>
  <si>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</si>
  <si>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</si>
  <si>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</si>
  <si>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</si>
  <si>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</si>
  <si>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</si>
  <si>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</si>
  <si>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</si>
  <si>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</si>
  <si>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</si>
  <si>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</si>
  <si>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</si>
  <si>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</si>
  <si>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</si>
  <si>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</si>
  <si>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</si>
  <si>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</si>
  <si>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</si>
  <si>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</si>
  <si>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</si>
  <si>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</si>
  <si>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</si>
  <si>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</si>
  <si>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</si>
  <si>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</si>
  <si>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</si>
  <si>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</si>
  <si>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</si>
  <si>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</si>
  <si>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</si>
  <si>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</si>
  <si>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</si>
  <si>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</si>
  <si>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</si>
  <si>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</si>
  <si>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</si>
  <si>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</si>
  <si>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</si>
  <si>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</si>
  <si>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</si>
  <si>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</si>
  <si>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</si>
  <si>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</si>
  <si>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</si>
  <si>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</si>
  <si>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</si>
  <si>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</si>
  <si>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</si>
  <si>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</si>
  <si>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</si>
  <si>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</si>
  <si>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</si>
  <si>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</si>
  <si>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</si>
  <si>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</si>
  <si>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</si>
  <si>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</si>
  <si>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</si>
  <si>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</si>
  <si>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</si>
  <si>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</si>
  <si>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</si>
  <si>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</si>
  <si>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</si>
  <si>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</si>
  <si>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</si>
  <si>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</si>
  <si>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</si>
  <si>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</si>
  <si>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</si>
  <si>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</si>
  <si>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</si>
  <si>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</si>
  <si>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</si>
  <si>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</si>
  <si>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</si>
  <si>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</si>
  <si>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</si>
  <si>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</si>
  <si>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</si>
  <si>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</si>
  <si>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</si>
  <si>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</si>
  <si>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</si>
  <si>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</si>
  <si>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</si>
  <si>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</si>
  <si>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</si>
  <si>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</si>
  <si>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</si>
  <si>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</si>
  <si>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</si>
  <si>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</si>
  <si>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</si>
  <si>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</si>
  <si>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</si>
  <si>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</si>
  <si>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</si>
  <si>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</si>
  <si>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</si>
  <si>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</si>
  <si>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</si>
  <si>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</si>
  <si>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</si>
  <si>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</si>
  <si>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</si>
  <si>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</si>
  <si>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</si>
  <si>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</si>
  <si>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</si>
  <si>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</si>
  <si>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</si>
  <si>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</si>
  <si>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</si>
  <si>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</si>
  <si>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</si>
  <si>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</si>
  <si>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</si>
  <si>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</si>
  <si>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</si>
  <si>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</si>
  <si>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</si>
  <si>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</si>
  <si>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</si>
  <si>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</si>
  <si>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</si>
  <si>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</si>
  <si>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</si>
  <si>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</si>
  <si>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</si>
  <si>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</si>
  <si>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</si>
  <si>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</si>
  <si>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</si>
  <si>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</si>
  <si>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</si>
  <si>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</si>
  <si>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</si>
  <si>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</si>
  <si>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</si>
  <si>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</si>
  <si>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</si>
  <si>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</si>
  <si>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</si>
  <si>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</si>
  <si>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</si>
  <si>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</si>
  <si>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</si>
  <si>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</si>
  <si>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</si>
  <si>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</si>
  <si>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</si>
  <si>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</si>
  <si>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</si>
  <si>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</si>
  <si>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</si>
  <si>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</si>
  <si>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</si>
  <si>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</si>
  <si>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</si>
  <si>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</si>
  <si>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</si>
  <si>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</si>
  <si>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</si>
  <si>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</si>
  <si>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</si>
  <si>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</si>
  <si>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</si>
  <si>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</si>
  <si>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</si>
  <si>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</si>
  <si>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</si>
  <si>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</si>
  <si>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</si>
  <si>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</si>
  <si>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</si>
  <si>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</si>
  <si>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</si>
  <si>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</si>
  <si>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</si>
  <si>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</si>
  <si>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</si>
  <si>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</si>
  <si>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</si>
  <si>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</si>
  <si>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</si>
  <si>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</si>
  <si>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</si>
  <si>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</si>
  <si>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</si>
  <si>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</si>
  <si>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</si>
  <si>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</si>
  <si>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</si>
  <si>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</si>
  <si>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</si>
  <si>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</si>
  <si>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</si>
  <si>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</si>
  <si>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</si>
  <si>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</si>
  <si>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</si>
  <si>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</si>
  <si>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</si>
  <si>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</si>
  <si>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</si>
  <si>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</si>
  <si>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</si>
  <si>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</si>
  <si>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</si>
  <si>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</si>
  <si>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</si>
  <si>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</si>
  <si>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</si>
  <si>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</si>
  <si>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</si>
  <si>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</si>
  <si>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</si>
  <si>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</si>
  <si>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</si>
  <si>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</si>
  <si>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</si>
  <si>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</si>
  <si>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</si>
  <si>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</si>
  <si>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</si>
  <si>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</si>
  <si>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</si>
  <si>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</si>
  <si>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</si>
  <si>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</si>
  <si>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</si>
  <si>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</si>
  <si>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</si>
  <si>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</si>
  <si>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</si>
  <si>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</si>
  <si>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</si>
  <si>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</si>
  <si>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</si>
  <si>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</si>
  <si>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</si>
  <si>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</si>
  <si>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</si>
  <si>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</si>
  <si>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</si>
  <si>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</si>
  <si>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</si>
  <si>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</si>
  <si>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</si>
  <si>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</si>
  <si>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</si>
  <si>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</si>
  <si>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</si>
  <si>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</si>
  <si>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</si>
  <si>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</si>
  <si>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</si>
  <si>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</si>
  <si>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</si>
  <si>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</si>
  <si>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</si>
  <si>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</si>
  <si>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</si>
  <si>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</si>
  <si>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</si>
  <si>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</si>
  <si>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</si>
  <si>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</si>
  <si>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</si>
  <si>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</si>
  <si>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</si>
  <si>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</si>
  <si>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</si>
  <si>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</si>
  <si>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</si>
  <si>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</si>
  <si>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</si>
  <si>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</si>
  <si>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</si>
  <si>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</si>
  <si>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</si>
  <si>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</si>
  <si>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</si>
  <si>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</si>
  <si>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</si>
  <si>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</si>
  <si>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</si>
  <si>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</si>
  <si>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</si>
  <si>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</si>
  <si>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</si>
  <si>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</si>
  <si>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</si>
  <si>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</si>
  <si>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</si>
  <si>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</si>
  <si>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</si>
  <si>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</si>
  <si>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</si>
  <si>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</si>
  <si>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</si>
  <si>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</si>
  <si>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</si>
  <si>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</si>
  <si>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</si>
  <si>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</si>
  <si>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</si>
  <si>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</si>
  <si>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</si>
  <si>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</si>
  <si>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</si>
  <si>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</si>
  <si>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</si>
  <si>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</si>
  <si>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</si>
  <si>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</si>
  <si>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</si>
  <si>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</si>
  <si>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</si>
  <si>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</si>
  <si>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</si>
  <si>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</si>
  <si>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</si>
  <si>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</si>
  <si>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</si>
  <si>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</si>
  <si>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</si>
  <si>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</si>
  <si>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</si>
  <si>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</si>
  <si>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</si>
  <si>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</si>
  <si>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</si>
  <si>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</si>
  <si>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</si>
  <si>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</si>
  <si>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</si>
  <si>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</si>
  <si>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</si>
  <si>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</si>
  <si>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</si>
  <si>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</si>
  <si>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</si>
  <si>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</si>
  <si>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</si>
  <si>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</si>
  <si>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</si>
  <si>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</si>
  <si>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</si>
  <si>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</si>
  <si>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</si>
  <si>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</si>
  <si>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</si>
  <si>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</si>
  <si>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</si>
  <si>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</si>
  <si>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</si>
  <si>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</si>
  <si>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</si>
  <si>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</si>
  <si>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</si>
  <si>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</si>
  <si>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</si>
  <si>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</si>
  <si>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</si>
  <si>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</si>
  <si>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</si>
  <si>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</si>
  <si>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</si>
  <si>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</si>
  <si>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</si>
  <si>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</si>
  <si>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</si>
  <si>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</si>
  <si>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</si>
  <si>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</si>
  <si>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</si>
  <si>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</si>
  <si>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</si>
  <si>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</si>
  <si>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</si>
  <si>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</si>
  <si>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</si>
  <si>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</si>
  <si>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</si>
  <si>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</si>
  <si>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</si>
  <si>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</si>
  <si>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</si>
  <si>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</si>
  <si>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</si>
  <si>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</si>
  <si>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</si>
  <si>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</si>
  <si>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</si>
  <si>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</si>
  <si>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</si>
  <si>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</si>
  <si>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</si>
  <si>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</si>
  <si>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</si>
  <si>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</si>
  <si>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</si>
  <si>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</si>
  <si>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</si>
  <si>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</si>
  <si>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</si>
  <si>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</si>
  <si>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</si>
  <si>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</si>
  <si>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</si>
  <si>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</si>
  <si>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</si>
  <si>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</si>
  <si>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</si>
  <si>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</si>
  <si>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</si>
  <si>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</si>
  <si>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</si>
  <si>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</si>
  <si>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</si>
  <si>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</si>
  <si>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</si>
  <si>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</si>
  <si>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</si>
  <si>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</si>
  <si>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</si>
  <si>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</si>
  <si>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</si>
  <si>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</si>
  <si>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</si>
  <si>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</si>
  <si>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</si>
  <si>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</si>
  <si>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</si>
  <si>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</si>
  <si>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</si>
  <si>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</si>
  <si>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</si>
  <si>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</si>
  <si>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</si>
  <si>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</si>
  <si>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</si>
  <si>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</si>
  <si>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</si>
  <si>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</si>
  <si>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</si>
  <si>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</si>
  <si>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</si>
  <si>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</si>
  <si>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</si>
  <si>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</si>
  <si>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</si>
  <si>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</si>
  <si>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</si>
  <si>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</si>
  <si>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</si>
  <si>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</si>
  <si>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</si>
  <si>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</si>
  <si>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</si>
  <si>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</si>
  <si>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</si>
  <si>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</si>
  <si>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</si>
  <si>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</si>
  <si>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</si>
  <si>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</si>
  <si>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</si>
  <si>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</si>
  <si>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</si>
  <si>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</si>
  <si>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</si>
  <si>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</si>
  <si>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</si>
  <si>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</si>
  <si>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</si>
  <si>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</si>
  <si>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</si>
  <si>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</si>
  <si>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</si>
  <si>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</si>
  <si>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</si>
  <si>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</si>
  <si>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</si>
  <si>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</si>
  <si>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</si>
  <si>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</si>
  <si>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</si>
  <si>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</si>
  <si>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</si>
  <si>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</si>
  <si>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</si>
  <si>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</si>
  <si>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</si>
  <si>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</si>
  <si>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</si>
  <si>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</si>
  <si>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</si>
  <si>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</si>
  <si>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</si>
  <si>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</si>
  <si>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</si>
  <si>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</si>
  <si>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</si>
  <si>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</si>
  <si>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</si>
  <si>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</si>
  <si>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</si>
  <si>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</si>
  <si>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</si>
  <si>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</si>
  <si>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</si>
  <si>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</si>
  <si>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</si>
  <si>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</si>
  <si>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</si>
  <si>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</si>
  <si>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</si>
  <si>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</si>
  <si>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</si>
  <si>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</si>
  <si>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</si>
  <si>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</si>
  <si>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</si>
  <si>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</si>
  <si>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</si>
  <si>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</si>
  <si>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</si>
  <si>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</si>
  <si>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</si>
  <si>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</si>
  <si>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</si>
  <si>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</si>
  <si>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</si>
  <si>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</si>
  <si>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</si>
  <si>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</si>
  <si>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</si>
  <si>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</si>
  <si>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</si>
  <si>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</si>
  <si>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</si>
  <si>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</si>
  <si>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</si>
  <si>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</si>
  <si>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</si>
  <si>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</si>
  <si>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</si>
  <si>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</si>
  <si>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</si>
  <si>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</si>
  <si>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</si>
  <si>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</si>
  <si>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</si>
  <si>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</si>
  <si>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</si>
  <si>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</si>
  <si>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</si>
  <si>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</si>
  <si>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</si>
  <si>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</si>
  <si>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</si>
  <si>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</si>
  <si>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</si>
  <si>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</si>
  <si>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</si>
  <si>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</si>
  <si>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</si>
  <si>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</si>
  <si>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</si>
  <si>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</si>
  <si>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</si>
  <si>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</si>
  <si>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</si>
  <si>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</si>
  <si>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</si>
  <si>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</si>
  <si>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</si>
  <si>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</si>
  <si>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</si>
  <si>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</si>
  <si>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</si>
  <si>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</si>
  <si>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</si>
  <si>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</si>
  <si>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</si>
  <si>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</si>
  <si>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</si>
  <si>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</si>
  <si>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</si>
  <si>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</si>
  <si>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</si>
  <si>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</si>
  <si>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</si>
  <si>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</si>
  <si>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</si>
  <si>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</si>
  <si>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</si>
  <si>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</si>
  <si>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</si>
  <si>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</si>
  <si>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</si>
  <si>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</si>
  <si>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</si>
  <si>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</si>
  <si>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</si>
  <si>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</si>
  <si>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</si>
  <si>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</si>
  <si>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</si>
  <si>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</si>
  <si>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</si>
  <si>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</si>
  <si>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</si>
  <si>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</si>
  <si>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</si>
  <si>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</si>
  <si>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</si>
  <si>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</si>
  <si>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</si>
  <si>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</si>
  <si>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</si>
  <si>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</si>
  <si>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</si>
  <si>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</si>
  <si>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</si>
  <si>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</si>
  <si>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</si>
  <si>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</si>
  <si>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</si>
  <si>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</si>
  <si>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</si>
  <si>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</si>
  <si>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</si>
  <si>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</si>
  <si>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</si>
  <si>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</si>
  <si>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</si>
  <si>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</si>
  <si>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</si>
  <si>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</si>
  <si>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</si>
  <si>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</si>
  <si>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</si>
  <si>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</si>
  <si>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</si>
  <si>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</si>
  <si>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</si>
  <si>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</si>
  <si>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</si>
  <si>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</si>
  <si>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</si>
  <si>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</si>
  <si>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</si>
  <si>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</si>
  <si>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</si>
  <si>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</si>
  <si>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</si>
  <si>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</si>
  <si>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</si>
  <si>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</si>
  <si>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</si>
  <si>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</si>
  <si>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</si>
  <si>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</si>
  <si>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</si>
  <si>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</si>
  <si>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</si>
  <si>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</si>
  <si>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</si>
  <si>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</si>
  <si>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</si>
  <si>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</si>
  <si>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</si>
  <si>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</si>
  <si>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</si>
  <si>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</si>
  <si>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</si>
  <si>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</si>
  <si>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</si>
  <si>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</si>
  <si>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</si>
  <si>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</si>
  <si>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</si>
  <si>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</si>
  <si>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</si>
  <si>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</si>
  <si>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</si>
  <si>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</si>
  <si>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</si>
  <si>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</si>
  <si>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</si>
  <si>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</si>
  <si>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</si>
  <si>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</si>
  <si>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</si>
  <si>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</si>
  <si>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</si>
  <si>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</si>
  <si>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</si>
  <si>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</si>
  <si>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</si>
  <si>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</si>
  <si>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</si>
  <si>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</si>
  <si>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</si>
  <si>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</si>
  <si>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</si>
  <si>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</si>
  <si>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</si>
  <si>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</si>
  <si>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</si>
  <si>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</si>
  <si>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</si>
  <si>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</si>
  <si>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</si>
  <si>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</si>
  <si>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</si>
  <si>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</si>
  <si>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</si>
  <si>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</si>
  <si>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</si>
  <si>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</si>
  <si>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</si>
  <si>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</si>
  <si>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</si>
  <si>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</si>
  <si>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</si>
  <si>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</si>
  <si>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</si>
  <si>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</si>
  <si>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</si>
  <si>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</si>
  <si>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</si>
  <si>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</si>
  <si>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</si>
  <si>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</si>
  <si>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</si>
  <si>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</si>
  <si>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</si>
  <si>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</si>
  <si>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</si>
  <si>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</si>
  <si>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</si>
  <si>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</si>
  <si>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</si>
  <si>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</si>
  <si>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</si>
  <si>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</si>
  <si>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</si>
  <si>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</si>
  <si>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</si>
  <si>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</si>
  <si>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</si>
  <si>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</si>
  <si>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</si>
  <si>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</si>
  <si>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</si>
  <si>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</si>
  <si>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</si>
  <si>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</si>
  <si>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</si>
  <si>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</si>
  <si>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</si>
  <si>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</si>
  <si>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</si>
  <si>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</si>
  <si>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</si>
  <si>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</si>
  <si>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</si>
  <si>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</si>
  <si>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</si>
  <si>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</si>
  <si>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</si>
  <si>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</si>
  <si>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</si>
  <si>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</si>
  <si>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</si>
  <si>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</si>
  <si>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</si>
  <si>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</si>
  <si>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</si>
  <si>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</si>
  <si>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</si>
  <si>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</si>
  <si>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</si>
  <si>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</si>
  <si>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</si>
  <si>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</si>
  <si>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</si>
  <si>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</si>
  <si>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</si>
  <si>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</si>
  <si>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</si>
  <si>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</si>
  <si>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</si>
  <si>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</si>
  <si>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</si>
  <si>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</si>
  <si>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</si>
  <si>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</si>
  <si>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</si>
  <si>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</si>
  <si>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</si>
  <si>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</si>
  <si>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</si>
  <si>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</si>
  <si>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</si>
  <si>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</si>
  <si>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</si>
  <si>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</si>
  <si>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</si>
  <si>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</si>
  <si>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</si>
  <si>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</si>
  <si>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</si>
  <si>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</si>
  <si>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</si>
  <si>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</si>
  <si>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</si>
  <si>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</si>
  <si>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</si>
  <si>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</si>
  <si>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</si>
  <si>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</si>
  <si>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</si>
  <si>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</si>
  <si>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</si>
  <si>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</si>
  <si>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</si>
  <si>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</si>
  <si>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</si>
  <si>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</si>
  <si>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</si>
  <si>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</si>
  <si>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</si>
  <si>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</si>
  <si>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</si>
  <si>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</si>
  <si>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</si>
  <si>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</si>
  <si>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</si>
  <si>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</si>
  <si>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</si>
  <si>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</si>
  <si>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</si>
  <si>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</si>
  <si>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</si>
  <si>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</si>
  <si>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</si>
  <si>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</si>
  <si>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</si>
  <si>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</si>
  <si>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</si>
  <si>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</si>
  <si>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</si>
  <si>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</si>
  <si>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</si>
  <si>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</si>
  <si>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</si>
  <si>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</si>
  <si>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</si>
  <si>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</si>
  <si>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</si>
  <si>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</si>
  <si>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</si>
  <si>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</si>
  <si>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</si>
  <si>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</si>
  <si>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</si>
  <si>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</si>
  <si>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</si>
  <si>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</si>
  <si>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</si>
  <si>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</si>
  <si>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</si>
  <si>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</si>
  <si>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</si>
  <si>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</si>
  <si>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</si>
  <si>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</si>
  <si>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</si>
  <si>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</si>
  <si>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</si>
  <si>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</si>
  <si>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</si>
  <si>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</si>
  <si>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</si>
  <si>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</si>
  <si>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</si>
  <si>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</si>
  <si>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</si>
  <si>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</si>
  <si>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</si>
  <si>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</si>
  <si>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</si>
  <si>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</si>
  <si>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</si>
  <si>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</si>
  <si>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</si>
  <si>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</si>
  <si>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</si>
  <si>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</si>
  <si>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</si>
  <si>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</si>
  <si>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</si>
  <si>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</si>
  <si>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</si>
  <si>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</si>
  <si>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</si>
  <si>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</si>
  <si>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</si>
  <si>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</si>
  <si>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</si>
  <si>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</si>
  <si>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</si>
  <si>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</si>
  <si>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</si>
  <si>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</si>
  <si>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</si>
  <si>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</si>
  <si>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</si>
  <si>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</si>
  <si>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</si>
  <si>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</si>
  <si>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</si>
  <si>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</si>
  <si>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</si>
  <si>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</si>
  <si>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</si>
  <si>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</si>
  <si>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</si>
  <si>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</si>
  <si>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</si>
  <si>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</si>
  <si>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</si>
  <si>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</si>
  <si>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</si>
  <si>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</si>
  <si>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</si>
  <si>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</si>
  <si>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</si>
  <si>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</si>
  <si>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</si>
  <si>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</si>
  <si>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</si>
  <si>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</si>
  <si>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</si>
  <si>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</si>
  <si>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</si>
  <si>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</si>
  <si>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</si>
  <si>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</si>
  <si>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</si>
  <si>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</si>
  <si>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</si>
  <si>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</si>
  <si>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</si>
  <si>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</si>
  <si>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</si>
  <si>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</si>
  <si>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</si>
  <si>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</si>
  <si>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</si>
  <si>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</si>
  <si>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</si>
  <si>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</si>
  <si>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</si>
  <si>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</si>
  <si>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</si>
  <si>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</si>
  <si>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</si>
  <si>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</si>
  <si>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</si>
  <si>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</si>
  <si>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</si>
  <si>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</si>
  <si>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</si>
  <si>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</si>
  <si>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</si>
  <si>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</si>
  <si>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</si>
  <si>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</si>
  <si>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</si>
  <si>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</si>
  <si>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</si>
  <si>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</si>
  <si>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</si>
  <si>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</si>
  <si>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</si>
  <si>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</si>
  <si>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</si>
  <si>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</si>
  <si>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</si>
  <si>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</si>
  <si>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</si>
  <si>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</si>
  <si>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</si>
  <si>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</si>
  <si>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</si>
  <si>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</si>
  <si>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</si>
  <si>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</si>
  <si>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</si>
  <si>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</si>
  <si>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</si>
  <si>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</si>
  <si>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</si>
  <si>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</si>
  <si>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</si>
  <si>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</si>
  <si>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</si>
  <si>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</si>
  <si>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</si>
  <si>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</si>
  <si>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</si>
  <si>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</si>
  <si>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</si>
  <si>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</si>
  <si>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</si>
  <si>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</si>
  <si>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</si>
  <si>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</si>
  <si>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</si>
  <si>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</si>
  <si>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</si>
  <si>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</si>
  <si>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</si>
  <si>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</si>
  <si>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</si>
  <si>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</si>
  <si>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</si>
  <si>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</si>
  <si>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</si>
  <si>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</si>
  <si>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</si>
  <si>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</si>
  <si>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</si>
  <si>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</si>
  <si>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</si>
  <si>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</si>
  <si>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</si>
  <si>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</si>
  <si>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</si>
  <si>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</si>
  <si>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</si>
  <si>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</si>
  <si>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</si>
  <si>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</si>
  <si>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</si>
  <si>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</si>
  <si>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</si>
  <si>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</si>
  <si>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</si>
  <si>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</si>
  <si>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</si>
  <si>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</si>
  <si>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</si>
  <si>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</si>
  <si>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</si>
  <si>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</si>
  <si>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</si>
  <si>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</si>
  <si>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</si>
  <si>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</si>
  <si>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</si>
  <si>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</si>
  <si>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</si>
  <si>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</si>
  <si>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</si>
  <si>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</si>
  <si>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</si>
  <si>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</si>
  <si>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</si>
  <si>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</si>
  <si>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</si>
  <si>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</si>
  <si>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</si>
  <si>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</si>
  <si>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</si>
  <si>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</si>
  <si>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</si>
  <si>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</si>
  <si>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</si>
  <si>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</si>
  <si>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</si>
  <si>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</si>
  <si>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</si>
  <si>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</si>
  <si>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</si>
  <si>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</si>
  <si>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</si>
  <si>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</si>
  <si>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</si>
  <si>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</si>
  <si>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</si>
  <si>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</si>
  <si>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</si>
  <si>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</si>
  <si>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</si>
  <si>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</si>
  <si>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</si>
  <si>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</si>
  <si>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</si>
  <si>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</si>
  <si>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</si>
  <si>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</si>
  <si>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</si>
  <si>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</si>
  <si>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</si>
  <si>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</si>
  <si>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</si>
  <si>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</si>
  <si>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</si>
  <si>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</si>
  <si>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</si>
  <si>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</si>
  <si>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</si>
  <si>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</si>
  <si>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</si>
  <si>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</si>
  <si>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</si>
  <si>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</si>
  <si>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</si>
  <si>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</si>
  <si>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</si>
  <si>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</si>
  <si>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</si>
  <si>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</si>
  <si>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</si>
  <si>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</si>
  <si>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</si>
  <si>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</si>
  <si>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</si>
  <si>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</si>
  <si>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</si>
  <si>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</si>
  <si>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</si>
  <si>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</si>
  <si>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</si>
  <si>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</si>
  <si>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</si>
  <si>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</si>
  <si>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</si>
  <si>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</si>
  <si>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</si>
  <si>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</si>
  <si>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</si>
  <si>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</si>
  <si>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</si>
  <si>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</si>
  <si>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</si>
  <si>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</si>
  <si>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</si>
  <si>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</si>
  <si>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</si>
  <si>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</si>
  <si>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</si>
  <si>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</si>
  <si>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</si>
  <si>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</si>
  <si>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</si>
  <si>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</si>
  <si>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</si>
  <si>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</si>
  <si>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</si>
  <si>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</si>
  <si>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</si>
  <si>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</si>
  <si>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</si>
  <si>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</si>
  <si>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</si>
  <si>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</si>
  <si>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</si>
  <si>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</si>
  <si>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</si>
  <si>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</si>
  <si>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</si>
  <si>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</si>
  <si>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</si>
  <si>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</si>
  <si>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</si>
  <si>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</si>
  <si>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</si>
  <si>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</si>
  <si>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</si>
  <si>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</si>
  <si>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</si>
  <si>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</si>
  <si>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</si>
  <si>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</si>
  <si>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</si>
  <si>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</si>
  <si>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</si>
  <si>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</si>
  <si>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</si>
  <si>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</si>
  <si>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</si>
  <si>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</si>
  <si>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</si>
  <si>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</si>
  <si>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</si>
  <si>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</si>
  <si>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</si>
  <si>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</si>
  <si>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</si>
  <si>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</si>
  <si>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</si>
  <si>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</si>
  <si>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</si>
  <si>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</si>
  <si>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</si>
  <si>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</si>
  <si>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</si>
  <si>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</si>
  <si>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</si>
  <si>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</si>
  <si>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</si>
  <si>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</si>
  <si>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</si>
  <si>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</si>
  <si>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</si>
  <si>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</si>
  <si>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</si>
  <si>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</si>
  <si>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</si>
  <si>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</si>
  <si>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</si>
  <si>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</si>
  <si>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</si>
  <si>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</si>
  <si>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</si>
  <si>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</si>
  <si>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</si>
  <si>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</si>
  <si>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</si>
  <si>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</si>
  <si>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</si>
  <si>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</si>
  <si>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</si>
  <si>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</si>
  <si>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</si>
  <si>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</si>
  <si>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</si>
  <si>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</si>
  <si>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</si>
  <si>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</si>
  <si>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</si>
  <si>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</si>
  <si>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</si>
  <si>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</si>
  <si>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</si>
  <si>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</si>
  <si>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</si>
  <si>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</si>
  <si>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</si>
  <si>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</si>
  <si>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</si>
  <si>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</si>
  <si>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</si>
  <si>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</si>
  <si>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</si>
  <si>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</si>
  <si>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</si>
  <si>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</si>
  <si>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</si>
  <si>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</si>
  <si>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</si>
  <si>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</si>
  <si>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</si>
  <si>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</si>
  <si>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</si>
  <si>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</si>
  <si>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</si>
  <si>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</si>
  <si>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</si>
  <si>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</si>
  <si>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</si>
  <si>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</si>
  <si>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</si>
  <si>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</si>
  <si>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</si>
  <si>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</si>
  <si>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</si>
  <si>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</si>
  <si>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</si>
  <si>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</si>
  <si>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</si>
  <si>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</si>
  <si>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</si>
  <si>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</si>
  <si>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</si>
  <si>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</si>
  <si>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</si>
  <si>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</si>
  <si>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</si>
  <si>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</si>
  <si>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</si>
  <si>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</si>
  <si>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</si>
  <si>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</si>
  <si>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</si>
  <si>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</si>
  <si>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</si>
  <si>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</si>
  <si>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</si>
  <si>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</si>
  <si>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</si>
  <si>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</si>
  <si>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</si>
  <si>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</si>
  <si>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</si>
  <si>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</si>
  <si>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</si>
  <si>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</si>
  <si>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</si>
  <si>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</si>
  <si>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</si>
  <si>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</si>
  <si>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</si>
  <si>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</si>
  <si>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</si>
  <si>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</si>
  <si>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</si>
  <si>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</si>
  <si>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</si>
  <si>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</si>
  <si>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</si>
  <si>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</si>
  <si>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</si>
  <si>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</si>
  <si>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</si>
  <si>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</si>
  <si>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</si>
  <si>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</si>
  <si>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</si>
  <si>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</si>
  <si>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</si>
  <si>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</si>
  <si>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</si>
  <si>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</si>
  <si>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</si>
  <si>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</si>
  <si>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</si>
  <si>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</si>
  <si>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</si>
  <si>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</si>
  <si>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</si>
  <si>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</si>
  <si>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</si>
  <si>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</si>
  <si>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</si>
  <si>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</si>
  <si>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</si>
  <si>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</si>
  <si>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</si>
  <si>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</si>
  <si>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</si>
  <si>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</si>
  <si>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</si>
  <si>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</si>
  <si>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</si>
  <si>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</si>
  <si>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</si>
  <si>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</si>
  <si>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</si>
  <si>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</si>
  <si>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</si>
  <si>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</si>
  <si>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</si>
  <si>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</si>
  <si>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</si>
  <si>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</si>
  <si>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</si>
  <si>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</si>
  <si>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</si>
  <si>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</si>
  <si>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</si>
  <si>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</si>
  <si>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</si>
  <si>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</si>
  <si>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</si>
  <si>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</si>
  <si>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</si>
  <si>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</si>
  <si>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</si>
  <si>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</si>
  <si>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</si>
  <si>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</si>
  <si>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</si>
  <si>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</si>
  <si>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</si>
  <si>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</si>
  <si>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</si>
  <si>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</si>
  <si>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</si>
  <si>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</si>
  <si>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</si>
  <si>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</si>
  <si>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</si>
  <si>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</si>
  <si>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</si>
  <si>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</si>
  <si>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</si>
  <si>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</si>
  <si>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</si>
  <si>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</si>
  <si>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</si>
  <si>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</si>
  <si>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</si>
  <si>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</si>
  <si>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</si>
  <si>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</si>
  <si>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</si>
  <si>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</si>
  <si>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</si>
  <si>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</si>
  <si>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</si>
  <si>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</si>
  <si>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</si>
  <si>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</si>
  <si>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</si>
  <si>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</si>
  <si>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</si>
  <si>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</si>
  <si>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</si>
  <si>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</si>
  <si>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</si>
  <si>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</si>
  <si>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</si>
  <si>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</si>
  <si>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</si>
  <si>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</si>
  <si>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</si>
  <si>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</si>
  <si>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</si>
  <si>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</si>
  <si>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</si>
  <si>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</si>
  <si>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</si>
  <si>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</si>
  <si>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</si>
  <si>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</si>
  <si>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</si>
  <si>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</si>
  <si>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</si>
  <si>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</si>
  <si>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</si>
  <si>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</si>
  <si>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</si>
  <si>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</si>
  <si>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</si>
  <si>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</si>
  <si>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</si>
  <si>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</si>
  <si>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</si>
  <si>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</si>
  <si>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</si>
  <si>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</si>
  <si>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</si>
  <si>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</si>
  <si>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</si>
  <si>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</si>
  <si>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</si>
  <si>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</si>
  <si>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</si>
  <si>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</si>
  <si>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</si>
  <si>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</si>
  <si>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</si>
  <si>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</si>
  <si>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</si>
  <si>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</si>
  <si>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</si>
  <si>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</si>
  <si>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</si>
  <si>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</si>
  <si>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</si>
  <si>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</si>
  <si>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</si>
  <si>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</si>
  <si>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</si>
  <si>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</si>
  <si>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</si>
  <si>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</si>
  <si>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</si>
  <si>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</si>
  <si>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</si>
  <si>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</si>
  <si>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车位</t>
  </si>
  <si>
    <t>车位</t>
    <phoneticPr fontId="3" type="noConversion"/>
  </si>
  <si>
    <t>地下</t>
  </si>
  <si>
    <t>车库</t>
  </si>
  <si>
    <t>中高层洋房</t>
    <phoneticPr fontId="7" type="noConversion"/>
  </si>
  <si>
    <t>车位</t>
    <phoneticPr fontId="7" type="noConversion"/>
  </si>
  <si>
    <t>紫竹园</t>
    <phoneticPr fontId="3" type="noConversion"/>
  </si>
  <si>
    <t>正常</t>
  </si>
  <si>
    <t>住宅</t>
    <phoneticPr fontId="21" type="noConversion"/>
  </si>
  <si>
    <t>60-70（含）</t>
  </si>
  <si>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</si>
  <si>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</si>
  <si>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</si>
  <si>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</si>
  <si>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</si>
  <si>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</si>
  <si>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</si>
  <si>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</si>
  <si>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</si>
  <si>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</si>
  <si>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</si>
  <si>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</si>
  <si>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</si>
  <si>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</si>
  <si>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</si>
  <si>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</si>
  <si>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</si>
  <si>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</si>
  <si>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</si>
  <si>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</si>
  <si>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</si>
  <si>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</si>
  <si>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</si>
  <si>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</si>
  <si>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</si>
  <si>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</si>
  <si>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</si>
  <si>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</si>
  <si>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</si>
  <si>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</si>
  <si>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</si>
  <si>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</si>
  <si>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</si>
  <si>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</si>
  <si>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</si>
  <si>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</si>
  <si>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</si>
  <si>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</si>
  <si>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剩余法-待开发</t>
  </si>
  <si>
    <t>比较法-住宅、综合</t>
  </si>
  <si>
    <t>楼面地价</t>
  </si>
  <si>
    <t>押一</t>
  </si>
  <si>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</si>
  <si>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</si>
  <si>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</si>
  <si>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</si>
  <si>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</si>
  <si>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</si>
  <si>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</si>
  <si>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</si>
  <si>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</si>
  <si>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</si>
  <si>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六通一平</t>
    <phoneticPr fontId="3"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</si>
  <si>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</si>
  <si>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</si>
  <si>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</si>
  <si>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</si>
  <si>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</si>
  <si>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</si>
  <si>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</si>
  <si>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</si>
  <si>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</si>
  <si>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</si>
  <si>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</si>
  <si>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</si>
  <si>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</si>
  <si>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</si>
  <si>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</si>
  <si>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</si>
  <si>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</si>
  <si>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</si>
  <si>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</si>
  <si>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</si>
  <si>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</si>
  <si>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</si>
  <si>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</si>
  <si>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</si>
  <si>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</si>
  <si>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</si>
  <si>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</si>
  <si>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</si>
  <si>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</si>
  <si>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</si>
  <si>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</si>
  <si>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</si>
  <si>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</si>
  <si>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</si>
  <si>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</si>
  <si>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</si>
  <si>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</si>
  <si>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</si>
  <si>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</si>
  <si>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</si>
  <si>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</si>
  <si>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</si>
  <si>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</si>
  <si>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</si>
  <si>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六通</t>
    <phoneticPr fontId="21" type="noConversion"/>
  </si>
  <si>
    <t>底商</t>
  </si>
  <si>
    <t>商业</t>
  </si>
  <si>
    <t>底商</t>
    <phoneticPr fontId="3" type="noConversion"/>
  </si>
  <si>
    <t>底商</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</si>
  <si>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</si>
  <si>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面积占比</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</si>
  <si>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</si>
  <si>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</si>
  <si>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</si>
  <si>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综合</t>
    <phoneticPr fontId="3" type="noConversion"/>
  </si>
  <si>
    <t>不动产收益法-车库</t>
  </si>
  <si>
    <t>不动产收益法-底商</t>
  </si>
  <si>
    <t>中高层洋房总面积</t>
    <phoneticPr fontId="233" type="noConversion"/>
  </si>
  <si>
    <t>车位总面积</t>
    <phoneticPr fontId="233" type="noConversion"/>
  </si>
  <si>
    <t>底商总面积</t>
    <phoneticPr fontId="233" type="noConversion"/>
  </si>
  <si>
    <t>商业街面积</t>
    <phoneticPr fontId="233" type="noConversion"/>
  </si>
  <si>
    <t>公寓面积</t>
    <phoneticPr fontId="233" type="noConversion"/>
  </si>
  <si>
    <t>土地面积</t>
    <phoneticPr fontId="233" type="noConversion"/>
  </si>
  <si>
    <t>洋房建筑面积</t>
    <phoneticPr fontId="233" type="noConversion"/>
  </si>
  <si>
    <t>车位面积</t>
    <phoneticPr fontId="233" type="noConversion"/>
  </si>
  <si>
    <t>底商</t>
    <phoneticPr fontId="233" type="noConversion"/>
  </si>
  <si>
    <t>建筑面积</t>
    <phoneticPr fontId="233" type="noConversion"/>
  </si>
  <si>
    <t>估价对象1</t>
    <phoneticPr fontId="233" type="noConversion"/>
  </si>
  <si>
    <t>估价对象2</t>
    <phoneticPr fontId="233" type="noConversion"/>
  </si>
  <si>
    <t>估价对象3</t>
    <phoneticPr fontId="233" type="noConversion"/>
  </si>
  <si>
    <t>合计1</t>
    <phoneticPr fontId="233" type="noConversion"/>
  </si>
  <si>
    <t>估价对象4</t>
    <phoneticPr fontId="233" type="noConversion"/>
  </si>
  <si>
    <t>合计2</t>
    <phoneticPr fontId="233" type="noConversion"/>
  </si>
  <si>
    <t>总价</t>
    <phoneticPr fontId="233" type="noConversion"/>
  </si>
  <si>
    <t>楼面单价</t>
    <phoneticPr fontId="233" type="noConversion"/>
  </si>
  <si>
    <t>地面单价</t>
    <phoneticPr fontId="233" type="noConversion"/>
  </si>
  <si>
    <t>合计</t>
    <phoneticPr fontId="233" type="noConversion"/>
  </si>
  <si>
    <t>原始金额</t>
    <phoneticPr fontId="233" type="noConversion"/>
  </si>
  <si>
    <t>6块地</t>
    <phoneticPr fontId="233" type="noConversion"/>
  </si>
  <si>
    <t>估价对象</t>
    <phoneticPr fontId="233" type="noConversion"/>
  </si>
  <si>
    <t>总值</t>
    <phoneticPr fontId="233" type="noConversion"/>
  </si>
  <si>
    <t>100%土增税</t>
    <phoneticPr fontId="233" type="noConversion"/>
  </si>
  <si>
    <t>80%土增税</t>
    <phoneticPr fontId="233" type="noConversion"/>
  </si>
  <si>
    <t>扣除土增税</t>
    <phoneticPr fontId="233" type="noConversion"/>
  </si>
  <si>
    <t>5.9成</t>
    <phoneticPr fontId="233" type="noConversion"/>
  </si>
  <si>
    <t>估价对象1</t>
    <phoneticPr fontId="233" type="noConversion"/>
  </si>
  <si>
    <t>土地</t>
    <phoneticPr fontId="233" type="noConversion"/>
  </si>
  <si>
    <t>建设</t>
    <phoneticPr fontId="233" type="noConversion"/>
  </si>
  <si>
    <t>住宅</t>
    <phoneticPr fontId="233" type="noConversion"/>
  </si>
  <si>
    <t>公寓</t>
    <phoneticPr fontId="233" type="noConversion"/>
  </si>
  <si>
    <t>商业街</t>
    <phoneticPr fontId="233" type="noConversion"/>
  </si>
  <si>
    <t>底商</t>
    <phoneticPr fontId="233" type="noConversion"/>
  </si>
  <si>
    <t>车库</t>
    <phoneticPr fontId="233" type="noConversion"/>
  </si>
  <si>
    <t>估价对象周边周边有紫竹园、伟业致青春、海口碧桂园等住宅小区均正在待开发项目，综合评价居住社区成熟度一般</t>
    <phoneticPr fontId="3" type="noConversion"/>
  </si>
  <si>
    <t>海口市西海岸南片区新区</t>
    <phoneticPr fontId="233" type="noConversion"/>
  </si>
  <si>
    <t>红城湖片区棚改项目用地范围内</t>
    <phoneticPr fontId="233" type="noConversion"/>
  </si>
  <si>
    <t>估价对象周边周边有八一社区、红城湖小区、宝发金海苑等住宅小区，综合评价居住社区成熟度较好</t>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</si>
  <si>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</si>
  <si>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估价对象所在区域有工商银行、农业银行、e世纪广场、琼山第四小学、海南市第三人民医院，公共配套设施较好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</si>
  <si>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</si>
  <si>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</si>
  <si>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</si>
  <si>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t>红城湖片区棚改项目用地范围内</t>
    <phoneticPr fontId="3" type="noConversion"/>
  </si>
  <si>
    <t>海口市西海岸南片区新区</t>
    <phoneticPr fontId="3" type="noConversion"/>
  </si>
  <si>
    <t>估价对象北侧临主干道-椰海大道，有64路、83路、89路等公交线路，停车便捷程度一般，综合评价交通便捷度较好</t>
    <phoneticPr fontId="3" type="noConversion"/>
  </si>
  <si>
    <t>区域内无特殊自然环境及大学，综合评价环境状况一般</t>
    <phoneticPr fontId="3" type="noConversion"/>
  </si>
  <si>
    <t>区域内有红城湖海南省中华文化学院，综合评价环境状况较好</t>
    <phoneticPr fontId="26" type="noConversion"/>
  </si>
  <si>
    <t>估价对象周边周边有长信海岸水城、菩提树、城市海岸小区，综合评价居住社区成熟度较好</t>
    <phoneticPr fontId="26" type="noConversion"/>
  </si>
  <si>
    <t>海口碧桂园</t>
    <phoneticPr fontId="3" type="noConversion"/>
  </si>
  <si>
    <t>伟业智青春</t>
    <phoneticPr fontId="3" type="noConversion"/>
  </si>
  <si>
    <t>估价对象周边周边有紫竹园、伟业致青春等住宅小区均正在待开发项目，综合评价居住社区成熟度一般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</si>
  <si>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</si>
  <si>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</si>
  <si>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自定义</t>
  </si>
  <si>
    <t>估价对象所在区域有平安银行、万达广场、景山学校、海南省农垦总医院，公共配套设施一般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</si>
</sst>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6" borderId="0" xfId="0" applyFont="1" applyFill="1">
      <alignment vertical="center"/>
    </xf>
    <xf numFmtId="0" fontId="0" fillId="6" borderId="0" xfId="0" applyFill="1">
      <alignment vertical="center"/>
    </xf>
    <xf numFmtId="14" fontId="0" fillId="6" borderId="0" xfId="0" applyNumberFormat="1"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27</xdr:row>
      <xdr:rowOff>161925</xdr:rowOff>
    </xdr:from>
    <xdr:to>
      <xdr:col>16</xdr:col>
      <xdr:colOff>55344</xdr:colOff>
      <xdr:row>43</xdr:row>
      <xdr:rowOff>28574</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49" y="4791075"/>
          <a:ext cx="10932895" cy="2609849"/>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190500</xdr:colOff>
      <xdr:row>0</xdr:row>
      <xdr:rowOff>0</xdr:rowOff>
    </xdr:from>
    <xdr:to>
      <xdr:col>13</xdr:col>
      <xdr:colOff>304800</xdr:colOff>
      <xdr:row>28</xdr:row>
      <xdr:rowOff>86533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5057775" y="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010275"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02&#20272;&#20215;&#23545;&#35937;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20352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2662</v>
      </c>
      <c r="B1" s="2922" t="s">
        <v>2759</v>
      </c>
    </row>
    <row r="2" spans="1:55" s="2926" customFormat="1" ht="15" thickTop="1">
      <c r="A2" s="2924" t="s">
        <v>2666</v>
      </c>
      <c r="B2" s="2925" t="str">
        <f>'预评函-封皮'!B37</f>
        <v>海南省海口市椰海大道南侧、丘海大道延长线西侧出让国有建设用地使用权抵押价格预评估</v>
      </c>
      <c r="AX2" s="2927"/>
      <c r="AZ2" s="2927"/>
      <c r="BA2" s="2928"/>
      <c r="BC2" s="2928"/>
    </row>
    <row r="3" spans="1:55" s="2929" customFormat="1">
      <c r="A3" s="2908" t="s">
        <v>2667</v>
      </c>
      <c r="B3" s="2911">
        <f>'预评函-封皮'!B40</f>
        <v>0</v>
      </c>
    </row>
    <row r="4" spans="1:55" s="2910" customFormat="1">
      <c r="A4" s="2908" t="s">
        <v>2668</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2669</v>
      </c>
      <c r="B5" s="2931" t="str">
        <f>'预评函-封皮'!B49</f>
        <v>康正预评字号</v>
      </c>
    </row>
    <row r="6" spans="1:55" s="2932" customFormat="1" ht="15" thickTop="1">
      <c r="A6" s="2924" t="s">
        <v>2711</v>
      </c>
      <c r="B6" s="2925" t="str">
        <f>'预评函-1'!A4</f>
        <v>受贵公司委托，我公司对海南省海口市椰海大道南侧、丘海大道延长线西侧出让国有建设用地使用权抵押价格进行了预评估。</v>
      </c>
      <c r="AM6" s="2933"/>
    </row>
    <row r="7" spans="1:55" s="2907" customFormat="1">
      <c r="A7" s="2908" t="s">
        <v>2663</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8" spans="1:55" s="2907" customFormat="1">
      <c r="A8" s="2908" t="s">
        <v>2664</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2714</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2665</v>
      </c>
      <c r="B10" s="2909" t="str">
        <f>'预评函-1'!A11</f>
        <v>2017年11月8日（评估专业人员勘察现场之日）</v>
      </c>
    </row>
    <row r="11" spans="1:55" s="2907" customFormat="1">
      <c r="A11" s="2908" t="s">
        <v>2671</v>
      </c>
      <c r="B11" s="2909" t="str">
        <f>'预评函-1'!A14</f>
        <v>根据《国有土地使用证》[海口市国用（2016）第003013号]，本次评估估价对象证载（地类）用途为城镇住宅用地。</v>
      </c>
    </row>
    <row r="12" spans="1:55" s="2907" customFormat="1">
      <c r="A12" s="2908" t="s">
        <v>2672</v>
      </c>
      <c r="B12" s="2909" t="str">
        <f>'预评函-1'!A15</f>
        <v>本次评估设定用途即为证载用途住宅。</v>
      </c>
    </row>
    <row r="13" spans="1:55" s="2907" customFormat="1">
      <c r="A13" s="2908" t="s">
        <v>2673</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2674</v>
      </c>
      <c r="B14" s="2909" t="str">
        <f>'预评函-1'!A18</f>
        <v>本次评估设定土地开发程度为红线外市政基础设施达“七通”、宗地红线内场地平整。</v>
      </c>
    </row>
    <row r="15" spans="1:55" s="2907" customFormat="1">
      <c r="A15" s="2908" t="s">
        <v>2670</v>
      </c>
      <c r="B15" s="2909" t="str">
        <f>'预评函-1'!A20</f>
        <v>根据《国有土地使用证》[]，估价对象（分摊）出让国有建设用地使用权面积为7741.69平方米。根据《建设工程规划许可证》[]、《出让合同》[]，估价对象规划建筑面积为17860.72平方米。</v>
      </c>
    </row>
    <row r="16" spans="1:55" s="2907" customFormat="1">
      <c r="A16" s="2908" t="s">
        <v>2675</v>
      </c>
      <c r="B16" s="2909" t="str">
        <f>'预评函-1'!A22</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17" spans="1:48" s="2907" customFormat="1">
      <c r="A17" s="2908" t="s">
        <v>2676</v>
      </c>
      <c r="B17" s="2909" t="str">
        <f>'预评函-1'!A23</f>
        <v>本次评估设定估价对象剩余土地使用年限为。</v>
      </c>
    </row>
    <row r="18" spans="1:48" s="2907" customFormat="1">
      <c r="A18" s="2908" t="s">
        <v>2677</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2678</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2679</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2680</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2681</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2682</v>
      </c>
      <c r="B23" s="2909" t="str">
        <f>'预评函-2'!K2</f>
        <v>估价期日：2017年11月8日</v>
      </c>
    </row>
    <row r="24" spans="1:48">
      <c r="A24" s="2908" t="s">
        <v>2683</v>
      </c>
      <c r="B24" s="2909" t="str">
        <f>'预评函-2'!R2</f>
        <v>估价期日的国有建设用地使用权性质：出让</v>
      </c>
    </row>
    <row r="25" spans="1:48">
      <c r="A25" s="2908" t="s">
        <v>2739</v>
      </c>
      <c r="B25" s="2909" t="str">
        <f>'预评函-2'!A3</f>
        <v>估价期日土地使用者</v>
      </c>
    </row>
    <row r="26" spans="1:48">
      <c r="A26" s="2908" t="s">
        <v>2715</v>
      </c>
      <c r="B26" s="2909" t="str">
        <f>'预评函-2'!A5</f>
        <v>中信开发</v>
      </c>
    </row>
    <row r="27" spans="1:48">
      <c r="A27" s="2908" t="s">
        <v>2740</v>
      </c>
      <c r="B27" s="2909" t="str">
        <f>'预评函-2'!B3</f>
        <v>宗地编号/不动产单元号</v>
      </c>
    </row>
    <row r="28" spans="1:48">
      <c r="A28" s="2908" t="s">
        <v>2716</v>
      </c>
      <c r="B28" s="2909" t="str">
        <f>'预评函-2'!B5</f>
        <v>11111111111</v>
      </c>
    </row>
    <row r="29" spans="1:48">
      <c r="A29" s="2908" t="s">
        <v>2742</v>
      </c>
      <c r="B29" s="2909">
        <f>'预评函-2'!C5</f>
        <v>22</v>
      </c>
    </row>
    <row r="30" spans="1:48">
      <c r="A30" s="2908" t="s">
        <v>2743</v>
      </c>
      <c r="B30" s="2909" t="str">
        <f>'预评函-2'!D3</f>
        <v>土地使用证编号/不动产权证书编号</v>
      </c>
    </row>
    <row r="31" spans="1:48">
      <c r="A31" s="2908" t="s">
        <v>2717</v>
      </c>
      <c r="B31" s="2909" t="str">
        <f>'预评函-2'!D5</f>
        <v>京国土字第111号</v>
      </c>
    </row>
    <row r="32" spans="1:48">
      <c r="A32" s="2908" t="s">
        <v>2718</v>
      </c>
      <c r="B32" s="2909" t="str">
        <f>'预评函-2'!E5</f>
        <v>城镇住宅用地</v>
      </c>
      <c r="AV32" s="2913"/>
    </row>
    <row r="33" spans="1:2">
      <c r="A33" s="2908" t="s">
        <v>2719</v>
      </c>
      <c r="B33" s="2909">
        <f>'预评函-2'!F5</f>
        <v>258</v>
      </c>
    </row>
    <row r="34" spans="1:2">
      <c r="A34" s="2908" t="s">
        <v>2720</v>
      </c>
      <c r="B34" s="2909" t="str">
        <f>'预评函-2'!G5</f>
        <v>住宅</v>
      </c>
    </row>
    <row r="35" spans="1:2">
      <c r="A35" s="2908" t="s">
        <v>2721</v>
      </c>
      <c r="B35" s="2909">
        <f>'预评函-2'!H5</f>
        <v>1.5</v>
      </c>
    </row>
    <row r="36" spans="1:2">
      <c r="A36" s="2908" t="s">
        <v>2722</v>
      </c>
      <c r="B36" s="2909">
        <f>'预评函-2'!I5</f>
        <v>1.5</v>
      </c>
    </row>
    <row r="37" spans="1:2">
      <c r="A37" s="2908" t="s">
        <v>2723</v>
      </c>
      <c r="B37" s="2909">
        <f>'预评函-2'!J5</f>
        <v>1.5</v>
      </c>
    </row>
    <row r="38" spans="1:2">
      <c r="A38" s="2908" t="s">
        <v>2724</v>
      </c>
      <c r="B38" s="2909" t="str">
        <f>'预评函-2'!K5</f>
        <v>红线外七通、宗地红线内场地平整</v>
      </c>
    </row>
    <row r="39" spans="1:2">
      <c r="A39" s="2908" t="s">
        <v>2725</v>
      </c>
      <c r="B39" s="2909" t="str">
        <f>'预评函-2'!L5</f>
        <v>红线外七通、宗地红线内场地平整</v>
      </c>
    </row>
    <row r="40" spans="1:2">
      <c r="A40" s="2908" t="s">
        <v>2744</v>
      </c>
      <c r="B40" s="2909" t="str">
        <f>'预评函-2'!M3</f>
        <v>（剩余）土地使用年限/年</v>
      </c>
    </row>
    <row r="41" spans="1:2">
      <c r="A41" s="2908" t="s">
        <v>2726</v>
      </c>
      <c r="B41" s="2909">
        <f>'预评函-2'!M5</f>
        <v>0</v>
      </c>
    </row>
    <row r="42" spans="1:2">
      <c r="A42" s="2908" t="s">
        <v>2745</v>
      </c>
      <c r="B42" s="2909" t="str">
        <f>'预评函-2'!N3</f>
        <v>（分摊）出让国有建设用地使用权面积/㎡</v>
      </c>
    </row>
    <row r="43" spans="1:2">
      <c r="A43" s="2908" t="s">
        <v>2727</v>
      </c>
      <c r="B43" s="2909">
        <f>'预评函-2'!N5</f>
        <v>7741.69</v>
      </c>
    </row>
    <row r="44" spans="1:2">
      <c r="A44" s="2908" t="s">
        <v>2746</v>
      </c>
      <c r="B44" s="2909" t="str">
        <f>'预评函-2'!O3</f>
        <v>规划建筑面积/㎡</v>
      </c>
    </row>
    <row r="45" spans="1:2">
      <c r="A45" s="2908" t="s">
        <v>2728</v>
      </c>
      <c r="B45" s="2909">
        <f>'预评函-2'!O5</f>
        <v>17860.72</v>
      </c>
    </row>
    <row r="46" spans="1:2">
      <c r="A46" s="2908" t="s">
        <v>2729</v>
      </c>
      <c r="B46" s="2909">
        <f ca="1">'预评函-2'!P5</f>
        <v>11483</v>
      </c>
    </row>
    <row r="47" spans="1:2">
      <c r="A47" s="2908" t="s">
        <v>2730</v>
      </c>
      <c r="B47" s="2909">
        <f ca="1">'预评函-2'!Q5</f>
        <v>4977</v>
      </c>
    </row>
    <row r="48" spans="1:2">
      <c r="A48" s="2908" t="s">
        <v>2731</v>
      </c>
      <c r="B48" s="2909">
        <f ca="1">'预评函-2'!R5</f>
        <v>8890</v>
      </c>
    </row>
    <row r="49" spans="1:2">
      <c r="A49" s="2908" t="s">
        <v>2747</v>
      </c>
      <c r="B49" s="2909" t="str">
        <f>'预评函-2'!A6</f>
        <v>抵押价格</v>
      </c>
    </row>
    <row r="50" spans="1:2">
      <c r="A50" s="2908" t="s">
        <v>2732</v>
      </c>
      <c r="B50" s="2909" t="str">
        <f>'预评函-2'!R6</f>
        <v>——</v>
      </c>
    </row>
    <row r="51" spans="1:2">
      <c r="A51" s="2908" t="s">
        <v>2748</v>
      </c>
      <c r="B51" s="2909" t="str">
        <f>'预评函-2'!A7</f>
        <v>——</v>
      </c>
    </row>
    <row r="52" spans="1:2">
      <c r="A52" s="2908" t="s">
        <v>2733</v>
      </c>
      <c r="B52" s="2909">
        <f ca="1">'预评函-2'!R7</f>
        <v>8890</v>
      </c>
    </row>
    <row r="53" spans="1:2">
      <c r="A53" s="2908" t="s">
        <v>2749</v>
      </c>
      <c r="B53" s="2909">
        <f>'预评函-2'!A8</f>
        <v>0</v>
      </c>
    </row>
    <row r="54" spans="1:2" s="2923" customFormat="1" ht="15" thickBot="1">
      <c r="A54" s="2930" t="s">
        <v>2734</v>
      </c>
      <c r="B54" s="2931" t="str">
        <f>'预评函-2'!R8</f>
        <v>——</v>
      </c>
    </row>
    <row r="55" spans="1:2" ht="15" thickTop="1">
      <c r="A55" s="2919" t="s">
        <v>2684</v>
      </c>
      <c r="B55" s="2920" t="str">
        <f>'预评函-3'!A2</f>
        <v>1.权利限制：根据估价对象《不动产权证书》——、《国有土地使用权》复印件，截至估价期日，估价对象已设定抵押。未设定租赁等其他他项权利。</v>
      </c>
    </row>
    <row r="56" spans="1:2">
      <c r="A56" s="2908" t="s">
        <v>2685</v>
      </c>
      <c r="B56" s="2909" t="str">
        <f>'预评函-3'!A3</f>
        <v>2.基础设施条件：估价对象实际开发程度为红线外七通、宗地红线内场地平整；本次评估设定开发程度为红线外七通、宗地红线内场地平整。</v>
      </c>
    </row>
    <row r="57" spans="1:2">
      <c r="A57" s="2908" t="s">
        <v>2686</v>
      </c>
      <c r="B57" s="2909" t="str">
        <f>'预评函-3'!A4</f>
        <v>3.估价规划限制条件：详见《建设工程规划许可证》[]、《出让合同》[]。</v>
      </c>
    </row>
    <row r="58" spans="1:2" s="2923" customFormat="1" ht="15" thickBot="1">
      <c r="A58" s="2930" t="s">
        <v>2735</v>
      </c>
      <c r="B58" s="2931" t="str">
        <f>'预评函-3'!A5</f>
        <v>4.影响价格的其他限定条件：无。</v>
      </c>
    </row>
    <row r="59" spans="1:2" ht="15" thickTop="1">
      <c r="A59" s="2919" t="s">
        <v>2687</v>
      </c>
      <c r="B59" s="2920" t="str">
        <f>'预评函-3'!A8</f>
        <v>2.本《评估意见函》仅供金融机构进行内部审核使用，不做其他目的之用。</v>
      </c>
    </row>
    <row r="60" spans="1:2">
      <c r="A60" s="2908" t="s">
        <v>2688</v>
      </c>
      <c r="B60" s="2909" t="str">
        <f>'预评函-3'!A9</f>
        <v>3.抵押双方在办理抵押登记手续时，应使用本公司出具的正式《土地估价报告》，特提请报告使用者注意。</v>
      </c>
    </row>
    <row r="61" spans="1:2">
      <c r="A61" s="2908" t="s">
        <v>2690</v>
      </c>
      <c r="B61" s="2909" t="str">
        <f>'预评函-3'!A10</f>
        <v>4.估价师所知悉的法定优先受偿款情况为：</v>
      </c>
    </row>
    <row r="62" spans="1:2">
      <c r="A62" s="2908" t="s">
        <v>2689</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2691</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2692</v>
      </c>
      <c r="B64" s="2914" t="str">
        <f>'预评函-3'!A13</f>
        <v>（3）。</v>
      </c>
    </row>
    <row r="65" spans="1:2">
      <c r="A65" s="2908" t="s">
        <v>2693</v>
      </c>
      <c r="B65" s="2915" t="str">
        <f>'预评函-3'!A14</f>
        <v>综上，本次评估不存在估价师知悉的法定优先受偿款</v>
      </c>
    </row>
    <row r="66" spans="1:2">
      <c r="A66" s="2908" t="s">
        <v>2694</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2695</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2698</v>
      </c>
      <c r="B68" s="2934">
        <f>'预评函-3'!D30</f>
        <v>42558</v>
      </c>
    </row>
    <row r="69" spans="1:2" ht="15" thickTop="1">
      <c r="A69" s="2919" t="s">
        <v>2696</v>
      </c>
      <c r="B69" s="2920" t="str">
        <f>'预评函-3'!A20</f>
        <v>吴薇</v>
      </c>
    </row>
    <row r="70" spans="1:2">
      <c r="A70" s="2908" t="s">
        <v>2696</v>
      </c>
      <c r="B70" s="2915">
        <f ca="1">'预评函-3'!B20</f>
        <v>2002110125</v>
      </c>
    </row>
    <row r="71" spans="1:2">
      <c r="A71" s="2908" t="s">
        <v>2697</v>
      </c>
      <c r="B71" s="2909" t="str">
        <f>'预评函-3'!A21</f>
        <v>刘梅</v>
      </c>
    </row>
    <row r="72" spans="1:2" s="2923" customFormat="1" ht="15" thickBot="1">
      <c r="A72" s="2930" t="s">
        <v>2697</v>
      </c>
      <c r="B72" s="2936">
        <f ca="1">'预评函-3'!B21</f>
        <v>2008110059</v>
      </c>
    </row>
    <row r="73" spans="1:2" ht="15" thickTop="1">
      <c r="A73" s="2919" t="s">
        <v>2756</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2757</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2758</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2793</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47" sqref="C47"/>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38" t="str">
        <f>IF(B10="北京市","北京市",C10)&amp;F10&amp;B16&amp;"国有建设用地使用权"&amp;B9&amp;"预评估"</f>
        <v>海南省海口市椰海大道南侧、丘海大道延长线西侧出让国有建设用地使用权抵押价格预评估</v>
      </c>
      <c r="C1" s="3239"/>
      <c r="D1" s="3239"/>
      <c r="E1" s="3239"/>
      <c r="F1" s="3239"/>
      <c r="G1" s="3239"/>
      <c r="H1" s="3239"/>
      <c r="I1" s="3240"/>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2975</v>
      </c>
      <c r="C4" s="1849">
        <f ca="1">SUMIF(土地估价师,B4,估价师及机构信息!E3:E24)</f>
        <v>2002110125</v>
      </c>
      <c r="D4" s="1846" t="s">
        <v>2976</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2712</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2713</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2977</v>
      </c>
      <c r="C8" s="1674"/>
      <c r="D8" s="3244" t="s">
        <v>1947</v>
      </c>
      <c r="E8" s="1847" t="s">
        <v>2979</v>
      </c>
      <c r="F8" s="1675"/>
      <c r="G8" s="1663"/>
      <c r="H8" s="1663"/>
      <c r="I8" s="1710"/>
      <c r="J8" s="1697"/>
      <c r="K8" s="1777"/>
      <c r="L8" s="1726"/>
      <c r="M8" s="1726"/>
      <c r="N8" s="1697"/>
      <c r="O8" s="1698"/>
      <c r="P8" s="1697"/>
      <c r="Q8" s="1697"/>
      <c r="R8" s="1697"/>
      <c r="S8" s="1697"/>
      <c r="T8" s="1697"/>
      <c r="U8" s="1697"/>
    </row>
    <row r="9" spans="1:21" ht="15" thickBot="1">
      <c r="A9" s="1676" t="s">
        <v>1946</v>
      </c>
      <c r="B9" s="1677" t="s">
        <v>2978</v>
      </c>
      <c r="C9" s="1678"/>
      <c r="D9" s="3245"/>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2980</v>
      </c>
      <c r="C10" s="1679" t="s">
        <v>2982</v>
      </c>
      <c r="D10" s="1670"/>
      <c r="E10" s="1680" t="s">
        <v>1949</v>
      </c>
      <c r="F10" s="1681" t="s">
        <v>2983</v>
      </c>
      <c r="G10" s="1748"/>
      <c r="H10" s="1749"/>
      <c r="I10" s="1670"/>
      <c r="J10" s="1697"/>
      <c r="K10" s="1777"/>
      <c r="L10" s="1726"/>
      <c r="M10" s="1726"/>
      <c r="N10" s="1697"/>
      <c r="O10" s="1698"/>
      <c r="P10" s="1697"/>
      <c r="Q10" s="1697"/>
      <c r="R10" s="1697"/>
      <c r="S10" s="1697"/>
      <c r="T10" s="1697"/>
      <c r="U10" s="1697"/>
    </row>
    <row r="11" spans="1:21" ht="28.5">
      <c r="A11" s="1700" t="s">
        <v>2002</v>
      </c>
      <c r="B11" s="1701" t="s">
        <v>2981</v>
      </c>
      <c r="C11" s="1682" t="s">
        <v>2984</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41" t="s">
        <v>2985</v>
      </c>
      <c r="C12" s="3242"/>
      <c r="D12" s="3243"/>
      <c r="E12" s="1702" t="s">
        <v>2063</v>
      </c>
      <c r="F12" s="3259" t="s">
        <v>2986</v>
      </c>
      <c r="G12" s="3260"/>
      <c r="H12" s="3260"/>
      <c r="I12" s="3261"/>
      <c r="J12" s="1697"/>
      <c r="K12" s="1777"/>
      <c r="L12" s="1726"/>
      <c r="M12" s="1726"/>
      <c r="N12" s="1697"/>
      <c r="O12" s="1698"/>
      <c r="P12" s="1697"/>
      <c r="Q12" s="1697"/>
      <c r="R12" s="1697"/>
      <c r="S12" s="1697"/>
      <c r="T12" s="1697"/>
      <c r="U12" s="1697"/>
    </row>
    <row r="13" spans="1:21">
      <c r="A13" s="1690" t="s">
        <v>2061</v>
      </c>
      <c r="B13" s="3241" t="s">
        <v>2987</v>
      </c>
      <c r="C13" s="3242"/>
      <c r="D13" s="3243"/>
      <c r="E13" s="1702" t="s">
        <v>2063</v>
      </c>
      <c r="F13" s="3259" t="s">
        <v>2895</v>
      </c>
      <c r="G13" s="3260"/>
      <c r="H13" s="3260"/>
      <c r="I13" s="3261"/>
      <c r="J13" s="1697"/>
      <c r="K13" s="1777"/>
      <c r="L13" s="1726"/>
      <c r="M13" s="1726"/>
      <c r="N13" s="1697"/>
      <c r="O13" s="1698"/>
      <c r="P13" s="1697"/>
      <c r="Q13" s="1697"/>
      <c r="R13" s="1697"/>
      <c r="S13" s="1697"/>
      <c r="T13" s="1697"/>
      <c r="U13" s="1697"/>
    </row>
    <row r="14" spans="1:21">
      <c r="A14" s="1664" t="s">
        <v>2064</v>
      </c>
      <c r="B14" s="1702"/>
      <c r="C14" s="1848" t="s">
        <v>2988</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2989</v>
      </c>
      <c r="C16" s="1702" t="s">
        <v>1951</v>
      </c>
      <c r="D16" s="2675" t="s">
        <v>1952</v>
      </c>
      <c r="E16" s="1725" t="s">
        <v>3113</v>
      </c>
      <c r="F16" s="1725"/>
      <c r="G16" s="1725" t="s">
        <v>35</v>
      </c>
      <c r="H16" s="1725"/>
      <c r="I16" s="1689" t="s">
        <v>1957</v>
      </c>
      <c r="J16" s="1697"/>
      <c r="K16" s="2484" t="str">
        <f>IF(D17="","",D16&amp;TEXT(D17,"yyyy年m月d日;;"))</f>
        <v>住宅2085年7月20日</v>
      </c>
      <c r="L16" s="1702" t="str">
        <f>IF(OR(K16="",M16=""),"","、")</f>
        <v>、</v>
      </c>
      <c r="M16" s="2484" t="str">
        <f>IF(E17="","",E16&amp;TEXT(E17,"yyyy年m月d日;;"))</f>
        <v>商业2055年7月20日</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v>56815</v>
      </c>
      <c r="F17" s="1703"/>
      <c r="G17" s="1703">
        <v>60468</v>
      </c>
      <c r="H17" s="1703"/>
      <c r="I17" s="1703"/>
      <c r="J17" s="1697"/>
      <c r="K17" s="2483" t="str">
        <f>CONCATENATE(K16,L16,M16,N16,O16,P16,Q16,R16,S16,T16,,U16)</f>
        <v>住宅2085年7月20日、商业2055年7月20日地下车库2065年7月20日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v>40</v>
      </c>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f>IF(B16="出让",IF(E17="","",ROUNDDOWN(MIN((E17-$D$3)/365,E18),2)),E18)</f>
        <v>37.72</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56"/>
      <c r="E20" s="3257"/>
      <c r="F20" s="3257"/>
      <c r="G20" s="3257"/>
      <c r="H20" s="3257"/>
      <c r="I20" s="3258"/>
      <c r="J20" s="1697"/>
      <c r="K20" s="1777"/>
      <c r="L20" s="1726"/>
      <c r="M20" s="1726"/>
      <c r="N20" s="1697"/>
      <c r="O20" s="1698"/>
      <c r="P20" s="1697"/>
      <c r="Q20" s="1697"/>
      <c r="R20" s="1697"/>
      <c r="S20" s="1697"/>
      <c r="T20" s="1697"/>
      <c r="U20" s="1697"/>
    </row>
    <row r="21" spans="1:21">
      <c r="A21" s="1766" t="s">
        <v>1961</v>
      </c>
      <c r="B21" s="1767" t="s">
        <v>1962</v>
      </c>
      <c r="C21" s="1762">
        <f>'数据-汇总表'!E3</f>
        <v>17860.72</v>
      </c>
      <c r="D21" s="1763" t="s">
        <v>1963</v>
      </c>
      <c r="E21" s="3246" t="s">
        <v>2000</v>
      </c>
      <c r="F21" s="3247"/>
      <c r="G21" s="3247"/>
      <c r="H21" s="3247"/>
      <c r="I21" s="3248"/>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46" t="s">
        <v>2896</v>
      </c>
      <c r="F22" s="3247"/>
      <c r="G22" s="3247"/>
      <c r="H22" s="3247"/>
      <c r="I22" s="3248"/>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49" t="s">
        <v>1969</v>
      </c>
      <c r="C24" s="3250"/>
      <c r="D24" s="3251" t="s">
        <v>1970</v>
      </c>
      <c r="E24" s="3252"/>
      <c r="F24" s="1711" t="s">
        <v>1971</v>
      </c>
      <c r="G24" s="1697"/>
      <c r="H24" s="1697"/>
      <c r="I24" s="1710"/>
      <c r="J24" s="1697"/>
      <c r="K24" s="3237"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3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3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2990</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64" t="s">
        <v>2003</v>
      </c>
      <c r="B31" s="1767" t="s">
        <v>2004</v>
      </c>
      <c r="C31" s="3262" t="s">
        <v>2991</v>
      </c>
      <c r="D31" s="3263"/>
      <c r="E31" s="1697"/>
      <c r="F31" s="1697"/>
      <c r="G31" s="1697"/>
      <c r="H31" s="1697"/>
      <c r="I31" s="1710"/>
      <c r="J31" s="1697"/>
      <c r="K31" s="2486"/>
      <c r="L31" s="1697"/>
      <c r="M31" s="1697"/>
      <c r="N31" s="1697"/>
      <c r="O31" s="1697"/>
      <c r="P31" s="1697"/>
      <c r="Q31" s="1697"/>
      <c r="R31" s="1697"/>
      <c r="S31" s="1697"/>
      <c r="T31" s="1697"/>
      <c r="U31" s="1697"/>
    </row>
    <row r="32" spans="1:21">
      <c r="A32" s="3264"/>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64"/>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65"/>
      <c r="B34" s="1664" t="s">
        <v>2007</v>
      </c>
      <c r="C34" s="3266"/>
      <c r="D34" s="3267"/>
      <c r="E34" s="1697"/>
      <c r="F34" s="1697"/>
      <c r="G34" s="1697"/>
      <c r="H34" s="1697"/>
      <c r="I34" s="1710"/>
      <c r="J34" s="1697"/>
      <c r="K34" s="2486"/>
      <c r="L34" s="1697"/>
      <c r="M34" s="1697"/>
      <c r="N34" s="1697"/>
      <c r="O34" s="1697"/>
      <c r="P34" s="1697"/>
      <c r="Q34" s="1697"/>
      <c r="R34" s="1697"/>
      <c r="S34" s="1697"/>
      <c r="T34" s="1697"/>
      <c r="U34" s="1697"/>
    </row>
    <row r="35" spans="1:21">
      <c r="A35" s="3268" t="s">
        <v>847</v>
      </c>
      <c r="B35" s="1725" t="s">
        <v>2992</v>
      </c>
      <c r="C35" s="1779" t="str">
        <f>IF(B35="场地平整","——","具体情况：")</f>
        <v>——</v>
      </c>
      <c r="D35" s="3270"/>
      <c r="E35" s="3271"/>
      <c r="F35" s="3271"/>
      <c r="G35" s="3271"/>
      <c r="H35" s="3271"/>
      <c r="I35" s="3272"/>
      <c r="J35" s="1697"/>
      <c r="K35" s="1778"/>
      <c r="L35" s="1726"/>
      <c r="M35" s="1726"/>
      <c r="N35" s="1697"/>
      <c r="O35" s="1698"/>
      <c r="P35" s="1697"/>
      <c r="Q35" s="1697"/>
      <c r="R35" s="1697"/>
      <c r="S35" s="1697"/>
      <c r="T35" s="1697"/>
      <c r="U35" s="1697"/>
    </row>
    <row r="36" spans="1:21">
      <c r="A36" s="3264"/>
      <c r="B36" s="3273" t="s">
        <v>2056</v>
      </c>
      <c r="C36" s="3274"/>
      <c r="D36" s="1795" t="s">
        <v>2993</v>
      </c>
      <c r="E36" s="3275"/>
      <c r="F36" s="3275"/>
      <c r="G36" s="1690" t="str">
        <f>IF(B35="场地未平整","估价结果处理","")</f>
        <v/>
      </c>
      <c r="H36" s="3276"/>
      <c r="I36" s="3276"/>
      <c r="J36" s="1697"/>
      <c r="K36" s="1778"/>
      <c r="L36" s="1726"/>
      <c r="M36" s="1726"/>
      <c r="N36" s="1697"/>
      <c r="O36" s="1698"/>
      <c r="P36" s="1697"/>
      <c r="Q36" s="1697"/>
      <c r="R36" s="1697"/>
      <c r="S36" s="1697"/>
      <c r="T36" s="1697"/>
      <c r="U36" s="1697"/>
    </row>
    <row r="37" spans="1:21" ht="28.5">
      <c r="A37" s="3264"/>
      <c r="B37" s="3253"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64"/>
      <c r="B38" s="3254"/>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65"/>
      <c r="B39" s="325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2994</v>
      </c>
      <c r="C40" s="1693" t="s">
        <v>2995</v>
      </c>
      <c r="D40" s="1693" t="s">
        <v>2996</v>
      </c>
      <c r="E40" s="1693" t="s">
        <v>2997</v>
      </c>
      <c r="F40" s="1693" t="s">
        <v>2998</v>
      </c>
      <c r="G40" s="1693" t="s">
        <v>2999</v>
      </c>
      <c r="H40" s="1693"/>
      <c r="I40" s="1710"/>
      <c r="J40" s="1697"/>
      <c r="K40" s="1733">
        <f>COUNTIF(B40:H40,"——")</f>
        <v>0</v>
      </c>
      <c r="L40" s="1702" t="s">
        <v>1980</v>
      </c>
      <c r="M40" s="1699" t="s">
        <v>1981</v>
      </c>
      <c r="N40" s="1699" t="s">
        <v>1982</v>
      </c>
      <c r="O40" s="1699" t="s">
        <v>1983</v>
      </c>
      <c r="P40" s="1699" t="s">
        <v>1984</v>
      </c>
      <c r="Q40" s="1699" t="s">
        <v>1985</v>
      </c>
      <c r="R40" s="1699" t="s">
        <v>1986</v>
      </c>
      <c r="S40" s="3236" t="s">
        <v>1987</v>
      </c>
      <c r="T40" s="1734" t="str">
        <f>NUMBERSTRING(7-K40,1)&amp;"通"</f>
        <v>七通</v>
      </c>
      <c r="U40" s="1697"/>
    </row>
    <row r="41" spans="1:21">
      <c r="A41" s="1666"/>
      <c r="B41" s="3269" t="s">
        <v>1722</v>
      </c>
      <c r="C41" s="3269"/>
      <c r="D41" s="3269"/>
      <c r="E41" s="3269"/>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36"/>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2897</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17860.72</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17860.72</v>
      </c>
      <c r="H5" s="27">
        <f t="shared" ref="H5:AT5" si="0">SUM(H13:H641)</f>
        <v>17860.72</v>
      </c>
      <c r="I5" s="27">
        <f t="shared" si="0"/>
        <v>14309.68</v>
      </c>
      <c r="J5" s="27">
        <f t="shared" si="0"/>
        <v>0</v>
      </c>
      <c r="K5" s="27">
        <f t="shared" si="0"/>
        <v>2377.38</v>
      </c>
      <c r="L5" s="27">
        <f t="shared" si="0"/>
        <v>0</v>
      </c>
      <c r="M5" s="27">
        <f t="shared" si="0"/>
        <v>1173.6600000000001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17860.72</v>
      </c>
      <c r="BA5" s="29">
        <f t="shared" si="1"/>
        <v>17860.72</v>
      </c>
      <c r="BB5" s="29">
        <f t="shared" si="1"/>
        <v>14309.68</v>
      </c>
      <c r="BC5" s="29">
        <f t="shared" si="1"/>
        <v>2377.38</v>
      </c>
      <c r="BD5" s="29">
        <f t="shared" si="1"/>
        <v>1173.6600000000001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7741.6900000000005</v>
      </c>
      <c r="F6" s="27" t="s">
        <v>1</v>
      </c>
      <c r="G6" s="27" t="s">
        <v>2</v>
      </c>
      <c r="H6" s="33">
        <f>SUMIF(I$12:AB$12,"总值",I6:AB6)</f>
        <v>7741.6900000000005</v>
      </c>
      <c r="I6" s="27">
        <f t="shared" ref="I6:AB6" si="2">ROUND($A$3*I5/$B$3,2)</f>
        <v>6202.5</v>
      </c>
      <c r="J6" s="27">
        <f t="shared" si="2"/>
        <v>0</v>
      </c>
      <c r="K6" s="27">
        <f t="shared" si="2"/>
        <v>1030.47</v>
      </c>
      <c r="L6" s="27">
        <f t="shared" si="2"/>
        <v>0</v>
      </c>
      <c r="M6" s="27">
        <f t="shared" si="2"/>
        <v>508.72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6202.5</v>
      </c>
      <c r="BC6" s="27">
        <f t="shared" ref="BC6:BH6" si="4">ROUND($AY$6*BC5/$AZ$5,2)</f>
        <v>1030.47</v>
      </c>
      <c r="BD6" s="27">
        <f t="shared" si="4"/>
        <v>508.72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3002</v>
      </c>
      <c r="J9" s="51"/>
      <c r="K9" s="3049" t="s">
        <v>3006</v>
      </c>
      <c r="L9" s="51"/>
      <c r="M9" s="3049"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3007</v>
      </c>
      <c r="L10" s="51"/>
      <c r="M10" s="3051" t="s">
        <v>3113</v>
      </c>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3003</v>
      </c>
      <c r="J11" s="71"/>
      <c r="K11" s="3050" t="s">
        <v>3007</v>
      </c>
      <c r="L11" s="71"/>
      <c r="M11" s="70" t="s">
        <v>3112</v>
      </c>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t="str">
        <f>M11</f>
        <v>底商</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3001</v>
      </c>
      <c r="D13" s="3045" t="s">
        <v>1679</v>
      </c>
      <c r="E13" s="27">
        <f t="shared" ref="E13:E20" si="6">IF($C$3="是",ROUND($A$3*G13/$B$3,2),ROUND($A$3*(G13-AT13)/$B$3,2))</f>
        <v>6202.5</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6202.5</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3005</v>
      </c>
      <c r="D14" s="3045" t="s">
        <v>1679</v>
      </c>
      <c r="E14" s="27">
        <f t="shared" si="6"/>
        <v>1030.47</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1030.47</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3114</v>
      </c>
      <c r="D15" s="3045" t="s">
        <v>1679</v>
      </c>
      <c r="E15" s="27">
        <f t="shared" si="6"/>
        <v>508.72</v>
      </c>
      <c r="F15" s="81"/>
      <c r="G15" s="82">
        <f t="shared" si="7"/>
        <v>1173.6600000000001</v>
      </c>
      <c r="H15" s="33">
        <f t="shared" si="8"/>
        <v>1173.6600000000001</v>
      </c>
      <c r="I15" s="3048"/>
      <c r="J15" s="3048"/>
      <c r="K15" s="3048"/>
      <c r="L15" s="3048"/>
      <c r="M15" s="3048">
        <f>面积!E3</f>
        <v>1173.6600000000001</v>
      </c>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t="str">
        <f t="shared" si="10"/>
        <v>底商</v>
      </c>
      <c r="AY15" s="999">
        <f t="shared" si="11"/>
        <v>508.72</v>
      </c>
      <c r="AZ15" s="27">
        <f t="shared" si="12"/>
        <v>1173.6600000000001</v>
      </c>
      <c r="BA15" s="27">
        <f t="shared" si="13"/>
        <v>1173.6600000000001</v>
      </c>
      <c r="BB15" s="27">
        <f t="shared" si="14"/>
        <v>0</v>
      </c>
      <c r="BC15" s="27">
        <f t="shared" si="15"/>
        <v>0</v>
      </c>
      <c r="BD15" s="27">
        <f t="shared" si="16"/>
        <v>1173.6600000000001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88" t="s">
        <v>203</v>
      </c>
      <c r="B2" s="3288"/>
      <c r="C2" s="3288"/>
      <c r="D2" s="1979" t="s">
        <v>204</v>
      </c>
      <c r="E2" s="106" t="s">
        <v>205</v>
      </c>
      <c r="F2" s="1988"/>
      <c r="G2" s="1201"/>
      <c r="H2" s="1202"/>
      <c r="I2" s="1203" t="s">
        <v>857</v>
      </c>
      <c r="J2" s="1988"/>
      <c r="K2" s="1988"/>
      <c r="L2" s="1988"/>
    </row>
    <row r="3" spans="1:16" ht="15.75" thickBot="1">
      <c r="A3" s="3289" t="s">
        <v>206</v>
      </c>
      <c r="B3" s="3289"/>
      <c r="C3" s="3289"/>
      <c r="D3" s="107">
        <f>'数据-基础表'!AY6</f>
        <v>7741.69</v>
      </c>
      <c r="E3" s="107">
        <f>'数据-基础表'!AZ5</f>
        <v>17860.72</v>
      </c>
      <c r="F3" s="1988"/>
      <c r="G3" s="280" t="s">
        <v>858</v>
      </c>
      <c r="H3" s="275" t="s">
        <v>859</v>
      </c>
      <c r="I3" s="1980">
        <f>ROUND('数据-基础表'!B3/'数据-基础表'!A3,2)</f>
        <v>2.31</v>
      </c>
      <c r="J3" s="1988"/>
      <c r="K3" s="1988"/>
      <c r="L3" s="1988"/>
    </row>
    <row r="4" spans="1:16" ht="15">
      <c r="A4" s="3290"/>
      <c r="B4" s="3291"/>
      <c r="C4" s="3292"/>
      <c r="D4" s="108" t="s">
        <v>204</v>
      </c>
      <c r="E4" s="109" t="s">
        <v>205</v>
      </c>
      <c r="F4" s="1988"/>
      <c r="G4" s="1204"/>
      <c r="H4" s="275" t="s">
        <v>860</v>
      </c>
      <c r="I4" s="1980">
        <f>ROUND(SUMIF('数据-基础表'!I9:AS9,"地上",'数据-基础表'!I5:AS5)/'数据-基础表'!A3,2)</f>
        <v>2</v>
      </c>
      <c r="J4" s="1988"/>
      <c r="K4" s="1988"/>
      <c r="L4" s="1988"/>
    </row>
    <row r="5" spans="1:16">
      <c r="A5" s="110" t="s">
        <v>207</v>
      </c>
      <c r="B5" s="3293" t="s">
        <v>230</v>
      </c>
      <c r="C5" s="3293"/>
      <c r="D5" s="111">
        <f>ROUND($D$3*E5/$E$3,2)</f>
        <v>6202.5</v>
      </c>
      <c r="E5" s="112">
        <f>SUMIF('数据-基础表'!$11:$11,"住宅",'数据-基础表'!$5:$5)</f>
        <v>14309.68</v>
      </c>
      <c r="F5" s="1988"/>
      <c r="G5" s="280" t="s">
        <v>861</v>
      </c>
      <c r="H5" s="275" t="s">
        <v>859</v>
      </c>
      <c r="I5" s="1980">
        <f>ROUND(E31/D31,2)</f>
        <v>2.31</v>
      </c>
      <c r="J5" s="1988"/>
      <c r="K5" s="1988"/>
      <c r="L5" s="1988"/>
    </row>
    <row r="6" spans="1:16" ht="15" thickBot="1">
      <c r="A6" s="113"/>
      <c r="B6" s="3293" t="s">
        <v>208</v>
      </c>
      <c r="C6" s="3293"/>
      <c r="D6" s="111">
        <f>ROUND($D$3*E6/$E$3,2)</f>
        <v>1539.19</v>
      </c>
      <c r="E6" s="112">
        <f>E3-E5</f>
        <v>3551.0400000000009</v>
      </c>
      <c r="F6" s="1988"/>
      <c r="G6" s="1204"/>
      <c r="H6" s="275" t="s">
        <v>860</v>
      </c>
      <c r="I6" s="1980">
        <f>ROUND(F31/D31,2)</f>
        <v>2</v>
      </c>
      <c r="J6" s="1988"/>
      <c r="K6" s="1988"/>
      <c r="L6" s="1988"/>
    </row>
    <row r="7" spans="1:16" ht="15">
      <c r="A7" s="3285"/>
      <c r="B7" s="3286"/>
      <c r="C7" s="3287"/>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6711.22</v>
      </c>
      <c r="E8" s="116">
        <f>SUMIF('数据-基础表'!BB10:BK10,"地上",'数据-基础表'!BB5:BK5)</f>
        <v>15483.34</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1030.47</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7741.6900000000005</v>
      </c>
      <c r="E16" s="120">
        <f>SUM(E8:E15)</f>
        <v>17860.72</v>
      </c>
      <c r="F16" s="1988"/>
      <c r="G16" s="1990"/>
      <c r="H16" s="971" t="s">
        <v>219</v>
      </c>
      <c r="I16" s="972"/>
      <c r="J16" s="1988"/>
      <c r="K16" s="3279" t="s">
        <v>2571</v>
      </c>
      <c r="L16" s="3280"/>
      <c r="M16" s="3280"/>
      <c r="N16" s="3280"/>
      <c r="O16" s="3280"/>
      <c r="P16" s="3281"/>
    </row>
    <row r="17" spans="1:19" ht="15">
      <c r="A17" s="121" t="s">
        <v>216</v>
      </c>
      <c r="B17" s="122" t="s">
        <v>217</v>
      </c>
      <c r="C17" s="2302" t="s">
        <v>2315</v>
      </c>
      <c r="D17" s="108" t="s">
        <v>204</v>
      </c>
      <c r="E17" s="124" t="s">
        <v>205</v>
      </c>
      <c r="F17" s="125"/>
      <c r="G17" s="1369"/>
      <c r="H17" s="973" t="s">
        <v>218</v>
      </c>
      <c r="I17" s="974" t="s">
        <v>2314</v>
      </c>
      <c r="J17" s="1988"/>
      <c r="K17" s="3282" t="s">
        <v>2572</v>
      </c>
      <c r="L17" s="3283"/>
      <c r="M17" s="3284"/>
      <c r="N17" s="3282" t="s">
        <v>2573</v>
      </c>
      <c r="O17" s="3283"/>
      <c r="P17" s="3284"/>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3008</v>
      </c>
      <c r="D19" s="111">
        <f t="shared" ref="D19:D26" si="1">ROUND($D$3*E19/$E$3,2)</f>
        <v>6202.5</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6202.5</v>
      </c>
      <c r="S19" s="2305">
        <f t="shared" si="5"/>
        <v>14309.68</v>
      </c>
    </row>
    <row r="20" spans="1:19">
      <c r="A20" s="138"/>
      <c r="B20" s="115" t="s">
        <v>226</v>
      </c>
      <c r="C20" s="3055" t="s">
        <v>3009</v>
      </c>
      <c r="D20" s="111">
        <f t="shared" si="1"/>
        <v>1030.47</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1030.47</v>
      </c>
      <c r="S20" s="2305">
        <f t="shared" si="5"/>
        <v>2377.38</v>
      </c>
    </row>
    <row r="21" spans="1:19">
      <c r="A21" s="138"/>
      <c r="B21" s="115" t="s">
        <v>226</v>
      </c>
      <c r="C21" s="3055" t="s">
        <v>3115</v>
      </c>
      <c r="D21" s="111">
        <f t="shared" si="1"/>
        <v>508.72</v>
      </c>
      <c r="E21" s="134">
        <f t="shared" si="2"/>
        <v>1173.6600000000001</v>
      </c>
      <c r="F21" s="135">
        <f>'数据-基础表'!M15</f>
        <v>1173.6600000000001</v>
      </c>
      <c r="G21" s="1371"/>
      <c r="H21" s="977">
        <f t="shared" si="6"/>
        <v>0</v>
      </c>
      <c r="I21" s="116">
        <f t="shared" si="7"/>
        <v>0</v>
      </c>
      <c r="J21" s="1988"/>
      <c r="K21" s="2636">
        <f t="shared" si="3"/>
        <v>0</v>
      </c>
      <c r="L21" s="275">
        <f t="shared" si="4"/>
        <v>0</v>
      </c>
      <c r="M21" s="2637">
        <f t="shared" si="8"/>
        <v>0</v>
      </c>
      <c r="N21" s="2638"/>
      <c r="O21" s="2639"/>
      <c r="P21" s="2640">
        <f t="shared" si="9"/>
        <v>0</v>
      </c>
      <c r="R21" s="275">
        <f t="shared" si="5"/>
        <v>508.72</v>
      </c>
      <c r="S21" s="2305">
        <f t="shared" si="5"/>
        <v>1173.6600000000001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7741.6900000000005</v>
      </c>
      <c r="E27" s="143">
        <f>IF(SUM(E19:E26)='数据-基础表'!BA5,SUM(E19:E26),IF(F27="地上面积有误","面积有误","地下面积有误"))</f>
        <v>17860.72</v>
      </c>
      <c r="F27" s="134">
        <f>IF(SUM(F19:F26)=E8,SUM(F19:F26),"地上面积有误")</f>
        <v>15483.34</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7741.6900000000005</v>
      </c>
      <c r="S27" s="275">
        <f>IF(SUM(S19:S26)=$E$3,SUM(S19:S26),SUM(S19:S26)&amp;"误差"&amp;ROUND(SUM(S19:S26)-E3,2))</f>
        <v>17860.72</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7741.6900000000005</v>
      </c>
      <c r="E31" s="1375">
        <f>E27+E30</f>
        <v>17860.72</v>
      </c>
      <c r="F31" s="1376">
        <f>F27+F30</f>
        <v>15483.34</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3" sqref="R2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40.5">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2834</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0.996</v>
      </c>
      <c r="H6" s="3056">
        <v>0.05</v>
      </c>
      <c r="I6" s="3056">
        <v>5.5E-2</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v>
      </c>
      <c r="R6" s="179">
        <f>SUMIF('数据-汇总表'!C$19:C$33,A6,'数据-汇总表'!R$19:R$33)</f>
        <v>6202.5</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0.96299999999999997</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3007</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0.98699999999999999</v>
      </c>
      <c r="H7" s="3056">
        <v>4.4999999999999998E-2</v>
      </c>
      <c r="I7" s="3056">
        <v>0.05</v>
      </c>
      <c r="J7" s="176">
        <v>0.08</v>
      </c>
      <c r="K7" s="179">
        <f>SUMIF('数据-汇总表'!C$19:C$33,'数据-取费表'!A7,'数据-汇总表'!E$19:E$33)</f>
        <v>2377.38</v>
      </c>
      <c r="L7" s="3057">
        <v>2000</v>
      </c>
      <c r="M7" s="177">
        <f t="shared" si="0"/>
        <v>475</v>
      </c>
      <c r="N7" s="3058">
        <v>0</v>
      </c>
      <c r="O7" s="177">
        <f t="shared" ref="O7:O14" si="3">IF($N$5="成新度","——",ROUND(M7*N7,0))</f>
        <v>0</v>
      </c>
      <c r="P7" s="178">
        <f t="shared" ref="P7:P14" si="4">IF($N$5="成新度","——",M7-O7)</f>
        <v>475</v>
      </c>
      <c r="Q7" s="3059">
        <v>0.1</v>
      </c>
      <c r="R7" s="179">
        <f>SUMIF('数据-汇总表'!C$19:C$33,A7,'数据-汇总表'!R$19:R$33)</f>
        <v>1030.47</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0.8</v>
      </c>
      <c r="V7" s="181">
        <v>0.02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3122</v>
      </c>
      <c r="AO7" s="2004"/>
      <c r="AP7" s="1207">
        <f t="shared" ref="AP7:AP13" si="8">ROUND(1-1/(1+H7)^F7,3)</f>
        <v>0.878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底商</v>
      </c>
      <c r="B8" s="2341" t="str">
        <f t="shared" si="1"/>
        <v>经营性</v>
      </c>
      <c r="C8" s="173" t="s">
        <v>3113</v>
      </c>
      <c r="D8" s="2312">
        <f>SUMIF(项目基本情况!D$15:I$15,C8,项目基本情况!D$18:I$18)</f>
        <v>40</v>
      </c>
      <c r="E8" s="2313">
        <f>IF(B8="","",SUMIF(项目基本情况!D$15:I$15,C8,项目基本情况!D$17:I$17))</f>
        <v>56815</v>
      </c>
      <c r="F8" s="174">
        <f>SUMIF(项目基本情况!D$15:I$15,C8,项目基本情况!D$19:I$19)</f>
        <v>37.72</v>
      </c>
      <c r="G8" s="175">
        <f t="shared" si="2"/>
        <v>0.98299999999999998</v>
      </c>
      <c r="H8" s="3056">
        <v>5.5E-2</v>
      </c>
      <c r="I8" s="3056">
        <v>0.06</v>
      </c>
      <c r="J8" s="176">
        <v>0.08</v>
      </c>
      <c r="K8" s="179">
        <f>SUMIF('数据-汇总表'!C$19:C$33,'数据-取费表'!A8,'数据-汇总表'!E$19:E$33)</f>
        <v>1173.6600000000001</v>
      </c>
      <c r="L8" s="3057">
        <v>2500</v>
      </c>
      <c r="M8" s="177">
        <f>ROUND(K8*L8/10000,0)</f>
        <v>293</v>
      </c>
      <c r="N8" s="3058">
        <v>0</v>
      </c>
      <c r="O8" s="177">
        <f t="shared" si="3"/>
        <v>0</v>
      </c>
      <c r="P8" s="178">
        <f t="shared" si="4"/>
        <v>293</v>
      </c>
      <c r="Q8" s="3059">
        <v>0.25</v>
      </c>
      <c r="R8" s="179">
        <f>SUMIF('数据-汇总表'!C$19:C$33,A8,'数据-汇总表'!R$19:R$33)</f>
        <v>508.72</v>
      </c>
      <c r="S8" s="132">
        <f>IF('数据-汇总表'!$I$17="按面积比例",SUMIF('数据-汇总表'!C$19:C$33,A8,'数据-汇总表'!K$19:K$33),SUMIF('数据-汇总表'!C$19:C$33,A8,'数据-汇总表'!N$19:N$33))</f>
        <v>0</v>
      </c>
      <c r="T8" s="2238" t="str">
        <f t="shared" si="5"/>
        <v>0</v>
      </c>
      <c r="U8" s="180">
        <f>L23</f>
        <v>2.8</v>
      </c>
      <c r="V8" s="181">
        <v>0.03</v>
      </c>
      <c r="W8" s="181">
        <v>0.1</v>
      </c>
      <c r="X8" s="2325"/>
      <c r="Y8" s="182">
        <v>1</v>
      </c>
      <c r="Z8" s="183"/>
      <c r="AA8" s="176"/>
      <c r="AB8" s="176"/>
      <c r="AC8" s="2328"/>
      <c r="AD8" s="184"/>
      <c r="AE8" s="975">
        <f t="shared" ca="1" si="6"/>
        <v>37.72</v>
      </c>
      <c r="AF8" s="141"/>
      <c r="AG8" s="1216">
        <f t="shared" si="7"/>
        <v>0</v>
      </c>
      <c r="AH8" s="141"/>
      <c r="AI8" s="187">
        <v>365</v>
      </c>
      <c r="AJ8" s="188"/>
      <c r="AK8" s="189">
        <v>1.4999999999999999E-2</v>
      </c>
      <c r="AL8" s="190">
        <v>1.5E-3</v>
      </c>
      <c r="AM8" s="2418">
        <v>0.02</v>
      </c>
      <c r="AN8" s="2420" t="s">
        <v>3123</v>
      </c>
      <c r="AO8" s="2004"/>
      <c r="AP8" s="1207">
        <f t="shared" si="8"/>
        <v>0.86699999999999999</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0.05</v>
      </c>
      <c r="I16" s="204"/>
      <c r="J16" s="204"/>
      <c r="K16" s="205">
        <f>SUM(K6:K15)</f>
        <v>17860.72</v>
      </c>
      <c r="L16" s="206">
        <f>ROUND(M16*10000/SUM(K6:K14),0)</f>
        <v>2834</v>
      </c>
      <c r="M16" s="206">
        <f>SUM(M6:M14)</f>
        <v>5061</v>
      </c>
      <c r="N16" s="207">
        <f>ROUND(SUMPRODUCT(M6:M14,N6:N14)/M16,3)</f>
        <v>0</v>
      </c>
      <c r="O16" s="206">
        <f>SUM(O6:O14)</f>
        <v>0</v>
      </c>
      <c r="P16" s="206">
        <f>SUM(P6:P14)</f>
        <v>5061</v>
      </c>
      <c r="Q16" s="208">
        <f>ROUND(SUMPRODUCT(Q6:Q13,K6:K13)/SUMPRODUCT((Q6:Q13&gt;0)*(K6:K13)),2)</f>
        <v>0.19</v>
      </c>
      <c r="R16" s="2315">
        <f>SUM(R6:R13)</f>
        <v>7741.6900000000005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0.94499999999999995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2337</v>
      </c>
      <c r="D20" s="1997"/>
      <c r="E20" s="1996"/>
      <c r="F20" s="1996"/>
      <c r="G20" s="1996"/>
      <c r="H20" s="1996"/>
      <c r="I20" s="1996"/>
      <c r="J20" s="1993"/>
      <c r="K20" s="3204" t="s">
        <v>3117</v>
      </c>
      <c r="L20" s="3204" t="s">
        <v>3118</v>
      </c>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3" t="s">
        <v>3119</v>
      </c>
      <c r="K21" s="1993">
        <v>0.5</v>
      </c>
      <c r="L21" s="1993">
        <v>3.5</v>
      </c>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3" t="s">
        <v>3120</v>
      </c>
      <c r="K22" s="1993">
        <v>0.5</v>
      </c>
      <c r="L22" s="1993">
        <f>L21*0.6</f>
        <v>2.1</v>
      </c>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3204" t="s">
        <v>3121</v>
      </c>
      <c r="K23" s="1993"/>
      <c r="L23" s="1993">
        <f>L21*K21+L22*K22</f>
        <v>2.8</v>
      </c>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2898</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2899</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2900</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2901</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0.03</v>
      </c>
      <c r="C37" s="2369" t="s">
        <v>2902</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0.03</v>
      </c>
      <c r="C38" s="2369" t="s">
        <v>2902</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2903</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2904</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2905</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2906</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2907</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2908</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2909</v>
      </c>
      <c r="D53" s="3108" t="s">
        <v>2910</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2911</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2912</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2913</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2914</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2915</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2916</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2917</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2918</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2919</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2920</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94" t="s">
        <v>1664</v>
      </c>
      <c r="B1" s="3295"/>
      <c r="C1" s="3295"/>
      <c r="D1" s="3295"/>
      <c r="E1" s="3295"/>
      <c r="F1" s="3295"/>
      <c r="G1" s="3295"/>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3160</v>
      </c>
      <c r="D3" s="2013"/>
      <c r="E3" s="1232" t="s">
        <v>1667</v>
      </c>
      <c r="F3" s="1233" t="s">
        <v>1655</v>
      </c>
      <c r="G3" s="3115" t="s">
        <v>2925</v>
      </c>
      <c r="H3" s="2012"/>
      <c r="I3" s="2012"/>
      <c r="J3" s="2012"/>
      <c r="K3" s="2012"/>
      <c r="L3" s="2012"/>
      <c r="M3" s="2012"/>
      <c r="N3" s="2012"/>
      <c r="O3" s="2012"/>
      <c r="P3" s="2012"/>
      <c r="Q3" s="2012"/>
      <c r="R3" s="2012"/>
    </row>
    <row r="4" spans="1:18" ht="41.25">
      <c r="A4" s="1232"/>
      <c r="B4" s="1234" t="s">
        <v>1668</v>
      </c>
      <c r="C4" s="3112" t="s">
        <v>2926</v>
      </c>
      <c r="D4" s="2013"/>
      <c r="E4" s="1235"/>
      <c r="F4" s="1236" t="s">
        <v>1669</v>
      </c>
      <c r="G4" s="3113" t="s">
        <v>2922</v>
      </c>
      <c r="H4" s="2012"/>
      <c r="I4" s="2012"/>
      <c r="J4" s="2012"/>
      <c r="K4" s="2012"/>
      <c r="L4" s="2012"/>
      <c r="M4" s="2012"/>
      <c r="N4" s="2012"/>
      <c r="O4" s="2012"/>
      <c r="P4" s="2012"/>
      <c r="Q4" s="2012"/>
      <c r="R4" s="2012"/>
    </row>
    <row r="5" spans="1:18" ht="41.25">
      <c r="A5" s="1232"/>
      <c r="B5" s="1234" t="s">
        <v>1670</v>
      </c>
      <c r="C5" s="3112" t="s">
        <v>2927</v>
      </c>
      <c r="D5" s="2013"/>
      <c r="E5" s="1235"/>
      <c r="F5" s="1234" t="s">
        <v>2551</v>
      </c>
      <c r="G5" s="3113" t="s">
        <v>2923</v>
      </c>
      <c r="H5" s="2012"/>
      <c r="I5" s="2012"/>
      <c r="J5" s="2012"/>
      <c r="K5" s="2012"/>
      <c r="L5" s="2012"/>
      <c r="M5" s="2012"/>
      <c r="N5" s="2012"/>
      <c r="O5" s="2012"/>
      <c r="P5" s="2012"/>
      <c r="Q5" s="2012"/>
      <c r="R5" s="2012"/>
    </row>
    <row r="6" spans="1:18" ht="67.5">
      <c r="A6" s="1232"/>
      <c r="B6" s="1234" t="s">
        <v>1656</v>
      </c>
      <c r="C6" s="3184" t="s">
        <v>3171</v>
      </c>
      <c r="D6" s="2013"/>
      <c r="E6" s="1235"/>
      <c r="F6" s="1234" t="s">
        <v>2552</v>
      </c>
      <c r="G6" s="3113" t="s">
        <v>2921</v>
      </c>
      <c r="H6" s="2012"/>
      <c r="I6" s="2012"/>
      <c r="J6" s="2012"/>
      <c r="K6" s="2012"/>
      <c r="L6" s="2012"/>
      <c r="M6" s="2012"/>
      <c r="N6" s="2012"/>
      <c r="O6" s="2012"/>
      <c r="P6" s="2012"/>
      <c r="Q6" s="2012"/>
      <c r="R6" s="2012"/>
    </row>
    <row r="7" spans="1:18" ht="54.75" thickBot="1">
      <c r="A7" s="1232"/>
      <c r="B7" s="1234" t="s">
        <v>2551</v>
      </c>
      <c r="C7" s="3184" t="s">
        <v>3181</v>
      </c>
      <c r="D7" s="2014"/>
      <c r="E7" s="1237"/>
      <c r="F7" s="1238" t="s">
        <v>1671</v>
      </c>
      <c r="G7" s="3116" t="s">
        <v>2924</v>
      </c>
      <c r="H7" s="2012"/>
      <c r="I7" s="2012"/>
      <c r="J7" s="2012"/>
      <c r="K7" s="2012"/>
      <c r="L7" s="2012"/>
      <c r="M7" s="2012"/>
      <c r="N7" s="2012"/>
      <c r="O7" s="2012"/>
      <c r="P7" s="2012"/>
      <c r="Q7" s="2012"/>
      <c r="R7" s="2012"/>
    </row>
    <row r="8" spans="1:18">
      <c r="A8" s="1232"/>
      <c r="B8" s="1234" t="s">
        <v>2552</v>
      </c>
      <c r="C8" s="3184" t="s">
        <v>3066</v>
      </c>
      <c r="D8" s="2014"/>
      <c r="E8" s="2014"/>
      <c r="F8" s="1557"/>
      <c r="G8" s="1557"/>
      <c r="H8" s="2012"/>
      <c r="I8" s="2012"/>
      <c r="J8" s="2012"/>
      <c r="K8" s="2012"/>
      <c r="L8" s="2012"/>
      <c r="M8" s="2012"/>
      <c r="N8" s="2012"/>
      <c r="O8" s="2012"/>
      <c r="P8" s="2012"/>
      <c r="Q8" s="2012"/>
      <c r="R8" s="2012"/>
    </row>
    <row r="9" spans="1:18" ht="40.5">
      <c r="A9" s="1232"/>
      <c r="B9" s="1234" t="s">
        <v>1657</v>
      </c>
      <c r="C9" s="3185" t="s">
        <v>3172</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3102</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3103</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C1" workbookViewId="0">
      <selection activeCell="D3" sqref="D3:D8"/>
    </sheetView>
  </sheetViews>
  <sheetFormatPr defaultRowHeight="13.5"/>
  <cols>
    <col min="1" max="1" width="18.25" customWidth="1"/>
    <col min="2" max="2" width="14.375" customWidth="1"/>
    <col min="3" max="3" width="16.875" customWidth="1"/>
    <col min="4" max="5" width="13.75" customWidth="1"/>
    <col min="7" max="7" width="10.5" customWidth="1"/>
    <col min="8" max="8" width="8.75" customWidth="1"/>
  </cols>
  <sheetData>
    <row r="1" spans="1:10">
      <c r="A1" s="3170" t="s">
        <v>3124</v>
      </c>
      <c r="B1">
        <v>339496</v>
      </c>
      <c r="C1" s="3170" t="s">
        <v>3125</v>
      </c>
      <c r="D1">
        <v>67541</v>
      </c>
      <c r="E1" s="3170" t="s">
        <v>3126</v>
      </c>
      <c r="F1">
        <v>27845</v>
      </c>
      <c r="G1" s="3170" t="s">
        <v>3127</v>
      </c>
      <c r="H1">
        <v>11216</v>
      </c>
      <c r="I1" s="3170" t="s">
        <v>3128</v>
      </c>
      <c r="J1">
        <v>43188</v>
      </c>
    </row>
    <row r="2" spans="1:10">
      <c r="B2" s="3170" t="s">
        <v>3129</v>
      </c>
      <c r="C2" s="3170" t="s">
        <v>3130</v>
      </c>
      <c r="D2" s="3170" t="s">
        <v>3131</v>
      </c>
      <c r="E2" s="3170" t="s">
        <v>3132</v>
      </c>
      <c r="F2" s="3170" t="s">
        <v>3133</v>
      </c>
    </row>
    <row r="3" spans="1:10">
      <c r="A3" s="3170" t="s">
        <v>3134</v>
      </c>
      <c r="B3">
        <v>7741.69</v>
      </c>
      <c r="C3">
        <f>ROUND(B1*B3/B6,2)</f>
        <v>14309.68</v>
      </c>
      <c r="D3">
        <f>ROUND(D1*B3/B8,2)</f>
        <v>2377.38</v>
      </c>
      <c r="E3">
        <f>ROUND(F1*B3/B6,2)</f>
        <v>1173.6600000000001</v>
      </c>
      <c r="F3">
        <f>C3+D3+E3</f>
        <v>17860.72</v>
      </c>
    </row>
    <row r="4" spans="1:10">
      <c r="A4" s="3170" t="s">
        <v>3135</v>
      </c>
      <c r="B4">
        <v>4469.93</v>
      </c>
      <c r="C4">
        <f>ROUND(B1*B4/B6,2)</f>
        <v>8262.19</v>
      </c>
      <c r="D4">
        <f>ROUND(D1*B4/B8,2)</f>
        <v>1372.66</v>
      </c>
      <c r="E4">
        <f>ROUND(F1*B4/B6,2)</f>
        <v>677.65</v>
      </c>
      <c r="F4">
        <f t="shared" ref="F4:F5" si="0">C4+D4+E4</f>
        <v>10312.5</v>
      </c>
    </row>
    <row r="5" spans="1:10">
      <c r="A5" s="3170" t="s">
        <v>3136</v>
      </c>
      <c r="B5">
        <v>171459.31</v>
      </c>
      <c r="C5">
        <f>ROUND(B1*B5/B6,2)</f>
        <v>316924.13</v>
      </c>
      <c r="D5">
        <f>ROUND(D1*B5/B8,2)</f>
        <v>52653.01</v>
      </c>
      <c r="E5">
        <f>ROUND(F1*B5/B6,2)</f>
        <v>25993.69</v>
      </c>
      <c r="F5">
        <f t="shared" si="0"/>
        <v>395570.83</v>
      </c>
    </row>
    <row r="6" spans="1:10">
      <c r="A6" s="3170" t="s">
        <v>3137</v>
      </c>
      <c r="B6" s="3170">
        <f>B3+B4+B5</f>
        <v>183670.93</v>
      </c>
    </row>
    <row r="7" spans="1:10">
      <c r="A7" s="3170" t="s">
        <v>3138</v>
      </c>
      <c r="B7" s="3170">
        <v>36269.660000000003</v>
      </c>
      <c r="D7">
        <f>D1-D3-D4-D5</f>
        <v>11137.949999999997</v>
      </c>
      <c r="F7">
        <f>D7+J1+H1</f>
        <v>65541.95</v>
      </c>
    </row>
    <row r="8" spans="1:10">
      <c r="A8" s="3170" t="s">
        <v>3139</v>
      </c>
      <c r="B8">
        <f>B3+B4+B5+B7</f>
        <v>219940.59</v>
      </c>
    </row>
    <row r="12" spans="1:10">
      <c r="B12" s="3170" t="s">
        <v>3140</v>
      </c>
      <c r="C12" s="3170" t="s">
        <v>3141</v>
      </c>
      <c r="D12" s="3170" t="s">
        <v>3142</v>
      </c>
    </row>
    <row r="13" spans="1:10">
      <c r="A13" s="3170" t="s">
        <v>3134</v>
      </c>
      <c r="B13">
        <f ca="1">典型户型修正!S24</f>
        <v>8890</v>
      </c>
      <c r="C13">
        <f ca="1">ROUND(B13/F3*10000,0)</f>
        <v>4977</v>
      </c>
      <c r="D13">
        <f ca="1">ROUND(B13/B3*10000,0)</f>
        <v>11483</v>
      </c>
    </row>
    <row r="14" spans="1:10">
      <c r="A14" s="3170" t="s">
        <v>2867</v>
      </c>
      <c r="B14">
        <f ca="1">典型户型修正!S25</f>
        <v>5133</v>
      </c>
      <c r="C14">
        <f ca="1">ROUND(B14/F4*10000,0)</f>
        <v>4977</v>
      </c>
      <c r="D14">
        <f t="shared" ref="D14:D15" ca="1" si="1">ROUND(B14/B4*10000,0)</f>
        <v>11483</v>
      </c>
    </row>
    <row r="15" spans="1:10">
      <c r="A15" s="3170" t="s">
        <v>2868</v>
      </c>
      <c r="B15">
        <f ca="1">典型户型修正!S26</f>
        <v>216570</v>
      </c>
      <c r="C15">
        <f ca="1">ROUND(B15/F5*10000,0)</f>
        <v>5475</v>
      </c>
      <c r="D15">
        <f t="shared" ca="1" si="1"/>
        <v>12631</v>
      </c>
    </row>
    <row r="16" spans="1:10">
      <c r="A16" s="3170" t="s">
        <v>2869</v>
      </c>
      <c r="B16">
        <f ca="1">[1]结果表!$G$19</f>
        <v>20352</v>
      </c>
      <c r="C16">
        <f ca="1">ROUND(B16/C34*10000,0)</f>
        <v>3105</v>
      </c>
      <c r="D16">
        <f ca="1">ROUND(B16/B34*10000,0)</f>
        <v>5611</v>
      </c>
    </row>
    <row r="17" spans="1:8">
      <c r="A17" s="3170" t="s">
        <v>3143</v>
      </c>
      <c r="B17">
        <f ca="1">B13+B14+B15+B16</f>
        <v>250945</v>
      </c>
      <c r="C17">
        <f ca="1">ROUND(B17/507630*10000,0)</f>
        <v>4943</v>
      </c>
      <c r="D17">
        <f ca="1">ROUND(B17/B8*10000,0)</f>
        <v>11410</v>
      </c>
    </row>
    <row r="21" spans="1:8">
      <c r="A21" s="3170" t="s">
        <v>3144</v>
      </c>
      <c r="B21" s="3170" t="s">
        <v>3145</v>
      </c>
      <c r="C21" s="3170" t="s">
        <v>3146</v>
      </c>
    </row>
    <row r="22" spans="1:8">
      <c r="A22">
        <v>72811.64</v>
      </c>
      <c r="B22">
        <v>273592.5</v>
      </c>
      <c r="C22">
        <v>219940.59</v>
      </c>
      <c r="D22">
        <f>A22*C22/B22</f>
        <v>58533.165421082813</v>
      </c>
    </row>
    <row r="24" spans="1:8">
      <c r="B24" s="3170"/>
      <c r="C24" s="3170"/>
      <c r="D24" s="3170"/>
    </row>
    <row r="25" spans="1:8">
      <c r="A25" s="3170" t="s">
        <v>3147</v>
      </c>
      <c r="B25">
        <f ca="1">B17</f>
        <v>250945</v>
      </c>
      <c r="C25" s="3170" t="s">
        <v>3150</v>
      </c>
      <c r="D25" s="3170" t="s">
        <v>3151</v>
      </c>
    </row>
    <row r="26" spans="1:8">
      <c r="A26" s="3170" t="s">
        <v>3148</v>
      </c>
      <c r="B26">
        <v>78390</v>
      </c>
      <c r="C26">
        <f ca="1">B25-B26</f>
        <v>172555</v>
      </c>
      <c r="D26">
        <f ca="1">C26*0.59</f>
        <v>101807.45</v>
      </c>
    </row>
    <row r="27" spans="1:8">
      <c r="A27" s="3170" t="s">
        <v>3149</v>
      </c>
      <c r="B27">
        <v>51306</v>
      </c>
      <c r="C27">
        <f ca="1">B25-B27</f>
        <v>199639</v>
      </c>
      <c r="D27">
        <f ca="1">C27*0.59</f>
        <v>117787.01</v>
      </c>
    </row>
    <row r="30" spans="1:8">
      <c r="B30" s="3170" t="s">
        <v>3153</v>
      </c>
      <c r="C30" s="3170" t="s">
        <v>3154</v>
      </c>
      <c r="D30" s="3170" t="s">
        <v>3155</v>
      </c>
      <c r="E30" s="3170" t="s">
        <v>3156</v>
      </c>
      <c r="F30" s="3170" t="s">
        <v>3157</v>
      </c>
      <c r="G30" s="3170" t="s">
        <v>3158</v>
      </c>
      <c r="H30" s="3170" t="s">
        <v>3159</v>
      </c>
    </row>
    <row r="31" spans="1:8">
      <c r="A31" s="3170" t="s">
        <v>3152</v>
      </c>
      <c r="B31">
        <v>7741.69</v>
      </c>
      <c r="C31">
        <f>D31+E31+F31+G31+H31</f>
        <v>17860.72</v>
      </c>
      <c r="D31">
        <f>C3</f>
        <v>14309.68</v>
      </c>
      <c r="G31">
        <f>E3</f>
        <v>1173.6600000000001</v>
      </c>
      <c r="H31">
        <f>D3</f>
        <v>2377.38</v>
      </c>
    </row>
    <row r="32" spans="1:8">
      <c r="A32" s="3170" t="s">
        <v>2867</v>
      </c>
      <c r="B32">
        <v>4469.93</v>
      </c>
      <c r="C32">
        <f t="shared" ref="C32:C34" si="2">D32+E32+F32+G32+H32</f>
        <v>10312.5</v>
      </c>
      <c r="D32">
        <f>C4</f>
        <v>8262.19</v>
      </c>
      <c r="G32">
        <f>E4</f>
        <v>677.65</v>
      </c>
      <c r="H32">
        <f>D4</f>
        <v>1372.66</v>
      </c>
    </row>
    <row r="33" spans="1:8">
      <c r="A33" s="3170" t="s">
        <v>2868</v>
      </c>
      <c r="B33">
        <v>171459.31</v>
      </c>
      <c r="C33">
        <f t="shared" si="2"/>
        <v>395570.83</v>
      </c>
      <c r="D33">
        <f>C5</f>
        <v>316924.13</v>
      </c>
      <c r="G33">
        <f>E5</f>
        <v>25993.69</v>
      </c>
      <c r="H33">
        <f>D5</f>
        <v>52653.01</v>
      </c>
    </row>
    <row r="34" spans="1:8">
      <c r="A34" s="3170" t="s">
        <v>2869</v>
      </c>
      <c r="B34" s="3170">
        <v>36269.660000000003</v>
      </c>
      <c r="C34">
        <f t="shared" si="2"/>
        <v>65541.95</v>
      </c>
      <c r="D34" s="3170"/>
      <c r="E34">
        <f>J1</f>
        <v>43188</v>
      </c>
      <c r="F34">
        <f>H1</f>
        <v>11216</v>
      </c>
      <c r="H34">
        <f>D7</f>
        <v>11137.949999999997</v>
      </c>
    </row>
    <row r="35" spans="1:8">
      <c r="B35">
        <f>B31+B32+B33+B34</f>
        <v>219940.59</v>
      </c>
      <c r="C35">
        <f>C31+C32+C33+C34</f>
        <v>489286.00000000006</v>
      </c>
      <c r="D35">
        <f t="shared" ref="D35:H35" si="3">D31+D32+D33+D34</f>
        <v>339496</v>
      </c>
      <c r="E35">
        <f t="shared" si="3"/>
        <v>43188</v>
      </c>
      <c r="F35">
        <f t="shared" si="3"/>
        <v>11216</v>
      </c>
      <c r="G35">
        <f t="shared" si="3"/>
        <v>27845</v>
      </c>
      <c r="H35">
        <f t="shared" si="3"/>
        <v>67541</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3" sqref="C23"/>
    </sheetView>
  </sheetViews>
  <sheetFormatPr defaultColWidth="14.625" defaultRowHeight="13.5"/>
  <cols>
    <col min="1" max="1" width="24.375" customWidth="1"/>
  </cols>
  <sheetData>
    <row r="1" spans="1:9" ht="16.5">
      <c r="A1" s="3076" t="s">
        <v>2850</v>
      </c>
      <c r="B1" s="3076">
        <f>SUM(B14:B23)</f>
        <v>489286.00000000006</v>
      </c>
      <c r="C1" s="3077"/>
      <c r="D1" s="3077"/>
      <c r="E1" s="3077"/>
      <c r="F1" s="3077"/>
    </row>
    <row r="2" spans="1:9" ht="16.5">
      <c r="A2" s="3076" t="s">
        <v>2851</v>
      </c>
      <c r="B2" s="3076">
        <f>SUM(C14:C23)</f>
        <v>219940.59</v>
      </c>
      <c r="C2" s="3077"/>
      <c r="D2" s="3077"/>
      <c r="E2" s="3077"/>
      <c r="F2" s="3077"/>
    </row>
    <row r="3" spans="1:9" ht="16.5">
      <c r="A3" s="3076" t="s">
        <v>2852</v>
      </c>
      <c r="B3" s="3078">
        <f>项目基本情况!D3</f>
        <v>43047</v>
      </c>
      <c r="C3" s="3077"/>
      <c r="D3" s="3077"/>
      <c r="E3" s="3077"/>
      <c r="F3" s="3077"/>
    </row>
    <row r="4" spans="1:9" ht="33">
      <c r="A4" s="3076" t="s">
        <v>2853</v>
      </c>
      <c r="B4" s="3076" t="s">
        <v>2854</v>
      </c>
      <c r="C4" s="3076" t="s">
        <v>2855</v>
      </c>
      <c r="D4" s="3076" t="s">
        <v>2856</v>
      </c>
      <c r="E4" s="3077"/>
      <c r="F4" s="3077"/>
    </row>
    <row r="5" spans="1:9" ht="16.5">
      <c r="A5" s="3076" t="s">
        <v>2857</v>
      </c>
      <c r="B5" s="3076">
        <f ca="1">SUM(D14:D23)</f>
        <v>250945</v>
      </c>
      <c r="C5" s="3076">
        <f ca="1">ROUND(B5*10000/$B$1,0)</f>
        <v>5129</v>
      </c>
      <c r="D5" s="3076">
        <f ca="1">ROUND(B5*10000/$B$2,0)</f>
        <v>11410</v>
      </c>
      <c r="E5" s="3077"/>
      <c r="F5" s="3077"/>
    </row>
    <row r="6" spans="1:9" ht="16.5">
      <c r="A6" s="3076" t="s">
        <v>2858</v>
      </c>
      <c r="B6" s="3076">
        <f>SUM(G14:G23)</f>
        <v>0</v>
      </c>
      <c r="C6" s="3076">
        <f t="shared" ref="C6:C8" si="0">ROUND(B6*10000/$B$1,0)</f>
        <v>0</v>
      </c>
      <c r="D6" s="3076">
        <f t="shared" ref="D6:D8" si="1">ROUND(B6*10000/$B$2,0)</f>
        <v>0</v>
      </c>
      <c r="E6" s="3077"/>
      <c r="F6" s="3077"/>
    </row>
    <row r="7" spans="1:9" ht="16.5">
      <c r="A7" s="3076" t="s">
        <v>2859</v>
      </c>
      <c r="B7" s="3076">
        <f ca="1">SUM(H14:H23)</f>
        <v>250945</v>
      </c>
      <c r="C7" s="3076">
        <f t="shared" ca="1" si="0"/>
        <v>5129</v>
      </c>
      <c r="D7" s="3076">
        <f t="shared" ca="1" si="1"/>
        <v>11410</v>
      </c>
      <c r="E7" s="3077"/>
      <c r="F7" s="3077"/>
    </row>
    <row r="8" spans="1:9" ht="16.5">
      <c r="A8" s="3076" t="s">
        <v>2860</v>
      </c>
      <c r="B8" s="3076">
        <f>SUM(I14:I23)</f>
        <v>0</v>
      </c>
      <c r="C8" s="3076">
        <f t="shared" si="0"/>
        <v>0</v>
      </c>
      <c r="D8" s="3076">
        <f t="shared" si="1"/>
        <v>0</v>
      </c>
      <c r="E8" s="3077"/>
      <c r="F8" s="3077"/>
    </row>
    <row r="9" spans="1:9" ht="16.5">
      <c r="A9" s="3076" t="s">
        <v>2861</v>
      </c>
      <c r="B9" s="3079"/>
      <c r="C9" s="3077"/>
      <c r="D9" s="3077"/>
      <c r="E9" s="3077"/>
      <c r="F9" s="3077"/>
    </row>
    <row r="10" spans="1:9" ht="16.5">
      <c r="A10" s="3076" t="s">
        <v>2862</v>
      </c>
      <c r="B10" s="3079"/>
      <c r="C10" s="3077"/>
      <c r="D10" s="3077"/>
      <c r="E10" s="3077"/>
      <c r="F10" s="3077"/>
    </row>
    <row r="11" spans="1:9" ht="16.5">
      <c r="A11" s="3076" t="s">
        <v>2879</v>
      </c>
      <c r="B11" s="3079"/>
      <c r="C11" s="3077"/>
      <c r="D11" s="3077"/>
      <c r="E11" s="3077"/>
      <c r="F11" s="3077"/>
    </row>
    <row r="12" spans="1:9" ht="16.5">
      <c r="A12" s="3077"/>
      <c r="B12" s="3077"/>
      <c r="C12" s="3077"/>
      <c r="D12" s="3077"/>
      <c r="E12" s="3077"/>
      <c r="F12" s="3077"/>
    </row>
    <row r="13" spans="1:9" ht="33">
      <c r="A13" s="3082" t="s">
        <v>2878</v>
      </c>
      <c r="B13" s="3080" t="s">
        <v>2850</v>
      </c>
      <c r="C13" s="3080" t="s">
        <v>2851</v>
      </c>
      <c r="D13" s="3080" t="s">
        <v>2863</v>
      </c>
      <c r="E13" s="3076" t="s">
        <v>2877</v>
      </c>
      <c r="F13" s="3076" t="s">
        <v>2856</v>
      </c>
      <c r="G13" s="3080" t="s">
        <v>2864</v>
      </c>
      <c r="H13" s="3080" t="s">
        <v>2865</v>
      </c>
      <c r="I13" s="3080" t="s">
        <v>2866</v>
      </c>
    </row>
    <row r="14" spans="1:9" ht="16.5">
      <c r="A14" s="3083" t="s">
        <v>2876</v>
      </c>
      <c r="B14" s="3080">
        <f>结果表!L38</f>
        <v>17860.72</v>
      </c>
      <c r="C14" s="3080">
        <f>结果表!K38</f>
        <v>7741.69</v>
      </c>
      <c r="D14" s="3080">
        <f ca="1">结果表!C42</f>
        <v>8890</v>
      </c>
      <c r="E14" s="3080">
        <f ca="1">ROUND(D14*10000/B14,0)</f>
        <v>4977</v>
      </c>
      <c r="F14" s="3080">
        <f ca="1">ROUND(D14*10000/C14,0)</f>
        <v>11483</v>
      </c>
      <c r="G14" s="3080" t="str">
        <f>结果表!C44</f>
        <v>——</v>
      </c>
      <c r="H14" s="3080">
        <f ca="1">结果表!C45</f>
        <v>8890</v>
      </c>
      <c r="I14" s="3080" t="str">
        <f>结果表!C46</f>
        <v>——</v>
      </c>
    </row>
    <row r="15" spans="1:9" ht="16.5">
      <c r="A15" s="3083" t="s">
        <v>2867</v>
      </c>
      <c r="B15" s="3084">
        <f>面积!C32</f>
        <v>10312.5</v>
      </c>
      <c r="C15" s="3084">
        <f>面积!B32</f>
        <v>4469.93</v>
      </c>
      <c r="D15" s="3084">
        <f ca="1">面积!B14</f>
        <v>5133</v>
      </c>
      <c r="E15" s="3080">
        <f t="shared" ref="E15:E23" ca="1" si="2">ROUND(D15*10000/B15,0)</f>
        <v>4977</v>
      </c>
      <c r="F15" s="3080">
        <f t="shared" ref="F15:F23" ca="1" si="3">ROUND(D15*10000/C15,0)</f>
        <v>11483</v>
      </c>
      <c r="G15" s="3081"/>
      <c r="H15" s="3081">
        <f ca="1">D15</f>
        <v>5133</v>
      </c>
      <c r="I15" s="3084"/>
    </row>
    <row r="16" spans="1:9" ht="16.5">
      <c r="A16" s="3083" t="s">
        <v>2868</v>
      </c>
      <c r="B16" s="3084">
        <f>面积!C33</f>
        <v>395570.83</v>
      </c>
      <c r="C16" s="3084">
        <f>面积!B33</f>
        <v>171459.31</v>
      </c>
      <c r="D16" s="3084">
        <f ca="1">面积!B15</f>
        <v>216570</v>
      </c>
      <c r="E16" s="3080">
        <f t="shared" ca="1" si="2"/>
        <v>5475</v>
      </c>
      <c r="F16" s="3080">
        <f t="shared" ca="1" si="3"/>
        <v>12631</v>
      </c>
      <c r="G16" s="3081"/>
      <c r="H16" s="3081">
        <f t="shared" ref="H16:H17" ca="1" si="4">D16</f>
        <v>216570</v>
      </c>
      <c r="I16" s="3084"/>
    </row>
    <row r="17" spans="1:9" ht="16.5">
      <c r="A17" s="3083" t="s">
        <v>2869</v>
      </c>
      <c r="B17" s="3084">
        <f>面积!C34</f>
        <v>65541.95</v>
      </c>
      <c r="C17" s="3084">
        <f>面积!B34</f>
        <v>36269.660000000003</v>
      </c>
      <c r="D17" s="3084">
        <f ca="1">面积!B16</f>
        <v>20352</v>
      </c>
      <c r="E17" s="3080">
        <f t="shared" ca="1" si="2"/>
        <v>3105</v>
      </c>
      <c r="F17" s="3080">
        <f t="shared" ca="1" si="3"/>
        <v>5611</v>
      </c>
      <c r="G17" s="3081"/>
      <c r="H17" s="3081">
        <f t="shared" ca="1" si="4"/>
        <v>20352</v>
      </c>
      <c r="I17" s="3084"/>
    </row>
    <row r="18" spans="1:9" ht="16.5">
      <c r="A18" s="3083" t="s">
        <v>2870</v>
      </c>
      <c r="B18" s="3084"/>
      <c r="C18" s="3084"/>
      <c r="D18" s="3084"/>
      <c r="E18" s="3080" t="e">
        <f t="shared" si="2"/>
        <v>#DIV/0!</v>
      </c>
      <c r="F18" s="3080" t="e">
        <f t="shared" si="3"/>
        <v>#DIV/0!</v>
      </c>
      <c r="G18" s="3084"/>
      <c r="H18" s="3084"/>
      <c r="I18" s="3084"/>
    </row>
    <row r="19" spans="1:9" ht="16.5">
      <c r="A19" s="3083" t="s">
        <v>2871</v>
      </c>
      <c r="B19" s="3084"/>
      <c r="C19" s="3084"/>
      <c r="D19" s="3084"/>
      <c r="E19" s="3080" t="e">
        <f t="shared" si="2"/>
        <v>#DIV/0!</v>
      </c>
      <c r="F19" s="3080" t="e">
        <f t="shared" si="3"/>
        <v>#DIV/0!</v>
      </c>
      <c r="G19" s="3084"/>
      <c r="H19" s="3084"/>
      <c r="I19" s="3084"/>
    </row>
    <row r="20" spans="1:9" ht="16.5">
      <c r="A20" s="3083" t="s">
        <v>2872</v>
      </c>
      <c r="B20" s="3084"/>
      <c r="C20" s="3084"/>
      <c r="D20" s="3084"/>
      <c r="E20" s="3080" t="e">
        <f t="shared" si="2"/>
        <v>#DIV/0!</v>
      </c>
      <c r="F20" s="3080" t="e">
        <f t="shared" si="3"/>
        <v>#DIV/0!</v>
      </c>
      <c r="G20" s="3084"/>
      <c r="H20" s="3084"/>
      <c r="I20" s="3084"/>
    </row>
    <row r="21" spans="1:9" ht="16.5">
      <c r="A21" s="3083" t="s">
        <v>2873</v>
      </c>
      <c r="B21" s="3084"/>
      <c r="C21" s="3084"/>
      <c r="D21" s="3084"/>
      <c r="E21" s="3080" t="e">
        <f t="shared" si="2"/>
        <v>#DIV/0!</v>
      </c>
      <c r="F21" s="3080" t="e">
        <f t="shared" si="3"/>
        <v>#DIV/0!</v>
      </c>
      <c r="G21" s="3084"/>
      <c r="H21" s="3084"/>
      <c r="I21" s="3084"/>
    </row>
    <row r="22" spans="1:9" ht="16.5">
      <c r="A22" s="3083" t="s">
        <v>2874</v>
      </c>
      <c r="B22" s="3084"/>
      <c r="C22" s="3084"/>
      <c r="D22" s="3084"/>
      <c r="E22" s="3080" t="e">
        <f t="shared" si="2"/>
        <v>#DIV/0!</v>
      </c>
      <c r="F22" s="3080" t="e">
        <f t="shared" si="3"/>
        <v>#DIV/0!</v>
      </c>
      <c r="G22" s="3084"/>
      <c r="H22" s="3084"/>
      <c r="I22" s="3084"/>
    </row>
    <row r="23" spans="1:9" ht="16.5">
      <c r="A23" s="3083" t="s">
        <v>2875</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9" zoomScaleSheetLayoutView="100" zoomScalePageLayoutView="80" workbookViewId="0">
      <selection activeCell="H24" sqref="H24"/>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41" t="str">
        <f>项目基本情况!K2</f>
        <v>海南省海口市椰海大道南侧、丘海大道延长线西侧出让国有建设用地使用权</v>
      </c>
      <c r="B2" s="3342"/>
      <c r="C2" s="3343"/>
      <c r="D2" s="3343"/>
      <c r="E2" s="3343"/>
      <c r="F2" s="3343"/>
      <c r="G2" s="3342"/>
      <c r="H2" s="3342"/>
      <c r="I2" s="3344"/>
      <c r="J2" s="2034"/>
      <c r="K2" s="2033"/>
      <c r="L2" s="2033"/>
      <c r="M2" s="2033"/>
      <c r="N2" s="2033"/>
      <c r="O2" s="2033"/>
      <c r="P2" s="2033"/>
      <c r="Q2" s="2033"/>
      <c r="R2" s="2033"/>
      <c r="S2" s="2033"/>
      <c r="T2" s="2033"/>
      <c r="U2" s="2033"/>
      <c r="V2" s="2033"/>
    </row>
    <row r="3" spans="1:22" ht="14.25">
      <c r="A3" s="3352" t="s">
        <v>298</v>
      </c>
      <c r="B3" s="3353"/>
      <c r="C3" s="3353"/>
      <c r="D3" s="3353"/>
      <c r="E3" s="3353"/>
      <c r="F3" s="3353"/>
      <c r="G3" s="3353"/>
      <c r="H3" s="3353"/>
      <c r="I3" s="3353"/>
      <c r="J3" s="2034"/>
      <c r="K3" s="2033"/>
      <c r="L3" s="2033"/>
      <c r="M3" s="2033"/>
      <c r="N3" s="2033"/>
      <c r="O3" s="2033"/>
      <c r="P3" s="2033"/>
      <c r="Q3" s="2033"/>
      <c r="R3" s="2033"/>
      <c r="S3" s="2033"/>
      <c r="T3" s="2033"/>
      <c r="U3" s="2033"/>
      <c r="V3" s="2033"/>
    </row>
    <row r="4" spans="1:22" ht="14.25">
      <c r="A4" s="258" t="s">
        <v>299</v>
      </c>
      <c r="B4" s="259" t="s">
        <v>300</v>
      </c>
      <c r="C4" s="260" t="s">
        <v>3052</v>
      </c>
      <c r="D4" s="260" t="s">
        <v>3053</v>
      </c>
      <c r="E4" s="3316" t="s">
        <v>301</v>
      </c>
      <c r="F4" s="3358"/>
      <c r="G4" s="3358"/>
      <c r="H4" s="3358"/>
      <c r="I4" s="3317"/>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345" t="s">
        <v>302</v>
      </c>
      <c r="B5" s="3346">
        <v>25</v>
      </c>
      <c r="C5" s="3354">
        <v>16</v>
      </c>
      <c r="D5" s="3357">
        <v>24</v>
      </c>
      <c r="E5" s="261" t="s">
        <v>303</v>
      </c>
      <c r="F5" s="262"/>
      <c r="G5" s="262"/>
      <c r="H5" s="262"/>
      <c r="I5" s="263"/>
      <c r="J5" s="2034"/>
      <c r="K5" s="2033"/>
      <c r="L5" s="2033"/>
      <c r="M5" s="2033"/>
      <c r="N5" s="2033"/>
      <c r="O5" s="2033"/>
      <c r="P5" s="2033"/>
      <c r="Q5" s="2033"/>
      <c r="R5" s="2033"/>
      <c r="S5" s="2033"/>
      <c r="T5" s="2033"/>
      <c r="U5" s="2033"/>
      <c r="V5" s="2033"/>
    </row>
    <row r="6" spans="1:22" ht="14.25">
      <c r="A6" s="3345"/>
      <c r="B6" s="3346"/>
      <c r="C6" s="3355"/>
      <c r="D6" s="3357"/>
      <c r="E6" s="261" t="s">
        <v>304</v>
      </c>
      <c r="F6" s="262"/>
      <c r="G6" s="262"/>
      <c r="H6" s="262"/>
      <c r="I6" s="263"/>
      <c r="J6" s="2034"/>
      <c r="K6" s="2033"/>
      <c r="L6" s="2033"/>
      <c r="M6" s="2033"/>
      <c r="N6" s="2033"/>
      <c r="O6" s="2033"/>
      <c r="P6" s="2033"/>
      <c r="Q6" s="2033"/>
      <c r="R6" s="2033"/>
      <c r="S6" s="2033"/>
      <c r="T6" s="2033"/>
      <c r="U6" s="2033"/>
      <c r="V6" s="2033"/>
    </row>
    <row r="7" spans="1:22" ht="14.25">
      <c r="A7" s="3345"/>
      <c r="B7" s="3346"/>
      <c r="C7" s="3356"/>
      <c r="D7" s="3357"/>
      <c r="E7" s="261" t="s">
        <v>305</v>
      </c>
      <c r="F7" s="262"/>
      <c r="G7" s="262"/>
      <c r="H7" s="262"/>
      <c r="I7" s="263"/>
      <c r="J7" s="2034"/>
      <c r="K7" s="2033"/>
      <c r="L7" s="2033"/>
      <c r="M7" s="2033"/>
      <c r="N7" s="2033"/>
      <c r="O7" s="2033"/>
      <c r="P7" s="2033"/>
      <c r="Q7" s="2033"/>
      <c r="R7" s="2033"/>
      <c r="S7" s="2033"/>
      <c r="T7" s="2033"/>
      <c r="U7" s="2033"/>
      <c r="V7" s="2033"/>
    </row>
    <row r="8" spans="1:22" ht="14.25">
      <c r="A8" s="3345" t="s">
        <v>306</v>
      </c>
      <c r="B8" s="3346">
        <v>15</v>
      </c>
      <c r="C8" s="3354">
        <v>9</v>
      </c>
      <c r="D8" s="3357">
        <v>14</v>
      </c>
      <c r="E8" s="261" t="s">
        <v>307</v>
      </c>
      <c r="F8" s="262"/>
      <c r="G8" s="262"/>
      <c r="H8" s="262"/>
      <c r="I8" s="263"/>
      <c r="J8" s="2034"/>
      <c r="K8" s="2033"/>
      <c r="L8" s="2033"/>
      <c r="M8" s="2033"/>
      <c r="N8" s="2033"/>
      <c r="O8" s="2033"/>
      <c r="P8" s="2033"/>
      <c r="Q8" s="2033"/>
      <c r="R8" s="2033"/>
      <c r="S8" s="2033"/>
      <c r="T8" s="2033"/>
      <c r="U8" s="2033"/>
      <c r="V8" s="2033"/>
    </row>
    <row r="9" spans="1:22" ht="14.25">
      <c r="A9" s="3345"/>
      <c r="B9" s="3346"/>
      <c r="C9" s="3356"/>
      <c r="D9" s="3357"/>
      <c r="E9" s="261" t="s">
        <v>308</v>
      </c>
      <c r="F9" s="262"/>
      <c r="G9" s="262"/>
      <c r="H9" s="262"/>
      <c r="I9" s="263"/>
      <c r="J9" s="2034"/>
      <c r="K9" s="2033"/>
      <c r="L9" s="2033"/>
      <c r="M9" s="2033"/>
      <c r="N9" s="2033"/>
      <c r="O9" s="2033"/>
      <c r="P9" s="2033"/>
      <c r="Q9" s="2033"/>
      <c r="R9" s="2033"/>
      <c r="S9" s="2033"/>
      <c r="T9" s="2033"/>
      <c r="U9" s="2033"/>
      <c r="V9" s="2033"/>
    </row>
    <row r="10" spans="1:22" ht="14.25">
      <c r="A10" s="3345" t="s">
        <v>309</v>
      </c>
      <c r="B10" s="3346">
        <v>15</v>
      </c>
      <c r="C10" s="3354">
        <v>9</v>
      </c>
      <c r="D10" s="3357">
        <v>14</v>
      </c>
      <c r="E10" s="261" t="s">
        <v>310</v>
      </c>
      <c r="F10" s="262"/>
      <c r="G10" s="262"/>
      <c r="H10" s="262"/>
      <c r="I10" s="263"/>
      <c r="J10" s="2034"/>
      <c r="K10" s="2033"/>
      <c r="L10" s="2033"/>
      <c r="M10" s="2033"/>
      <c r="N10" s="2033"/>
      <c r="O10" s="2033"/>
      <c r="P10" s="2033"/>
      <c r="Q10" s="2033"/>
      <c r="R10" s="2033"/>
      <c r="S10" s="2033"/>
      <c r="T10" s="2033"/>
      <c r="U10" s="2033"/>
      <c r="V10" s="2033"/>
    </row>
    <row r="11" spans="1:22" ht="14.25">
      <c r="A11" s="3345"/>
      <c r="B11" s="3346"/>
      <c r="C11" s="3356"/>
      <c r="D11" s="3357"/>
      <c r="E11" s="261" t="s">
        <v>311</v>
      </c>
      <c r="F11" s="262"/>
      <c r="G11" s="262"/>
      <c r="H11" s="262"/>
      <c r="I11" s="263"/>
      <c r="J11" s="2034"/>
      <c r="K11" s="2033"/>
      <c r="L11" s="2033"/>
      <c r="M11" s="2033"/>
      <c r="N11" s="2033"/>
      <c r="O11" s="2033"/>
      <c r="P11" s="2033"/>
      <c r="Q11" s="2033"/>
      <c r="R11" s="2033"/>
      <c r="S11" s="2033"/>
      <c r="T11" s="2033"/>
      <c r="U11" s="2033"/>
      <c r="V11" s="2033"/>
    </row>
    <row r="12" spans="1:22" ht="14.25">
      <c r="A12" s="3345" t="s">
        <v>312</v>
      </c>
      <c r="B12" s="3346">
        <v>15</v>
      </c>
      <c r="C12" s="3354">
        <v>9</v>
      </c>
      <c r="D12" s="3357">
        <v>14</v>
      </c>
      <c r="E12" s="261" t="s">
        <v>313</v>
      </c>
      <c r="F12" s="262"/>
      <c r="G12" s="262"/>
      <c r="H12" s="262"/>
      <c r="I12" s="263"/>
      <c r="J12" s="2034"/>
      <c r="K12" s="2033"/>
      <c r="L12" s="2033"/>
      <c r="M12" s="2033"/>
      <c r="N12" s="2033"/>
      <c r="O12" s="2033"/>
      <c r="P12" s="2033"/>
      <c r="Q12" s="2033"/>
      <c r="R12" s="2033"/>
      <c r="S12" s="2033"/>
      <c r="T12" s="2033"/>
      <c r="U12" s="2033"/>
      <c r="V12" s="2033"/>
    </row>
    <row r="13" spans="1:22" ht="14.25">
      <c r="A13" s="3345"/>
      <c r="B13" s="3346"/>
      <c r="C13" s="3356"/>
      <c r="D13" s="3357"/>
      <c r="E13" s="261" t="s">
        <v>314</v>
      </c>
      <c r="F13" s="262"/>
      <c r="G13" s="262"/>
      <c r="H13" s="262"/>
      <c r="I13" s="263"/>
      <c r="J13" s="2034"/>
      <c r="K13" s="2033"/>
      <c r="L13" s="2033"/>
      <c r="M13" s="2033"/>
      <c r="N13" s="2033"/>
      <c r="O13" s="2033"/>
      <c r="P13" s="2033"/>
      <c r="Q13" s="2033"/>
      <c r="R13" s="2033"/>
      <c r="S13" s="2033"/>
      <c r="T13" s="2033"/>
      <c r="U13" s="2033"/>
      <c r="V13" s="2033"/>
    </row>
    <row r="14" spans="1:22" ht="14.25">
      <c r="A14" s="3345" t="s">
        <v>315</v>
      </c>
      <c r="B14" s="3346">
        <v>30</v>
      </c>
      <c r="C14" s="3354">
        <v>20</v>
      </c>
      <c r="D14" s="3357">
        <v>29</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45"/>
      <c r="B15" s="3346"/>
      <c r="C15" s="3355"/>
      <c r="D15" s="3357"/>
      <c r="E15" s="261" t="s">
        <v>317</v>
      </c>
      <c r="F15" s="262"/>
      <c r="G15" s="262"/>
      <c r="H15" s="262"/>
      <c r="I15" s="263"/>
      <c r="J15" s="2034"/>
      <c r="K15" s="2033"/>
      <c r="L15" s="2033"/>
      <c r="M15" s="2033"/>
      <c r="N15" s="2033"/>
      <c r="O15" s="2033"/>
      <c r="P15" s="2033"/>
      <c r="Q15" s="2033"/>
      <c r="R15" s="2033"/>
      <c r="S15" s="2033"/>
      <c r="T15" s="2033"/>
      <c r="U15" s="2033"/>
      <c r="V15" s="2033"/>
    </row>
    <row r="16" spans="1:22" ht="14.25">
      <c r="A16" s="3345"/>
      <c r="B16" s="3346"/>
      <c r="C16" s="3356"/>
      <c r="D16" s="3357"/>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63</v>
      </c>
      <c r="D17" s="265">
        <f>SUM(D5:D16)</f>
        <v>95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12089</v>
      </c>
      <c r="D19" s="271">
        <f ca="1">SUMIF(INDIRECT("'"&amp;D4&amp;"'"&amp;"!A:A"),结果表!B19,INDIRECT("'"&amp;D4&amp;"'"&amp;"!B:B"))</f>
        <v>6757</v>
      </c>
      <c r="E19" s="268" t="s">
        <v>323</v>
      </c>
      <c r="F19" s="269" t="s">
        <v>322</v>
      </c>
      <c r="G19" s="272">
        <f ca="1">ROUND(C19*$C$18+D19*$D$18,0)</f>
        <v>8890</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6768</v>
      </c>
      <c r="D20" s="277">
        <f ca="1">SUMIF(INDIRECT("'"&amp;D4&amp;"'"&amp;"!A:A"),结果表!B20,INDIRECT("'"&amp;D4&amp;"'"&amp;"!B:B"))</f>
        <v>3783</v>
      </c>
      <c r="E20" s="274"/>
      <c r="F20" s="275" t="s">
        <v>325</v>
      </c>
      <c r="G20" s="278">
        <f ca="1">ROUND(C20*$C$18+D20*$D$18,0)</f>
        <v>4977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15615</v>
      </c>
      <c r="D21" s="151">
        <f ca="1">SUMIF(INDIRECT("'"&amp;D4&amp;"'"&amp;"!A:A"),结果表!B21,INDIRECT("'"&amp;D4&amp;"'"&amp;"!B:B"))</f>
        <v>8728</v>
      </c>
      <c r="E21" s="274"/>
      <c r="F21" s="280" t="s">
        <v>327</v>
      </c>
      <c r="G21" s="282">
        <f ca="1">ROUND(C21*$C$18+D21*$D$18,0)</f>
        <v>11483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0.78910759212668347</v>
      </c>
      <c r="E22" s="284"/>
      <c r="F22" s="285"/>
      <c r="G22" s="286">
        <f ca="1">ROUND(G19/('数据-汇总表'!D3/666.67),0)</f>
        <v>766</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18"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60"/>
      <c r="B25" s="1324" t="s">
        <v>331</v>
      </c>
      <c r="C25" s="290">
        <f>IF(B30=0,0,C30)</f>
        <v>0</v>
      </c>
      <c r="D25" s="291"/>
      <c r="E25" s="314"/>
      <c r="F25" s="314"/>
      <c r="G25" s="314"/>
      <c r="H25" s="314"/>
      <c r="I25" s="314"/>
      <c r="J25" s="2033"/>
      <c r="K25" s="1258" t="str">
        <f ca="1">项目基本情况!B16&amp;"国有建设用地使用权价格："&amp;O38&amp;"万元"</f>
        <v>出让国有建设用地使用权价格：8890万元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大写金额：人民币捌仟捌佰玖拾万元整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单位面积地价：11483元/平方米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楼面地价：4977元/平方米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抵押担保权已注销时的抵押价格：8890万元</v>
      </c>
      <c r="L31" s="2493"/>
      <c r="M31" s="2493"/>
      <c r="N31" s="2493"/>
      <c r="O31" s="2494"/>
      <c r="P31" s="2033"/>
      <c r="V31" s="2033"/>
    </row>
    <row r="32" spans="1:26" ht="18.75" thickBot="1">
      <c r="A32" s="268" t="s">
        <v>337</v>
      </c>
      <c r="B32" s="1385" t="s">
        <v>1689</v>
      </c>
      <c r="C32" s="1386">
        <f ca="1">G19-C24</f>
        <v>8890</v>
      </c>
      <c r="D32" s="1387" t="s">
        <v>1690</v>
      </c>
      <c r="E32" s="314"/>
      <c r="F32" s="314"/>
      <c r="G32" s="314"/>
      <c r="H32" s="314"/>
      <c r="I32" s="314"/>
      <c r="J32" s="2033"/>
      <c r="K32" s="2492" t="str">
        <f ca="1">IF(K31="——","——","大写金额：人民币"&amp;NUMBERSTRING(INT(O40*10000),2)&amp;"元整")</f>
        <v>大写金额：人民币捌仟捌佰玖拾万元整</v>
      </c>
      <c r="L32" s="2495"/>
      <c r="M32" s="2495"/>
      <c r="N32" s="2495"/>
      <c r="O32" s="2496"/>
      <c r="P32" s="2033"/>
      <c r="V32" s="2033"/>
    </row>
    <row r="33" spans="1:26" ht="18.75" thickBot="1">
      <c r="A33" s="301" t="s">
        <v>340</v>
      </c>
      <c r="B33" s="1388" t="s">
        <v>1691</v>
      </c>
      <c r="C33" s="264">
        <f ca="1">ROUND(C32*10000/'数据-汇总表'!E3,0)</f>
        <v>4977</v>
      </c>
      <c r="D33" s="1389" t="s">
        <v>1692</v>
      </c>
      <c r="E33" s="3318"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11483</v>
      </c>
      <c r="D34" s="1391" t="s">
        <v>1692</v>
      </c>
      <c r="E34" s="3319"/>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766</v>
      </c>
      <c r="D35" s="1394" t="s">
        <v>1694</v>
      </c>
      <c r="E35" s="3320"/>
      <c r="F35" s="304" t="s">
        <v>342</v>
      </c>
      <c r="G35" s="985"/>
      <c r="H35" s="984" t="s">
        <v>343</v>
      </c>
      <c r="I35" s="314"/>
      <c r="J35" s="2033"/>
      <c r="K35" s="3324" t="s">
        <v>350</v>
      </c>
      <c r="L35" s="3324" t="s">
        <v>351</v>
      </c>
      <c r="M35" s="1267" t="s">
        <v>352</v>
      </c>
      <c r="N35" s="3324" t="s">
        <v>353</v>
      </c>
      <c r="O35" s="3324" t="s">
        <v>354</v>
      </c>
      <c r="P35" s="2033"/>
      <c r="V35" s="2033"/>
    </row>
    <row r="36" spans="1:26" ht="16.5" customHeight="1">
      <c r="A36" s="306" t="s">
        <v>344</v>
      </c>
      <c r="B36" s="307" t="s">
        <v>333</v>
      </c>
      <c r="C36" s="308" t="s">
        <v>345</v>
      </c>
      <c r="D36" s="308" t="s">
        <v>346</v>
      </c>
      <c r="E36" s="309" t="s">
        <v>347</v>
      </c>
      <c r="F36" s="314"/>
      <c r="G36" s="314"/>
      <c r="H36" s="314"/>
      <c r="I36" s="314"/>
      <c r="J36" s="2035"/>
      <c r="K36" s="3325"/>
      <c r="L36" s="3325"/>
      <c r="M36" s="1269" t="s">
        <v>355</v>
      </c>
      <c r="N36" s="3325"/>
      <c r="O36" s="3325"/>
      <c r="P36" s="2033"/>
      <c r="V36" s="2033"/>
    </row>
    <row r="37" spans="1:26" ht="16.5" customHeight="1" thickBot="1">
      <c r="A37" s="1263" t="s">
        <v>348</v>
      </c>
      <c r="B37" s="310"/>
      <c r="C37" s="294"/>
      <c r="D37" s="294"/>
      <c r="E37" s="295"/>
      <c r="F37" s="314"/>
      <c r="G37" s="314"/>
      <c r="H37" s="314"/>
      <c r="I37" s="314"/>
      <c r="J37" s="2035"/>
      <c r="K37" s="3326"/>
      <c r="L37" s="3326"/>
      <c r="M37" s="1270"/>
      <c r="N37" s="3326"/>
      <c r="O37" s="3326"/>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17860.72</v>
      </c>
      <c r="M38" s="1272">
        <f ca="1">C34</f>
        <v>11483</v>
      </c>
      <c r="N38" s="1272">
        <f ca="1">C33</f>
        <v>4977</v>
      </c>
      <c r="O38" s="1273">
        <f ca="1">C32</f>
        <v>8890</v>
      </c>
      <c r="P38" s="2033"/>
      <c r="V38" s="2033"/>
    </row>
    <row r="39" spans="1:26" ht="16.5" customHeight="1" thickBot="1">
      <c r="A39" s="1268"/>
      <c r="B39" s="311"/>
      <c r="C39" s="312"/>
      <c r="D39" s="312"/>
      <c r="E39" s="313"/>
      <c r="F39" s="314"/>
      <c r="G39" s="314"/>
      <c r="H39" s="314"/>
      <c r="I39" s="314"/>
      <c r="J39" s="2035"/>
      <c r="K39" s="3301" t="str">
        <f>MID(A44,3,LEN(A44)-2)</f>
        <v/>
      </c>
      <c r="L39" s="3302"/>
      <c r="M39" s="3302"/>
      <c r="N39" s="3303"/>
      <c r="O39" s="1396" t="str">
        <f>C44</f>
        <v>——</v>
      </c>
      <c r="P39" s="2033"/>
      <c r="V39" s="2033"/>
    </row>
    <row r="40" spans="1:26" ht="19.5" thickBot="1">
      <c r="A40" s="104" t="s">
        <v>873</v>
      </c>
      <c r="B40" s="314"/>
      <c r="C40" s="314"/>
      <c r="D40" s="314"/>
      <c r="E40" s="314"/>
      <c r="F40" s="314"/>
      <c r="G40" s="314"/>
      <c r="H40" s="314"/>
      <c r="I40" s="314"/>
      <c r="J40" s="2035"/>
      <c r="K40" s="3301" t="str">
        <f t="shared" ref="K40:K41" si="0">MID(A45,3,LEN(A45)-2)</f>
        <v>抵押担保权已注销时的抵押价格</v>
      </c>
      <c r="L40" s="3302"/>
      <c r="M40" s="3302"/>
      <c r="N40" s="3303"/>
      <c r="O40" s="1396">
        <f ca="1">C45</f>
        <v>8890</v>
      </c>
      <c r="P40" s="2033"/>
      <c r="V40" s="2033"/>
    </row>
    <row r="41" spans="1:26" ht="16.5" thickBot="1">
      <c r="A41" s="315" t="s">
        <v>356</v>
      </c>
      <c r="B41" s="316"/>
      <c r="C41" s="317" t="s">
        <v>357</v>
      </c>
      <c r="D41" s="318" t="s">
        <v>358</v>
      </c>
      <c r="E41" s="318" t="s">
        <v>359</v>
      </c>
      <c r="F41" s="319" t="s">
        <v>360</v>
      </c>
      <c r="G41" s="314"/>
      <c r="H41" s="314"/>
      <c r="I41" s="314"/>
      <c r="J41" s="2035"/>
      <c r="K41" s="3301" t="str">
        <f t="shared" si="0"/>
        <v/>
      </c>
      <c r="L41" s="3302"/>
      <c r="M41" s="3302"/>
      <c r="N41" s="3303"/>
      <c r="O41" s="1396" t="str">
        <f>C46</f>
        <v>——</v>
      </c>
      <c r="P41" s="2033"/>
      <c r="V41" s="2033"/>
    </row>
    <row r="42" spans="1:26" ht="29.25">
      <c r="A42" s="3361" t="s">
        <v>2069</v>
      </c>
      <c r="B42" s="3362"/>
      <c r="C42" s="264">
        <f ca="1">C32</f>
        <v>8890</v>
      </c>
      <c r="D42" s="320">
        <f ca="1">C33</f>
        <v>4977</v>
      </c>
      <c r="E42" s="320">
        <f ca="1">C34</f>
        <v>11483</v>
      </c>
      <c r="F42" s="321">
        <f ca="1">C35</f>
        <v>766</v>
      </c>
      <c r="G42" s="314"/>
      <c r="H42" s="314"/>
      <c r="I42" s="322"/>
      <c r="J42" s="2035"/>
      <c r="K42" s="1274" t="s">
        <v>361</v>
      </c>
      <c r="L42" s="2052" t="s">
        <v>362</v>
      </c>
      <c r="M42" s="1275" t="s">
        <v>363</v>
      </c>
      <c r="N42" s="2053" t="s">
        <v>364</v>
      </c>
      <c r="O42" s="2054" t="s">
        <v>365</v>
      </c>
      <c r="P42" s="2033"/>
      <c r="V42" s="2033"/>
    </row>
    <row r="43" spans="1:26" ht="30">
      <c r="A43" s="3371" t="s">
        <v>2736</v>
      </c>
      <c r="B43" s="3372"/>
      <c r="C43" s="264">
        <f>IF(H33="正常操作",G33+G34+G35,G34+G35)</f>
        <v>0</v>
      </c>
      <c r="D43" s="320" t="s">
        <v>43</v>
      </c>
      <c r="E43" s="320" t="s">
        <v>44</v>
      </c>
      <c r="F43" s="321" t="s">
        <v>44</v>
      </c>
      <c r="G43" s="2897" t="s">
        <v>952</v>
      </c>
      <c r="H43" s="314"/>
      <c r="I43" s="322"/>
      <c r="J43" s="2035"/>
      <c r="K43" s="1276" t="str">
        <f>C4</f>
        <v>剩余法-待开发</v>
      </c>
      <c r="L43" s="1277">
        <f ca="1">IF(L42="估价结果/万元",C19,C20)</f>
        <v>12089</v>
      </c>
      <c r="M43" s="1278">
        <f>C18</f>
        <v>0.4</v>
      </c>
      <c r="N43" s="1279">
        <f ca="1">IF(N42="测算结果/万元",G19,G20)</f>
        <v>8890</v>
      </c>
      <c r="O43" s="1280">
        <f ca="1">IF(O42="最终结果/万元",C32,C33)</f>
        <v>8890</v>
      </c>
      <c r="P43" s="2033"/>
      <c r="V43" s="2033"/>
    </row>
    <row r="44" spans="1:26" ht="30.75" thickBot="1">
      <c r="A44" s="3361" t="str">
        <f>IF(OR(项目基本情况!E8="抵押价格",项目基本情况!E8="已注销及未注销"),"3.抵押价格","——")</f>
        <v>——</v>
      </c>
      <c r="B44" s="3362"/>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6757</v>
      </c>
      <c r="M44" s="1283">
        <f>D18</f>
        <v>0.6</v>
      </c>
      <c r="N44" s="1284"/>
      <c r="O44" s="1285"/>
      <c r="P44" s="2033"/>
      <c r="V44" s="2033"/>
    </row>
    <row r="45" spans="1:26" ht="15">
      <c r="A45" s="3366" t="str">
        <f>IF(项目基本情况!E8="已注销及未注销","4.抵押担保权已注销时的抵押价格",IF(项目基本情况!E8="已注销","3.抵押担保权已注销时的抵押价格","——"))</f>
        <v>3.抵押担保权已注销时的抵押价格</v>
      </c>
      <c r="B45" s="3367"/>
      <c r="C45" s="1808">
        <f ca="1">IF(A45="——","——",IF(项目基本情况!E8="抵押价格","——",C32-G34-G35))</f>
        <v>8890</v>
      </c>
      <c r="D45" s="320">
        <f ca="1">ROUND(C45*10000/'数据-汇总表'!E3,0)</f>
        <v>4977</v>
      </c>
      <c r="E45" s="320">
        <f ca="1">ROUND(C45*10000/'数据-汇总表'!D3,0)</f>
        <v>11483</v>
      </c>
      <c r="F45" s="321">
        <f ca="1">ROUND(C45/('数据-汇总表'!D3/666.67),0)</f>
        <v>766</v>
      </c>
      <c r="G45" s="314"/>
      <c r="H45" s="314"/>
      <c r="I45" s="322"/>
      <c r="J45" s="2035"/>
      <c r="K45" s="2033"/>
      <c r="L45" s="2033"/>
      <c r="M45" s="2033"/>
      <c r="N45" s="2033"/>
      <c r="O45" s="2033"/>
      <c r="P45" s="2033"/>
      <c r="V45" s="2033"/>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29" t="s">
        <v>374</v>
      </c>
      <c r="B63" s="3330"/>
      <c r="C63" s="3331"/>
      <c r="D63" s="344">
        <f ca="1">ROUND(C42*F63,0)</f>
        <v>5334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68" t="s">
        <v>378</v>
      </c>
      <c r="B64" s="3369"/>
      <c r="C64" s="3369"/>
      <c r="D64" s="3369"/>
      <c r="E64" s="3369"/>
      <c r="F64" s="3369"/>
      <c r="G64" s="3370"/>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65" t="s">
        <v>386</v>
      </c>
      <c r="B66" s="3336"/>
      <c r="C66" s="3336"/>
      <c r="D66" s="261">
        <f ca="1">IF(H66="情况1",0,IF(H66="情况2",D70,IF(H66="情况3",D71,IF(H66="情况4",D72))))</f>
        <v>284</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05" t="s">
        <v>385</v>
      </c>
      <c r="M66" s="3306"/>
      <c r="N66" s="2487"/>
      <c r="O66" s="2488"/>
      <c r="P66" s="2489"/>
      <c r="Q66" s="2033"/>
      <c r="R66" s="2033"/>
      <c r="S66" s="2033"/>
      <c r="T66" s="2033"/>
      <c r="U66" s="2033"/>
      <c r="V66" s="2033"/>
    </row>
    <row r="67" spans="1:22" ht="25.5" customHeight="1">
      <c r="A67" s="355" t="s">
        <v>390</v>
      </c>
      <c r="B67" s="3348" t="s">
        <v>391</v>
      </c>
      <c r="C67" s="3348"/>
      <c r="D67" s="356">
        <v>0</v>
      </c>
      <c r="E67" s="41" t="s">
        <v>392</v>
      </c>
      <c r="F67" s="62" t="s">
        <v>21</v>
      </c>
      <c r="G67" s="3332"/>
      <c r="H67" s="314"/>
      <c r="I67" s="1295"/>
      <c r="J67" s="2040"/>
      <c r="K67" s="1981">
        <v>2</v>
      </c>
      <c r="L67" s="3304" t="s">
        <v>389</v>
      </c>
      <c r="M67" s="3304"/>
      <c r="N67" s="1328">
        <f>'数据-取费表'!B2</f>
        <v>43047</v>
      </c>
      <c r="O67" s="1328"/>
      <c r="P67" s="1328"/>
      <c r="Q67" s="2033"/>
      <c r="R67" s="2033"/>
      <c r="S67" s="2033"/>
      <c r="T67" s="2033"/>
      <c r="U67" s="2033"/>
      <c r="V67" s="2033"/>
    </row>
    <row r="68" spans="1:22" ht="25.5" customHeight="1">
      <c r="A68" s="357"/>
      <c r="B68" s="3348" t="s">
        <v>394</v>
      </c>
      <c r="C68" s="3348"/>
      <c r="D68" s="358"/>
      <c r="E68" s="77"/>
      <c r="F68" s="359"/>
      <c r="G68" s="3333"/>
      <c r="H68" s="314"/>
      <c r="I68" s="1295"/>
      <c r="J68" s="2040"/>
      <c r="K68" s="1981">
        <v>3</v>
      </c>
      <c r="L68" s="3304" t="s">
        <v>393</v>
      </c>
      <c r="M68" s="3304"/>
      <c r="N68" s="1296">
        <f ca="1">C42</f>
        <v>8890</v>
      </c>
      <c r="O68" s="1296"/>
      <c r="P68" s="1296"/>
      <c r="Q68" s="2033"/>
      <c r="R68" s="2033"/>
      <c r="S68" s="2033"/>
      <c r="T68" s="2033"/>
      <c r="U68" s="2033"/>
      <c r="V68" s="2033"/>
    </row>
    <row r="69" spans="1:22" ht="12" customHeight="1">
      <c r="A69" s="360"/>
      <c r="B69" s="3348" t="s">
        <v>395</v>
      </c>
      <c r="C69" s="3348"/>
      <c r="D69" s="361"/>
      <c r="E69" s="73"/>
      <c r="F69" s="359"/>
      <c r="G69" s="3334"/>
      <c r="H69" s="314"/>
      <c r="I69" s="1295"/>
      <c r="J69" s="2040"/>
      <c r="K69" s="1297">
        <v>4</v>
      </c>
      <c r="L69" s="3310" t="s">
        <v>2889</v>
      </c>
      <c r="M69" s="3311"/>
      <c r="N69" s="1298" t="str">
        <f>C44</f>
        <v>——</v>
      </c>
      <c r="O69" s="1298"/>
      <c r="P69" s="1298"/>
      <c r="Q69" s="2033"/>
      <c r="R69" s="2033"/>
      <c r="S69" s="2033"/>
      <c r="T69" s="2033"/>
      <c r="U69" s="2033"/>
      <c r="V69" s="2033"/>
    </row>
    <row r="70" spans="1:22" ht="24" customHeight="1">
      <c r="A70" s="362" t="s">
        <v>396</v>
      </c>
      <c r="B70" s="3348" t="s">
        <v>397</v>
      </c>
      <c r="C70" s="3348"/>
      <c r="D70" s="361">
        <f ca="1">ROUND(D63*'数据-取费表'!B41/(1+'数据-取费表'!C42),0)</f>
        <v>284</v>
      </c>
      <c r="E70" s="17" t="s">
        <v>398</v>
      </c>
      <c r="F70" s="363">
        <f>'数据-取费表'!B41</f>
        <v>5.6000000000000001E-2</v>
      </c>
      <c r="G70" s="364"/>
      <c r="H70" s="314"/>
      <c r="I70" s="1295"/>
      <c r="J70" s="2040"/>
      <c r="K70" s="3093"/>
      <c r="L70" s="3094"/>
      <c r="M70" s="3094"/>
      <c r="N70" s="3095" t="s">
        <v>2894</v>
      </c>
      <c r="O70" s="3094"/>
      <c r="P70" s="3096"/>
      <c r="Q70" s="2033"/>
      <c r="R70" s="2033"/>
      <c r="S70" s="2033"/>
      <c r="T70" s="2033"/>
      <c r="U70" s="2033"/>
      <c r="V70" s="2033"/>
    </row>
    <row r="71" spans="1:22" ht="12" customHeight="1">
      <c r="A71" s="362" t="s">
        <v>404</v>
      </c>
      <c r="B71" s="3347" t="s">
        <v>405</v>
      </c>
      <c r="C71" s="3359"/>
      <c r="D71" s="361">
        <f ca="1">ROUND(D63*'数据-取费表'!B41/(1+'数据-取费表'!C42),0)</f>
        <v>284</v>
      </c>
      <c r="E71" s="17" t="s">
        <v>398</v>
      </c>
      <c r="F71" s="363">
        <f>'数据-取费表'!B41</f>
        <v>5.6000000000000001E-2</v>
      </c>
      <c r="G71" s="364"/>
      <c r="H71" s="314"/>
      <c r="I71" s="1295"/>
      <c r="J71" s="2040"/>
      <c r="K71" s="3092" t="s">
        <v>399</v>
      </c>
      <c r="L71" s="3312" t="s">
        <v>400</v>
      </c>
      <c r="M71" s="3312"/>
      <c r="N71" s="3092" t="s">
        <v>401</v>
      </c>
      <c r="O71" s="3092" t="s">
        <v>402</v>
      </c>
      <c r="P71" s="3092" t="s">
        <v>403</v>
      </c>
      <c r="Q71" s="2033"/>
      <c r="R71" s="2033"/>
      <c r="S71" s="2033"/>
      <c r="T71" s="2033"/>
      <c r="U71" s="2033"/>
      <c r="V71" s="2033"/>
    </row>
    <row r="72" spans="1:22" ht="12" customHeight="1">
      <c r="A72" s="362" t="s">
        <v>407</v>
      </c>
      <c r="B72" s="3347" t="s">
        <v>408</v>
      </c>
      <c r="C72" s="3359"/>
      <c r="D72" s="361">
        <f ca="1">C86</f>
        <v>172</v>
      </c>
      <c r="E72" s="73" t="s">
        <v>409</v>
      </c>
      <c r="F72" s="363">
        <f>'数据-取费表'!B41</f>
        <v>5.6000000000000001E-2</v>
      </c>
      <c r="G72" s="364"/>
      <c r="H72" s="1301"/>
      <c r="I72" s="1295"/>
      <c r="J72" s="2040"/>
      <c r="K72" s="1981">
        <v>1</v>
      </c>
      <c r="L72" s="3309" t="s">
        <v>406</v>
      </c>
      <c r="M72" s="3309"/>
      <c r="N72" s="1299">
        <f ca="1">D66</f>
        <v>284</v>
      </c>
      <c r="O72" s="1864" t="str">
        <f>E66</f>
        <v>销售额×税（费）率</v>
      </c>
      <c r="P72" s="1300">
        <f>F66</f>
        <v>5.6000000000000001E-2</v>
      </c>
      <c r="Q72" s="2033"/>
      <c r="R72" s="2033"/>
      <c r="S72" s="2033"/>
      <c r="T72" s="2033"/>
      <c r="U72" s="2033"/>
      <c r="V72" s="2033"/>
    </row>
    <row r="73" spans="1:22" ht="24" customHeight="1">
      <c r="A73" s="3335" t="s">
        <v>411</v>
      </c>
      <c r="B73" s="3336"/>
      <c r="C73" s="3336"/>
      <c r="D73" s="365">
        <f>IF(H73="个人住宅",0,ROUND(D63*I73,0))</f>
        <v>0</v>
      </c>
      <c r="E73" s="17" t="s">
        <v>412</v>
      </c>
      <c r="F73" s="363" t="str">
        <f>IF(H73="正常",I73,"免征")</f>
        <v>免征</v>
      </c>
      <c r="G73" s="364"/>
      <c r="H73" s="191" t="s">
        <v>2459</v>
      </c>
      <c r="I73" s="363">
        <f>'数据-取费表'!B49</f>
        <v>5.0000000000000001E-4</v>
      </c>
      <c r="J73" s="2040"/>
      <c r="K73" s="1981">
        <v>2</v>
      </c>
      <c r="L73" s="3309" t="s">
        <v>410</v>
      </c>
      <c r="M73" s="3309"/>
      <c r="N73" s="1299">
        <f t="shared" ref="N73:P74" si="1">D73</f>
        <v>0</v>
      </c>
      <c r="O73" s="1864" t="str">
        <f t="shared" si="1"/>
        <v>销售额×税（费）率</v>
      </c>
      <c r="P73" s="1300" t="str">
        <f t="shared" si="1"/>
        <v>免征</v>
      </c>
      <c r="Q73" s="2033"/>
      <c r="R73" s="2033"/>
      <c r="S73" s="2033"/>
      <c r="T73" s="2033"/>
      <c r="U73" s="2033"/>
      <c r="V73" s="2033"/>
    </row>
    <row r="74" spans="1:22" ht="24.75">
      <c r="A74" s="3335" t="s">
        <v>415</v>
      </c>
      <c r="B74" s="3336"/>
      <c r="C74" s="3336"/>
      <c r="D74" s="365">
        <f ca="1">IF(H74="个人住宅",D75,D76)</f>
        <v>2359</v>
      </c>
      <c r="E74" s="17" t="s">
        <v>416</v>
      </c>
      <c r="F74" s="363" t="str">
        <f>IF(H74="正常",F76,"免征")</f>
        <v>——</v>
      </c>
      <c r="G74" s="986" t="s">
        <v>417</v>
      </c>
      <c r="H74" s="366" t="s">
        <v>413</v>
      </c>
      <c r="I74" s="42"/>
      <c r="J74" s="2040"/>
      <c r="K74" s="1981">
        <v>3</v>
      </c>
      <c r="L74" s="3309" t="s">
        <v>414</v>
      </c>
      <c r="M74" s="3309"/>
      <c r="N74" s="1299">
        <f t="shared" ca="1" si="1"/>
        <v>2359</v>
      </c>
      <c r="O74" s="1864" t="str">
        <f t="shared" si="1"/>
        <v>增值额×税（费）率</v>
      </c>
      <c r="P74" s="1302" t="str">
        <f t="shared" si="1"/>
        <v>——</v>
      </c>
      <c r="Q74" s="2033"/>
      <c r="R74" s="2033"/>
      <c r="S74" s="2033"/>
      <c r="T74" s="2033"/>
      <c r="U74" s="2033"/>
      <c r="V74" s="2033"/>
    </row>
    <row r="75" spans="1:22" ht="24">
      <c r="A75" s="362" t="s">
        <v>418</v>
      </c>
      <c r="B75" s="3316" t="s">
        <v>419</v>
      </c>
      <c r="C75" s="3317"/>
      <c r="D75" s="367">
        <v>0</v>
      </c>
      <c r="E75" s="41" t="s">
        <v>420</v>
      </c>
      <c r="F75" s="368"/>
      <c r="G75" s="364"/>
      <c r="H75" s="42"/>
      <c r="I75" s="42"/>
      <c r="J75" s="2040"/>
      <c r="K75" s="3085">
        <f>IF(H77="非个人房产","",4)</f>
        <v>4</v>
      </c>
      <c r="L75" s="3309" t="str">
        <f>IF(H77="非个人房产","——","个人所得税")</f>
        <v>个人所得税</v>
      </c>
      <c r="M75" s="3309"/>
      <c r="N75" s="1303">
        <f ca="1">D77</f>
        <v>53</v>
      </c>
      <c r="O75" s="1877" t="str">
        <f>E77</f>
        <v>销售额×税（费）率</v>
      </c>
      <c r="P75" s="1304">
        <f>F77</f>
        <v>0.01</v>
      </c>
      <c r="Q75" s="2033"/>
      <c r="R75" s="2033"/>
      <c r="S75" s="2033"/>
      <c r="T75" s="2033"/>
      <c r="U75" s="2033"/>
      <c r="V75" s="2033"/>
    </row>
    <row r="76" spans="1:22" ht="24.75">
      <c r="A76" s="362" t="s">
        <v>396</v>
      </c>
      <c r="B76" s="3316" t="s">
        <v>422</v>
      </c>
      <c r="C76" s="3358"/>
      <c r="D76" s="365">
        <f ca="1">IF(H76="转让取得",C99,C115)</f>
        <v>2359</v>
      </c>
      <c r="E76" s="17" t="s">
        <v>423</v>
      </c>
      <c r="F76" s="53" t="s">
        <v>21</v>
      </c>
      <c r="G76" s="364"/>
      <c r="H76" s="366" t="s">
        <v>424</v>
      </c>
      <c r="I76" s="42"/>
      <c r="J76" s="2040"/>
      <c r="K76" s="3085"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3"/>
      <c r="R76" s="2033"/>
      <c r="S76" s="2033"/>
      <c r="T76" s="2033"/>
      <c r="U76" s="2033"/>
      <c r="V76" s="2033"/>
    </row>
    <row r="77" spans="1:22" ht="26.25" thickBot="1">
      <c r="A77" s="3327" t="s">
        <v>426</v>
      </c>
      <c r="B77" s="3328"/>
      <c r="C77" s="3328"/>
      <c r="D77" s="369">
        <f ca="1">IF(H77="非个人房产","——",IF(H77="个人住宅",0,ROUND(D63*I77,0)))</f>
        <v>53</v>
      </c>
      <c r="E77" s="370" t="str">
        <f>IF(H77="非个人房产","——","销售额×税（费）率")</f>
        <v>销售额×税（费）率</v>
      </c>
      <c r="F77" s="371">
        <f>IF(H77="非个人房产","——",IF(H77="个人住宅","免征",I77))</f>
        <v>0.01</v>
      </c>
      <c r="G77" s="987" t="s">
        <v>417</v>
      </c>
      <c r="H77" s="366" t="s">
        <v>2890</v>
      </c>
      <c r="I77" s="372">
        <v>0.01</v>
      </c>
      <c r="J77" s="2040"/>
      <c r="K77" s="3323">
        <f>IF(AND(K75="",K76=""),4,IF(项目基本情况!K6="上海银行",K76+1,K75+1))</f>
        <v>5</v>
      </c>
      <c r="L77" s="3309" t="s">
        <v>2891</v>
      </c>
      <c r="M77" s="3091" t="s">
        <v>421</v>
      </c>
      <c r="N77" s="1305"/>
      <c r="O77" s="1306">
        <f ca="1">SUMIF(N72:N76,"&lt;9e307")</f>
        <v>2696</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23"/>
      <c r="L78" s="3309"/>
      <c r="M78" s="3091" t="s">
        <v>425</v>
      </c>
      <c r="N78" s="1305"/>
      <c r="O78" s="1306" t="str">
        <f ca="1">NUMBERSTRING(INT(O77*10000),2)&amp;"元整"</f>
        <v>贰仟陆佰玖拾陆万元整</v>
      </c>
      <c r="P78" s="1307"/>
      <c r="Q78" s="2033"/>
      <c r="R78" s="2033"/>
      <c r="S78" s="2033"/>
      <c r="T78" s="2033"/>
      <c r="U78" s="2033"/>
      <c r="V78" s="2033"/>
    </row>
    <row r="79" spans="1:22" ht="13.5" thickBot="1">
      <c r="A79" s="3313" t="s">
        <v>427</v>
      </c>
      <c r="B79" s="3313"/>
      <c r="C79" s="3313"/>
      <c r="D79" s="3313"/>
      <c r="E79" s="3313"/>
      <c r="F79" s="42"/>
      <c r="G79" s="42"/>
      <c r="H79" s="1006"/>
      <c r="I79" s="314"/>
      <c r="J79" s="2040"/>
      <c r="K79" s="3307">
        <f>K77+1</f>
        <v>6</v>
      </c>
      <c r="L79" s="3309" t="s">
        <v>2892</v>
      </c>
      <c r="M79" s="3091" t="s">
        <v>421</v>
      </c>
      <c r="N79" s="1305"/>
      <c r="O79" s="1306" t="e">
        <f ca="1">N69-O77</f>
        <v>#VALUE!</v>
      </c>
      <c r="P79" s="1307"/>
      <c r="Q79" s="2033"/>
      <c r="R79" s="2033"/>
      <c r="S79" s="2033"/>
      <c r="T79" s="2033"/>
      <c r="U79" s="2033"/>
      <c r="V79" s="2033"/>
    </row>
    <row r="80" spans="1:22" ht="12.75">
      <c r="A80" s="3314" t="s">
        <v>428</v>
      </c>
      <c r="B80" s="3315"/>
      <c r="C80" s="997"/>
      <c r="D80" s="997" t="s">
        <v>429</v>
      </c>
      <c r="E80" s="373" t="s">
        <v>430</v>
      </c>
      <c r="F80" s="42"/>
      <c r="G80" s="42"/>
      <c r="H80" s="1006"/>
      <c r="I80" s="314"/>
      <c r="J80" s="2033"/>
      <c r="K80" s="3308"/>
      <c r="L80" s="3309"/>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5080</v>
      </c>
      <c r="D81" s="376"/>
      <c r="E81" s="377"/>
      <c r="F81" s="42"/>
      <c r="G81" s="42"/>
      <c r="H81" s="1006"/>
      <c r="I81" s="314"/>
      <c r="J81" s="2033"/>
      <c r="K81" s="3085">
        <f>K79+1</f>
        <v>7</v>
      </c>
      <c r="L81" s="3321" t="s">
        <v>2893</v>
      </c>
      <c r="M81" s="3322"/>
      <c r="N81" s="1309"/>
      <c r="O81" s="1310" t="e">
        <f ca="1">ROUND(O79*10000/'数据-汇总表'!E3,0)</f>
        <v>#VALUE!</v>
      </c>
      <c r="P81" s="1311"/>
      <c r="Q81" s="2033"/>
      <c r="R81" s="2033"/>
      <c r="S81" s="2033"/>
      <c r="T81" s="2033"/>
      <c r="U81" s="2033"/>
      <c r="V81" s="2033"/>
    </row>
    <row r="82" spans="1:26" ht="13.5" thickTop="1">
      <c r="A82" s="378" t="s">
        <v>1825</v>
      </c>
      <c r="B82" s="379" t="s">
        <v>432</v>
      </c>
      <c r="C82" s="380">
        <f ca="1">D63</f>
        <v>5334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296" t="s">
        <v>2880</v>
      </c>
      <c r="L83" s="3097" t="s">
        <v>2881</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2945</v>
      </c>
      <c r="F84" s="42"/>
      <c r="G84" s="42"/>
      <c r="H84" s="1006"/>
      <c r="I84" s="314"/>
      <c r="J84" s="2033"/>
      <c r="K84" s="3296"/>
      <c r="L84" s="3097" t="s">
        <v>2882</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2883</v>
      </c>
      <c r="P84" s="2033"/>
      <c r="Q84" s="2033"/>
      <c r="R84" s="2033"/>
      <c r="S84" s="2033"/>
      <c r="T84" s="2033"/>
      <c r="U84" s="2033"/>
      <c r="V84" s="2033"/>
    </row>
    <row r="85" spans="1:26" ht="12.75">
      <c r="A85" s="384" t="s">
        <v>1828</v>
      </c>
      <c r="B85" s="385" t="s">
        <v>435</v>
      </c>
      <c r="C85" s="388">
        <f ca="1">C81-C84</f>
        <v>3080</v>
      </c>
      <c r="D85" s="381" t="s">
        <v>19</v>
      </c>
      <c r="E85" s="382"/>
      <c r="F85" s="42"/>
      <c r="G85" s="42"/>
      <c r="H85" s="1006"/>
      <c r="I85" s="314"/>
      <c r="J85" s="2033"/>
      <c r="K85" s="3296"/>
      <c r="L85" s="3097" t="s">
        <v>2884</v>
      </c>
      <c r="M85" s="3087" t="e">
        <f>IF(N69&gt;1000,N69*0.1%,IF(AND(N69&gt;500,N69&lt;=1000),N69*0.5%,IF(AND(N69&gt;50,N69&lt;=500),N69*1%,IF(AND(N69&gt;1,N69&lt;=50),N69*1.5%))))</f>
        <v>#VALUE!</v>
      </c>
      <c r="N85" s="53" t="e">
        <f t="shared" si="2"/>
        <v>#VALUE!</v>
      </c>
      <c r="O85" s="2033" t="s">
        <v>2883</v>
      </c>
      <c r="P85" s="2033"/>
      <c r="Q85" s="2033"/>
      <c r="R85" s="2033"/>
      <c r="S85" s="2033"/>
      <c r="T85" s="2033"/>
      <c r="U85" s="2033"/>
      <c r="V85" s="2033"/>
    </row>
    <row r="86" spans="1:26" ht="13.5" thickBot="1">
      <c r="A86" s="389" t="s">
        <v>1829</v>
      </c>
      <c r="B86" s="390" t="s">
        <v>436</v>
      </c>
      <c r="C86" s="391">
        <f ca="1">IF(C85&lt;=0,0,ROUND(C85*D86,0))</f>
        <v>172</v>
      </c>
      <c r="D86" s="392">
        <f>'数据-取费表'!B41</f>
        <v>5.6000000000000001E-2</v>
      </c>
      <c r="E86" s="393"/>
      <c r="F86" s="42"/>
      <c r="G86" s="42"/>
      <c r="H86" s="1006"/>
      <c r="I86" s="314"/>
      <c r="J86" s="2033"/>
      <c r="K86" s="3296"/>
      <c r="L86" s="3097" t="s">
        <v>2885</v>
      </c>
      <c r="M86" s="3087" t="e">
        <f>N69*0.5%</f>
        <v>#VALUE!</v>
      </c>
      <c r="N86" s="53" t="e">
        <f>IF(M86&gt;0.5,0.5,ROUND(M86,0))</f>
        <v>#VALUE!</v>
      </c>
      <c r="O86" s="2033" t="s">
        <v>2886</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96"/>
      <c r="L87" s="3097" t="s">
        <v>2887</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50" t="s">
        <v>437</v>
      </c>
      <c r="B88" s="3351"/>
      <c r="C88" s="3351"/>
      <c r="D88" s="3351"/>
      <c r="E88" s="3351"/>
      <c r="F88" s="3351"/>
      <c r="G88" s="3351"/>
      <c r="H88" s="3351"/>
      <c r="I88" s="1318"/>
      <c r="J88" s="2041"/>
      <c r="K88" s="3296"/>
      <c r="L88" s="3097" t="s">
        <v>2888</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14" t="s">
        <v>428</v>
      </c>
      <c r="B89" s="3315"/>
      <c r="C89" s="997"/>
      <c r="D89" s="997" t="s">
        <v>429</v>
      </c>
      <c r="E89" s="394" t="s">
        <v>438</v>
      </c>
      <c r="F89" s="395"/>
      <c r="G89" s="395"/>
      <c r="H89" s="396"/>
      <c r="I89" s="1319"/>
      <c r="J89" s="2043"/>
      <c r="K89" s="3296"/>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5080</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2611</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347" t="s">
        <v>447</v>
      </c>
      <c r="F94" s="3348"/>
      <c r="G94" s="3348"/>
      <c r="H94" s="3349"/>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30</v>
      </c>
      <c r="D96" s="409">
        <f>'数据-取费表'!B43</f>
        <v>6.000000000000001E-3</v>
      </c>
      <c r="E96" s="3337" t="s">
        <v>2431</v>
      </c>
      <c r="F96" s="3338"/>
      <c r="G96" s="3338"/>
      <c r="H96" s="3339"/>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2469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0.9456147070088089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857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50" t="s">
        <v>454</v>
      </c>
      <c r="B101" s="3351"/>
      <c r="C101" s="3351"/>
      <c r="D101" s="3351"/>
      <c r="E101" s="3351"/>
      <c r="F101" s="3351"/>
      <c r="G101" s="3351"/>
      <c r="H101" s="335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14" t="s">
        <v>428</v>
      </c>
      <c r="B102" s="331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5080</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40" t="s">
        <v>462</v>
      </c>
      <c r="F109" s="3338"/>
      <c r="G109" s="3338"/>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40" t="s">
        <v>464</v>
      </c>
      <c r="F110" s="3338"/>
      <c r="G110" s="3338"/>
      <c r="H110" s="3339"/>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30</v>
      </c>
      <c r="D111" s="409">
        <f>'数据-取费表'!B43</f>
        <v>6.000000000000001E-3</v>
      </c>
      <c r="E111" s="3337" t="s">
        <v>2431</v>
      </c>
      <c r="F111" s="3338"/>
      <c r="G111" s="3338"/>
      <c r="H111" s="3339"/>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40" t="s">
        <v>2456</v>
      </c>
      <c r="F112" s="3338"/>
      <c r="G112" s="3338"/>
      <c r="H112" s="3339"/>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4355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6.0068965517241377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2359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90" zoomScaleNormal="90" workbookViewId="0">
      <selection activeCell="C35" sqref="C3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12089</v>
      </c>
      <c r="C2" s="2109"/>
      <c r="D2" s="2109"/>
      <c r="E2" s="2109"/>
      <c r="F2" s="2109"/>
      <c r="G2" s="2109"/>
      <c r="H2" s="2109"/>
      <c r="I2" s="2109"/>
      <c r="J2" s="2109"/>
      <c r="K2" s="2109"/>
    </row>
    <row r="3" spans="1:31" s="2046" customFormat="1" ht="18" customHeight="1">
      <c r="A3" s="2111" t="s">
        <v>1685</v>
      </c>
      <c r="B3" s="2112">
        <f ca="1">ROUND(B2*10000/IF(B1="",'数据-汇总表'!E3,INDIRECT("'数据-取费表'!K"&amp;$K$1)),0)</f>
        <v>6768</v>
      </c>
      <c r="C3" s="2109"/>
      <c r="D3" s="2109"/>
      <c r="E3" s="2109"/>
      <c r="F3" s="2109"/>
      <c r="G3" s="2109"/>
      <c r="H3" s="2109"/>
      <c r="I3" s="2109"/>
      <c r="J3" s="2109"/>
      <c r="K3" s="2109"/>
    </row>
    <row r="4" spans="1:31" s="2046" customFormat="1" ht="18" customHeight="1">
      <c r="A4" s="429" t="s">
        <v>468</v>
      </c>
      <c r="B4" s="430">
        <f ca="1">ROUND(B2*10000/IF(B1="",'数据-汇总表'!D3,INDIRECT("'数据-取费表'!R"&amp;$K$1)),0)</f>
        <v>15615</v>
      </c>
      <c r="C4" s="431"/>
      <c r="D4" s="425"/>
      <c r="E4" s="425"/>
      <c r="F4" s="425"/>
      <c r="G4" s="425"/>
      <c r="H4" s="425"/>
      <c r="I4" s="425"/>
      <c r="J4" s="425"/>
      <c r="K4" s="425"/>
    </row>
    <row r="5" spans="1:31" s="2046" customFormat="1" ht="18" customHeight="1" thickBot="1">
      <c r="A5" s="432"/>
      <c r="B5" s="433">
        <f ca="1">ROUND(B2/(IF(B1="",'数据-汇总表'!D3,INDIRECT("'数据-取费表'!R"&amp;$K$1))/666.67),0)</f>
        <v>1041</v>
      </c>
      <c r="C5" s="434" t="s">
        <v>469</v>
      </c>
      <c r="D5" s="425"/>
      <c r="E5" s="425"/>
      <c r="F5" s="425"/>
      <c r="G5" s="425"/>
      <c r="H5" s="425"/>
      <c r="I5" s="425"/>
      <c r="J5" s="425"/>
      <c r="K5" s="425"/>
    </row>
    <row r="6" spans="1:31" s="2116" customFormat="1" ht="16.5" customHeight="1">
      <c r="A6" s="2859" t="s">
        <v>1843</v>
      </c>
      <c r="B6" s="2860"/>
      <c r="C6" s="2861">
        <f ca="1">SUM(C10:K10)</f>
        <v>26703</v>
      </c>
      <c r="D6" s="2860"/>
      <c r="E6" s="2860"/>
      <c r="F6" s="2860"/>
      <c r="G6" s="2860"/>
      <c r="H6" s="2860"/>
      <c r="I6" s="2860"/>
      <c r="J6" s="2860"/>
      <c r="K6" s="2862"/>
    </row>
    <row r="7" spans="1:31" s="2118" customFormat="1" ht="15">
      <c r="A7" s="2863" t="s">
        <v>470</v>
      </c>
      <c r="B7" s="2864" t="s">
        <v>471</v>
      </c>
      <c r="C7" s="439" t="s">
        <v>3000</v>
      </c>
      <c r="D7" s="439" t="s">
        <v>3004</v>
      </c>
      <c r="E7" s="439" t="s">
        <v>3112</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16657</v>
      </c>
      <c r="D8" s="2865">
        <f ca="1">'不动产收益法-车库'!C43</f>
        <v>3992</v>
      </c>
      <c r="E8" s="2865">
        <f ca="1">'不动产收益法-底商'!B3</f>
        <v>16342</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1173.6600000000001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23836</v>
      </c>
      <c r="D10" s="3060">
        <f ca="1">'不动产收益法-车库'!C40</f>
        <v>949</v>
      </c>
      <c r="E10" s="3060">
        <f ca="1">'不动产收益法-底商'!B2</f>
        <v>1918</v>
      </c>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5061</v>
      </c>
      <c r="D13" s="2875"/>
      <c r="E13" s="2876"/>
      <c r="F13" s="2877"/>
      <c r="G13" s="2843"/>
      <c r="H13" s="2844"/>
      <c r="I13" s="2844"/>
      <c r="J13" s="2844"/>
      <c r="K13" s="2845"/>
    </row>
    <row r="14" spans="1:31" s="2121" customFormat="1" ht="13.5" customHeight="1">
      <c r="A14" s="2873" t="s">
        <v>1850</v>
      </c>
      <c r="B14" s="2874" t="s">
        <v>480</v>
      </c>
      <c r="C14" s="53">
        <f ca="1">ROUND(C13*F14,0)</f>
        <v>202</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357</v>
      </c>
      <c r="D16" s="2875">
        <f ca="1">IF(B1="",'数据-汇总表'!E3,INDIRECT("'数据-取费表'!K"&amp;$K$1)+INDIRECT("'数据-取费表'!S"&amp;$K$1))</f>
        <v>17860.72</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76</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5911</v>
      </c>
      <c r="D18" s="2884"/>
      <c r="E18" s="471"/>
      <c r="F18" s="471"/>
      <c r="G18" s="2847" t="s">
        <v>2433</v>
      </c>
      <c r="H18" s="2848"/>
      <c r="I18" s="2848"/>
      <c r="J18" s="2848"/>
      <c r="K18" s="2849"/>
    </row>
    <row r="19" spans="1:14" s="2121" customFormat="1" ht="13.5" customHeight="1">
      <c r="A19" s="2881" t="s">
        <v>1855</v>
      </c>
      <c r="B19" s="2882" t="s">
        <v>488</v>
      </c>
      <c r="C19" s="2839">
        <f ca="1">ROUND(D19*E19/10000,0)</f>
        <v>71</v>
      </c>
      <c r="D19" s="2885">
        <f ca="1">D16</f>
        <v>17860.72</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393</v>
      </c>
      <c r="D20" s="2885"/>
      <c r="E20" s="2839"/>
      <c r="F20" s="2886"/>
      <c r="G20" s="3119"/>
      <c r="H20" s="2841"/>
      <c r="I20" s="2842" t="s">
        <v>2657</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78</v>
      </c>
      <c r="D22" s="2875">
        <f ca="1">IF(B1="",'数据-汇总表'!E6,IF(INDIRECT("'数据-取费表'!c"&amp;$K$1)="住宅",INDIRECT("'数据-取费表'!s"&amp;$K$1),INDIRECT("'数据-取费表'!k"&amp;$K$1)+INDIRECT("'数据-取费表'!s"&amp;$K$1)))</f>
        <v>3551.0400000000009</v>
      </c>
      <c r="E22" s="53">
        <f>'数据-取费表'!B28</f>
        <v>220</v>
      </c>
      <c r="F22" s="2878"/>
      <c r="G22" s="26"/>
      <c r="H22" s="51"/>
      <c r="I22" s="51"/>
      <c r="J22" s="51"/>
      <c r="K22" s="2850"/>
    </row>
    <row r="23" spans="1:14" s="2121" customFormat="1" ht="13.5" customHeight="1">
      <c r="A23" s="2881" t="s">
        <v>1859</v>
      </c>
      <c r="B23" s="3066" t="s">
        <v>2840</v>
      </c>
      <c r="C23" s="2883">
        <f ca="1">ROUND((C18+C19+C20)*F23,0)</f>
        <v>191</v>
      </c>
      <c r="D23" s="471"/>
      <c r="E23" s="471"/>
      <c r="F23" s="2887">
        <f>'数据-取费表'!B37</f>
        <v>0.03</v>
      </c>
      <c r="G23" s="2843" t="s">
        <v>2434</v>
      </c>
      <c r="H23" s="2844"/>
      <c r="I23" s="2844"/>
      <c r="J23" s="2844"/>
      <c r="K23" s="2845"/>
      <c r="L23" s="2123"/>
      <c r="M23" s="2123"/>
      <c r="N23" s="2123"/>
    </row>
    <row r="24" spans="1:14" s="2121" customFormat="1" ht="13.5" customHeight="1">
      <c r="A24" s="2881" t="s">
        <v>1860</v>
      </c>
      <c r="B24" s="3066" t="s">
        <v>2843</v>
      </c>
      <c r="C24" s="2883">
        <f ca="1">ROUND(C6*F24,0)</f>
        <v>801</v>
      </c>
      <c r="D24" s="478"/>
      <c r="E24" s="476"/>
      <c r="F24" s="2887">
        <f>'数据-取费表'!B38</f>
        <v>0.03</v>
      </c>
      <c r="G24" s="2852" t="s">
        <v>499</v>
      </c>
      <c r="H24" s="2846"/>
      <c r="I24" s="2846"/>
      <c r="J24" s="2846"/>
      <c r="K24" s="279"/>
      <c r="L24" s="2123"/>
      <c r="M24" s="2123"/>
      <c r="N24" s="2123"/>
    </row>
    <row r="25" spans="1:14" s="2124" customFormat="1" ht="13.5" customHeight="1">
      <c r="A25" s="2881" t="s">
        <v>1861</v>
      </c>
      <c r="B25" s="3066" t="s">
        <v>2841</v>
      </c>
      <c r="C25" s="470">
        <f>ROUND(F25/(1+'数据-取费表'!C42),4)</f>
        <v>3.8600000000000002E-2</v>
      </c>
      <c r="D25" s="465" t="s">
        <v>2835</v>
      </c>
      <c r="E25" s="472"/>
      <c r="F25" s="2887">
        <f>'数据-取费表'!B48+'数据-取费表'!B49</f>
        <v>4.0500000000000001E-2</v>
      </c>
      <c r="G25" s="2851" t="s">
        <v>2291</v>
      </c>
      <c r="H25" s="2844"/>
      <c r="I25" s="2844"/>
      <c r="J25" s="2844"/>
      <c r="K25" s="2845"/>
    </row>
    <row r="26" spans="1:14" s="2123" customFormat="1" ht="13.5" customHeight="1">
      <c r="A26" s="2881" t="s">
        <v>1862</v>
      </c>
      <c r="B26" s="3067" t="s">
        <v>2842</v>
      </c>
      <c r="C26" s="2888">
        <f ca="1">C28</f>
        <v>350</v>
      </c>
      <c r="D26" s="470">
        <f ca="1">C27</f>
        <v>0.10100000000000001</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0.10100000000000001</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2844</v>
      </c>
      <c r="C28" s="2891">
        <f ca="1">ROUND(IF('数据-取费表'!B22&lt;=1,(C18+C19+C20+C23+C24)*F26*'数据-取费表'!B24/2,(C18+C19+C20+C23+C24)*(POWER((1+F26),'数据-取费表'!B24/2)-1)),0)</f>
        <v>350</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1424</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9141</v>
      </c>
      <c r="D30" s="480">
        <f ca="1">C32</f>
        <v>0.1396</v>
      </c>
      <c r="E30" s="472" t="s">
        <v>495</v>
      </c>
      <c r="F30" s="474"/>
      <c r="G30" s="2843" t="s">
        <v>501</v>
      </c>
      <c r="H30" s="2844"/>
      <c r="I30" s="2844"/>
      <c r="J30" s="2844"/>
      <c r="K30" s="2845"/>
    </row>
    <row r="31" spans="1:14" s="2125" customFormat="1" ht="13.5" customHeight="1">
      <c r="A31" s="806" t="s">
        <v>1857</v>
      </c>
      <c r="B31" s="2889"/>
      <c r="C31" s="453">
        <f ca="1">C18+C19+C20+C23+C24+C26+C29</f>
        <v>9141</v>
      </c>
      <c r="D31" s="475"/>
      <c r="E31" s="476"/>
      <c r="F31" s="477"/>
      <c r="G31" s="261"/>
      <c r="H31" s="2846"/>
      <c r="I31" s="2846"/>
      <c r="J31" s="2846"/>
      <c r="K31" s="279"/>
    </row>
    <row r="32" spans="1:14" s="2125" customFormat="1" ht="13.5" customHeight="1">
      <c r="A32" s="806" t="s">
        <v>1858</v>
      </c>
      <c r="B32" s="2889"/>
      <c r="C32" s="53">
        <f ca="1">ROUND(C25+D26,4)</f>
        <v>0.1396</v>
      </c>
      <c r="D32" s="475"/>
      <c r="E32" s="476"/>
      <c r="F32" s="477"/>
      <c r="G32" s="261"/>
      <c r="H32" s="2846"/>
      <c r="I32" s="2846"/>
      <c r="J32" s="2846"/>
      <c r="K32" s="279"/>
    </row>
    <row r="33" spans="1:11" s="2127" customFormat="1" ht="13.5" customHeight="1">
      <c r="A33" s="3065" t="s">
        <v>2839</v>
      </c>
      <c r="B33" s="3063" t="s">
        <v>2837</v>
      </c>
      <c r="C33" s="481">
        <f ca="1">C35</f>
        <v>1400</v>
      </c>
      <c r="D33" s="470">
        <f ca="1">C34</f>
        <v>0.1973</v>
      </c>
      <c r="E33" s="472" t="s">
        <v>495</v>
      </c>
      <c r="F33" s="482">
        <f ca="1">IF(B1="",'数据-取费表'!Q16,INDIRECT("'数据-取费表'!q"&amp;$K$1))</f>
        <v>0.19</v>
      </c>
      <c r="G33" s="2847"/>
      <c r="H33" s="2848"/>
      <c r="I33" s="2848"/>
      <c r="J33" s="2848"/>
      <c r="K33" s="2849"/>
    </row>
    <row r="34" spans="1:11" s="2128" customFormat="1" ht="13.5" customHeight="1">
      <c r="A34" s="378" t="s">
        <v>1857</v>
      </c>
      <c r="B34" s="2894" t="s">
        <v>502</v>
      </c>
      <c r="C34" s="475">
        <f ca="1">ROUND((1+C25)*F33,4)</f>
        <v>0.1973</v>
      </c>
      <c r="D34" s="475"/>
      <c r="E34" s="476"/>
      <c r="F34" s="483"/>
      <c r="G34" s="261" t="s">
        <v>2292</v>
      </c>
      <c r="H34" s="2846"/>
      <c r="I34" s="2846"/>
      <c r="J34" s="2846"/>
      <c r="K34" s="279"/>
    </row>
    <row r="35" spans="1:11" s="2128" customFormat="1" ht="13.5" customHeight="1" thickBot="1">
      <c r="A35" s="1640" t="s">
        <v>1858</v>
      </c>
      <c r="B35" s="3064" t="s">
        <v>2845</v>
      </c>
      <c r="C35" s="1632">
        <f ca="1">ROUND((C18+C19+C20+C23+C24)*F33,0)</f>
        <v>1400</v>
      </c>
      <c r="D35" s="1633"/>
      <c r="E35" s="2895"/>
      <c r="F35" s="1634"/>
      <c r="G35" s="2853"/>
      <c r="H35" s="2854"/>
      <c r="I35" s="2854"/>
      <c r="J35" s="2854"/>
      <c r="K35" s="2855"/>
    </row>
    <row r="36" spans="1:11" s="2090" customFormat="1" ht="13.5" customHeight="1" thickBot="1">
      <c r="A36" s="284" t="s">
        <v>1845</v>
      </c>
      <c r="B36" s="2857"/>
      <c r="C36" s="2896">
        <f ca="1">ROUND((C6-C30-C33)/(1+D30+D33),0)</f>
        <v>12089</v>
      </c>
      <c r="D36" s="2857"/>
      <c r="E36" s="2857"/>
      <c r="F36" s="2857"/>
      <c r="G36" s="2856" t="s">
        <v>2846</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208" t="str">
        <f>项目基本情况!B1</f>
        <v>海南省海口市椰海大道南侧、丘海大道延长线西侧出让国有建设用地使用权抵押价格预评估</v>
      </c>
      <c r="C37" s="3208"/>
      <c r="D37" s="3208"/>
      <c r="E37" s="3208"/>
      <c r="F37" s="3208"/>
      <c r="G37" s="3208"/>
      <c r="H37" s="3208"/>
      <c r="I37" s="3208"/>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2658</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5061</v>
      </c>
      <c r="D13" s="454"/>
      <c r="E13" s="368"/>
      <c r="F13" s="455"/>
      <c r="G13" s="447"/>
      <c r="H13" s="450"/>
      <c r="I13" s="450"/>
      <c r="J13" s="450"/>
      <c r="K13" s="451"/>
    </row>
    <row r="14" spans="1:41" s="2121" customFormat="1" ht="13.5" customHeight="1">
      <c r="A14" s="1637" t="s">
        <v>1850</v>
      </c>
      <c r="B14" s="452" t="s">
        <v>480</v>
      </c>
      <c r="C14" s="53">
        <f ca="1">ROUND(C13*F14,0)</f>
        <v>202</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357</v>
      </c>
      <c r="D16" s="454">
        <f ca="1">IF(B1="",'数据-汇总表'!E3,INDIRECT("'数据-取费表'!K"&amp;$K$1)+INDIRECT("'数据-取费表'!S"&amp;$K$1))</f>
        <v>17860.72</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76</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5911</v>
      </c>
      <c r="D18" s="464"/>
      <c r="E18" s="465"/>
      <c r="F18" s="465"/>
      <c r="G18" s="1330" t="s">
        <v>2435</v>
      </c>
      <c r="H18" s="450"/>
      <c r="I18" s="450"/>
      <c r="J18" s="450"/>
      <c r="K18" s="451"/>
    </row>
    <row r="19" spans="1:14" s="2124" customFormat="1" ht="13.5" customHeight="1">
      <c r="A19" s="1638" t="s">
        <v>1855</v>
      </c>
      <c r="B19" s="462" t="s">
        <v>493</v>
      </c>
      <c r="C19" s="463">
        <f ca="1">ROUND(C18*F19,0)</f>
        <v>177</v>
      </c>
      <c r="D19" s="465"/>
      <c r="E19" s="465"/>
      <c r="F19" s="469">
        <f>'数据-取费表'!B37</f>
        <v>0.03</v>
      </c>
      <c r="G19" s="447" t="s">
        <v>504</v>
      </c>
      <c r="H19" s="450"/>
      <c r="I19" s="450"/>
      <c r="J19" s="450"/>
      <c r="K19" s="451"/>
      <c r="L19" s="2126"/>
      <c r="M19" s="2126"/>
      <c r="N19" s="2126"/>
    </row>
    <row r="20" spans="1:14" s="2124" customFormat="1" ht="13.5" customHeight="1">
      <c r="A20" s="1638" t="s">
        <v>1856</v>
      </c>
      <c r="B20" s="462" t="s">
        <v>505</v>
      </c>
      <c r="C20" s="3061">
        <f>F20</f>
        <v>0.03</v>
      </c>
      <c r="D20" s="472" t="s">
        <v>506</v>
      </c>
      <c r="E20" s="472"/>
      <c r="F20" s="489">
        <f>'数据-取费表'!B38</f>
        <v>0.03</v>
      </c>
      <c r="G20" s="1330" t="s">
        <v>507</v>
      </c>
      <c r="H20" s="450"/>
      <c r="I20" s="450"/>
      <c r="J20" s="450"/>
      <c r="K20" s="451"/>
      <c r="L20" s="2126"/>
      <c r="M20" s="2126"/>
      <c r="N20" s="2126"/>
    </row>
    <row r="21" spans="1:14" s="2126" customFormat="1" ht="13.5" customHeight="1">
      <c r="A21" s="1638" t="s">
        <v>1859</v>
      </c>
      <c r="B21" s="464" t="s">
        <v>494</v>
      </c>
      <c r="C21" s="473">
        <f ca="1">C22</f>
        <v>289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289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2838</v>
      </c>
      <c r="C24" s="481">
        <f ca="1">C25</f>
        <v>1157</v>
      </c>
      <c r="D24" s="492">
        <f ca="1">C26</f>
        <v>5.7000000000000002E-3</v>
      </c>
      <c r="E24" s="472" t="s">
        <v>508</v>
      </c>
      <c r="F24" s="482">
        <f ca="1">IF(B1="",'数据-取费表'!Q16,INDIRECT("'数据-取费表'!q"&amp;$K$1))</f>
        <v>0.19</v>
      </c>
      <c r="G24" s="447"/>
      <c r="H24" s="450"/>
      <c r="I24" s="450"/>
      <c r="J24" s="450"/>
      <c r="K24" s="451"/>
    </row>
    <row r="25" spans="1:14" s="2125" customFormat="1" ht="13.5" customHeight="1">
      <c r="A25" s="1637" t="s">
        <v>1849</v>
      </c>
      <c r="B25" s="1331" t="s">
        <v>2439</v>
      </c>
      <c r="C25" s="493">
        <f ca="1">ROUND((C18+C19)*F24,0)</f>
        <v>1157</v>
      </c>
      <c r="D25" s="475"/>
      <c r="E25" s="476"/>
      <c r="F25" s="483"/>
      <c r="G25" s="1329" t="s">
        <v>2436</v>
      </c>
      <c r="H25" s="460"/>
      <c r="I25" s="460"/>
      <c r="J25" s="460"/>
      <c r="K25" s="461"/>
    </row>
    <row r="26" spans="1:14" s="2125" customFormat="1" ht="13.5" customHeight="1">
      <c r="A26" s="1637" t="s">
        <v>1850</v>
      </c>
      <c r="B26" s="1331" t="s">
        <v>510</v>
      </c>
      <c r="C26" s="494">
        <f ca="1">ROUND(F20*F24,4)</f>
        <v>5.7000000000000002E-3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2836</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8283</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29" sqref="C2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6757</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3783</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8728</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582</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95" t="s">
        <v>523</v>
      </c>
      <c r="D6" s="3396"/>
      <c r="E6" s="3395" t="s">
        <v>524</v>
      </c>
      <c r="F6" s="3396"/>
      <c r="G6" s="3395" t="s">
        <v>525</v>
      </c>
      <c r="H6" s="3396"/>
      <c r="I6" s="3395" t="s">
        <v>526</v>
      </c>
      <c r="J6" s="3396"/>
      <c r="K6" s="517" t="s">
        <v>527</v>
      </c>
      <c r="L6" s="2138"/>
      <c r="M6" s="2137"/>
      <c r="N6" s="2137"/>
      <c r="O6" s="2139"/>
      <c r="P6" s="3397" t="s">
        <v>528</v>
      </c>
      <c r="Q6" s="3398"/>
      <c r="R6" s="3383" t="s">
        <v>524</v>
      </c>
      <c r="S6" s="3384"/>
      <c r="T6" s="3383" t="s">
        <v>525</v>
      </c>
      <c r="U6" s="3384"/>
      <c r="V6" s="3403" t="s">
        <v>526</v>
      </c>
      <c r="W6" s="3403"/>
      <c r="X6" s="1571"/>
      <c r="Y6" s="3383" t="s">
        <v>528</v>
      </c>
      <c r="Z6" s="3384"/>
      <c r="AA6" s="3378" t="s">
        <v>524</v>
      </c>
      <c r="AB6" s="3379" t="s">
        <v>525</v>
      </c>
      <c r="AC6" s="3378" t="s">
        <v>526</v>
      </c>
    </row>
    <row r="7" spans="1:30" ht="20.25">
      <c r="A7" s="518"/>
      <c r="B7" s="519"/>
      <c r="C7" s="3408" t="s">
        <v>2932</v>
      </c>
      <c r="D7" s="3407"/>
      <c r="E7" s="3406" t="s">
        <v>3169</v>
      </c>
      <c r="F7" s="3407"/>
      <c r="G7" s="3406" t="s">
        <v>3169</v>
      </c>
      <c r="H7" s="3407"/>
      <c r="I7" s="3406" t="s">
        <v>3170</v>
      </c>
      <c r="J7" s="3407"/>
      <c r="K7" s="517"/>
      <c r="L7" s="2138"/>
      <c r="M7" s="2137"/>
      <c r="N7" s="2137"/>
      <c r="O7" s="2139"/>
      <c r="P7" s="3399"/>
      <c r="Q7" s="3400"/>
      <c r="R7" s="3385"/>
      <c r="S7" s="3386"/>
      <c r="T7" s="3385"/>
      <c r="U7" s="3386"/>
      <c r="V7" s="3403"/>
      <c r="W7" s="3403"/>
      <c r="X7" s="1571"/>
      <c r="Y7" s="3385"/>
      <c r="Z7" s="3386"/>
      <c r="AA7" s="3379"/>
      <c r="AB7" s="3379"/>
      <c r="AC7" s="3379"/>
    </row>
    <row r="8" spans="1:30" ht="21" thickBot="1">
      <c r="A8" s="518"/>
      <c r="B8" s="519"/>
      <c r="C8" s="3409" t="s">
        <v>2936</v>
      </c>
      <c r="D8" s="3410"/>
      <c r="E8" s="3409" t="s">
        <v>2936</v>
      </c>
      <c r="F8" s="3410"/>
      <c r="G8" s="3404" t="s">
        <v>2936</v>
      </c>
      <c r="H8" s="3405"/>
      <c r="I8" s="3404" t="s">
        <v>2936</v>
      </c>
      <c r="J8" s="3405"/>
      <c r="K8" s="517" t="s">
        <v>529</v>
      </c>
      <c r="L8" s="2138"/>
      <c r="M8" s="2137"/>
      <c r="N8" s="2137"/>
      <c r="O8" s="2139"/>
      <c r="P8" s="3401"/>
      <c r="Q8" s="3402"/>
      <c r="R8" s="3385"/>
      <c r="S8" s="3386"/>
      <c r="T8" s="3387"/>
      <c r="U8" s="3388"/>
      <c r="V8" s="3403"/>
      <c r="W8" s="3403"/>
      <c r="X8" s="1571"/>
      <c r="Y8" s="3387"/>
      <c r="Z8" s="3388"/>
      <c r="AA8" s="3380"/>
      <c r="AB8" s="3380"/>
      <c r="AC8" s="3380"/>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381" t="s">
        <v>531</v>
      </c>
      <c r="Q9" s="3390"/>
      <c r="R9" s="1572" t="s">
        <v>8</v>
      </c>
      <c r="S9" s="1573">
        <f t="shared" ref="S9:S17" si="0">F9</f>
        <v>95</v>
      </c>
      <c r="T9" s="1572" t="s">
        <v>8</v>
      </c>
      <c r="U9" s="1573">
        <f t="shared" ref="U9:U17" si="1">H9</f>
        <v>95</v>
      </c>
      <c r="V9" s="1572" t="s">
        <v>8</v>
      </c>
      <c r="W9" s="1573">
        <f t="shared" ref="W9:W17" si="2">J9</f>
        <v>94</v>
      </c>
      <c r="X9" s="1574"/>
      <c r="Y9" s="3381" t="s">
        <v>531</v>
      </c>
      <c r="Z9" s="3382"/>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3011</v>
      </c>
      <c r="F10" s="525">
        <f>SUMIF(75:75,E10,76:76)-SUMIF(75:75,C10,76:76)+100</f>
        <v>100</v>
      </c>
      <c r="G10" s="528" t="s">
        <v>3011</v>
      </c>
      <c r="H10" s="523">
        <f>SUMIF(75:75,G10,76:76)-SUMIF(75:75,C10,76:76)+100</f>
        <v>100</v>
      </c>
      <c r="I10" s="528" t="s">
        <v>3011</v>
      </c>
      <c r="J10" s="523">
        <f>SUMIF(75:75,I10,76:76)-SUMIF(75:75,C10,76:76)+100</f>
        <v>100</v>
      </c>
      <c r="K10" s="527"/>
      <c r="L10" s="2140"/>
      <c r="M10" s="2137"/>
      <c r="N10" s="2137"/>
      <c r="O10" s="2141"/>
      <c r="P10" s="3381" t="s">
        <v>534</v>
      </c>
      <c r="Q10" s="3382"/>
      <c r="R10" s="1572" t="s">
        <v>8</v>
      </c>
      <c r="S10" s="1573">
        <f t="shared" si="0"/>
        <v>100</v>
      </c>
      <c r="T10" s="1572" t="s">
        <v>8</v>
      </c>
      <c r="U10" s="1573">
        <f t="shared" si="1"/>
        <v>100</v>
      </c>
      <c r="V10" s="1572" t="s">
        <v>8</v>
      </c>
      <c r="W10" s="1573">
        <f t="shared" si="2"/>
        <v>100</v>
      </c>
      <c r="X10" s="1574"/>
      <c r="Y10" s="3381" t="s">
        <v>534</v>
      </c>
      <c r="Z10" s="3382"/>
      <c r="AA10" s="1575">
        <f t="shared" ref="AA10:AA47" si="3">D10/F10</f>
        <v>1</v>
      </c>
      <c r="AB10" s="1575">
        <f t="shared" ref="AB10:AB47" si="4">D10/H10</f>
        <v>1</v>
      </c>
      <c r="AC10" s="1575">
        <f t="shared" ref="AC10:AC47" si="5">D10/J10</f>
        <v>1</v>
      </c>
    </row>
    <row r="11" spans="1:30" s="1223" customFormat="1" ht="20.25">
      <c r="A11" s="2945"/>
      <c r="B11" s="2952" t="s">
        <v>2762</v>
      </c>
      <c r="C11" s="2939" t="s">
        <v>3043</v>
      </c>
      <c r="D11" s="254">
        <v>100</v>
      </c>
      <c r="E11" s="529" t="s">
        <v>923</v>
      </c>
      <c r="F11" s="254">
        <f>SUMIF(77:77,E11,78:78)-SUMIF(77:77,C11,78:78)+100</f>
        <v>99</v>
      </c>
      <c r="G11" s="529" t="s">
        <v>3043</v>
      </c>
      <c r="H11" s="254">
        <f>SUMIF(77:77,G11,78:78)-SUMIF(77:77,C11,78:78)+100</f>
        <v>100</v>
      </c>
      <c r="I11" s="529" t="s">
        <v>923</v>
      </c>
      <c r="J11" s="254">
        <f>SUMIF(77:77,I11,78:78)-SUMIF(77:77,C11,78:78)+100</f>
        <v>99</v>
      </c>
      <c r="K11" s="527"/>
      <c r="L11" s="2140"/>
      <c r="M11" s="2137"/>
      <c r="N11" s="2137"/>
      <c r="O11" s="2142"/>
      <c r="P11" s="3389" t="s">
        <v>536</v>
      </c>
      <c r="Q11" s="1154" t="str">
        <f t="shared" ref="Q11:Q17" si="6">B11</f>
        <v>用途</v>
      </c>
      <c r="R11" s="1572" t="s">
        <v>8</v>
      </c>
      <c r="S11" s="1573">
        <f t="shared" si="0"/>
        <v>99</v>
      </c>
      <c r="T11" s="1572" t="s">
        <v>8</v>
      </c>
      <c r="U11" s="1573">
        <f t="shared" si="1"/>
        <v>100</v>
      </c>
      <c r="V11" s="1572" t="s">
        <v>8</v>
      </c>
      <c r="W11" s="1573">
        <f t="shared" si="2"/>
        <v>99</v>
      </c>
      <c r="X11" s="1574"/>
      <c r="Y11" s="3346" t="s">
        <v>537</v>
      </c>
      <c r="Z11" s="1153" t="str">
        <f t="shared" ref="Z11:Z17" si="7">Q11</f>
        <v>用途</v>
      </c>
      <c r="AA11" s="1575">
        <f t="shared" si="3"/>
        <v>1.0101010101010102</v>
      </c>
      <c r="AB11" s="1575">
        <f t="shared" si="4"/>
        <v>1</v>
      </c>
      <c r="AC11" s="1575">
        <f t="shared" si="5"/>
        <v>1.0101010101010102</v>
      </c>
    </row>
    <row r="12" spans="1:30" s="1341" customFormat="1" ht="27">
      <c r="A12" s="2946"/>
      <c r="B12" s="2951" t="s">
        <v>2763</v>
      </c>
      <c r="C12" s="913">
        <f>'数据-取费表'!F6</f>
        <v>67.739999999999995</v>
      </c>
      <c r="D12" s="255">
        <v>100</v>
      </c>
      <c r="E12" s="532" t="s">
        <v>3104</v>
      </c>
      <c r="F12" s="255">
        <f>ROUND(100/'数据-取费表'!G16,0)</f>
        <v>101</v>
      </c>
      <c r="G12" s="533" t="s">
        <v>3104</v>
      </c>
      <c r="H12" s="255">
        <f>ROUND(100/'数据-取费表'!G16,0)</f>
        <v>101</v>
      </c>
      <c r="I12" s="533" t="s">
        <v>3104</v>
      </c>
      <c r="J12" s="255">
        <f>ROUND(100/'数据-取费表'!G16,0)</f>
        <v>101</v>
      </c>
      <c r="K12" s="534"/>
      <c r="L12" s="2143"/>
      <c r="M12" s="2137"/>
      <c r="N12" s="2137"/>
      <c r="O12" s="2144"/>
      <c r="P12" s="3389"/>
      <c r="Q12" s="1154" t="str">
        <f t="shared" si="6"/>
        <v>土地使用年限（年）</v>
      </c>
      <c r="R12" s="1572" t="s">
        <v>8</v>
      </c>
      <c r="S12" s="1573">
        <f t="shared" si="0"/>
        <v>101</v>
      </c>
      <c r="T12" s="1572" t="s">
        <v>8</v>
      </c>
      <c r="U12" s="1573">
        <f t="shared" si="1"/>
        <v>101</v>
      </c>
      <c r="V12" s="1572" t="s">
        <v>8</v>
      </c>
      <c r="W12" s="1573">
        <f t="shared" si="2"/>
        <v>101</v>
      </c>
      <c r="X12" s="1574"/>
      <c r="Y12" s="3346"/>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2764</v>
      </c>
      <c r="C13" s="537">
        <f>'数据-汇总表'!I6</f>
        <v>2</v>
      </c>
      <c r="D13" s="255">
        <v>100</v>
      </c>
      <c r="E13" s="536">
        <v>3.5</v>
      </c>
      <c r="F13" s="255">
        <f>LOOKUP(E13,82:82,83:83)-LOOKUP(C13,82:82,83:83)+100</f>
        <v>98</v>
      </c>
      <c r="G13" s="537">
        <v>4</v>
      </c>
      <c r="H13" s="255">
        <f>LOOKUP(G13,82:82,83:83)-LOOKUP(C13,82:82,83:83)+100</f>
        <v>98</v>
      </c>
      <c r="I13" s="536">
        <v>2</v>
      </c>
      <c r="J13" s="255">
        <f>LOOKUP(I13,82:82,83:83)-LOOKUP(C13,82:82,83:83)+100</f>
        <v>100</v>
      </c>
      <c r="K13" s="538">
        <v>2</v>
      </c>
      <c r="L13" s="2145"/>
      <c r="M13" s="2137"/>
      <c r="N13" s="2137"/>
      <c r="O13" s="2146"/>
      <c r="P13" s="3389"/>
      <c r="Q13" s="1154" t="str">
        <f t="shared" si="6"/>
        <v>容积率</v>
      </c>
      <c r="R13" s="1572" t="s">
        <v>8</v>
      </c>
      <c r="S13" s="1573">
        <f t="shared" si="0"/>
        <v>98</v>
      </c>
      <c r="T13" s="1572" t="s">
        <v>8</v>
      </c>
      <c r="U13" s="1573">
        <f t="shared" si="1"/>
        <v>98</v>
      </c>
      <c r="V13" s="1572" t="s">
        <v>8</v>
      </c>
      <c r="W13" s="1573">
        <f t="shared" si="2"/>
        <v>100</v>
      </c>
      <c r="X13" s="1574"/>
      <c r="Y13" s="3346"/>
      <c r="Z13" s="1153" t="str">
        <f t="shared" si="7"/>
        <v>容积率</v>
      </c>
      <c r="AA13" s="1575">
        <f t="shared" si="3"/>
        <v>1.0204081632653061</v>
      </c>
      <c r="AB13" s="1575">
        <f t="shared" si="4"/>
        <v>1.0204081632653061</v>
      </c>
      <c r="AC13" s="1575">
        <f t="shared" si="5"/>
        <v>1</v>
      </c>
    </row>
    <row r="14" spans="1:30" s="1223" customFormat="1" ht="20.25" hidden="1">
      <c r="A14" s="2944"/>
      <c r="B14" s="2953" t="s">
        <v>2765</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89"/>
      <c r="Q14" s="1154" t="str">
        <f t="shared" si="6"/>
        <v>配建</v>
      </c>
      <c r="R14" s="1572" t="s">
        <v>8</v>
      </c>
      <c r="S14" s="1573">
        <f t="shared" si="0"/>
        <v>100</v>
      </c>
      <c r="T14" s="1572" t="s">
        <v>8</v>
      </c>
      <c r="U14" s="1573">
        <f t="shared" si="1"/>
        <v>100</v>
      </c>
      <c r="V14" s="1572" t="s">
        <v>8</v>
      </c>
      <c r="W14" s="1573">
        <f t="shared" si="2"/>
        <v>100</v>
      </c>
      <c r="X14" s="1574"/>
      <c r="Y14" s="334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89"/>
      <c r="Q15" s="1154">
        <f t="shared" si="6"/>
        <v>111</v>
      </c>
      <c r="R15" s="1572" t="s">
        <v>8</v>
      </c>
      <c r="S15" s="1573">
        <f t="shared" si="0"/>
        <v>100</v>
      </c>
      <c r="T15" s="1572" t="s">
        <v>8</v>
      </c>
      <c r="U15" s="1573">
        <f t="shared" si="1"/>
        <v>100</v>
      </c>
      <c r="V15" s="1572" t="s">
        <v>8</v>
      </c>
      <c r="W15" s="1573">
        <f t="shared" si="2"/>
        <v>100</v>
      </c>
      <c r="X15" s="1574"/>
      <c r="Y15" s="334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89"/>
      <c r="Q16" s="1154">
        <f t="shared" si="6"/>
        <v>111</v>
      </c>
      <c r="R16" s="1572" t="s">
        <v>8</v>
      </c>
      <c r="S16" s="1573">
        <f t="shared" si="0"/>
        <v>100</v>
      </c>
      <c r="T16" s="1572" t="s">
        <v>8</v>
      </c>
      <c r="U16" s="1573">
        <f t="shared" si="1"/>
        <v>100</v>
      </c>
      <c r="V16" s="1572" t="s">
        <v>8</v>
      </c>
      <c r="W16" s="1573">
        <f t="shared" si="2"/>
        <v>100</v>
      </c>
      <c r="X16" s="1574"/>
      <c r="Y16" s="3346"/>
      <c r="Z16" s="1153">
        <f t="shared" si="7"/>
        <v>111</v>
      </c>
      <c r="AA16" s="1575">
        <f>D16/F16</f>
        <v>1</v>
      </c>
      <c r="AB16" s="1575">
        <f>D16/H16</f>
        <v>1</v>
      </c>
      <c r="AC16" s="1575">
        <f>D16/J16</f>
        <v>1</v>
      </c>
    </row>
    <row r="17" spans="1:29" ht="114">
      <c r="A17" s="2941" t="s">
        <v>2760</v>
      </c>
      <c r="B17" s="581" t="s">
        <v>295</v>
      </c>
      <c r="C17" s="551" t="str">
        <f>估价对象房地状况!C15</f>
        <v>估价对象周边周边有紫竹园、伟业致青春、海口碧桂园等住宅小区均正在待开发项目，综合评价居住社区成熟度一般</v>
      </c>
      <c r="D17" s="554">
        <v>100</v>
      </c>
      <c r="E17" s="3186" t="s">
        <v>3163</v>
      </c>
      <c r="F17" s="552">
        <f>SUMIF(90:90,E18,91:91)-SUMIF(90:90,C18,91:91)+100</f>
        <v>102</v>
      </c>
      <c r="G17" s="3187" t="s">
        <v>3107</v>
      </c>
      <c r="H17" s="552">
        <f>SUMIF(90:90,G18,91:91)-SUMIF(90:90,C18,91:91)+100</f>
        <v>102</v>
      </c>
      <c r="I17" s="3186" t="s">
        <v>3174</v>
      </c>
      <c r="J17" s="552">
        <f>SUMIF(90:90,I18,91:91)-SUMIF(90:90,C18,91:91)+100</f>
        <v>102</v>
      </c>
      <c r="K17" s="538">
        <v>2</v>
      </c>
      <c r="L17" s="2147"/>
      <c r="M17" s="2137"/>
      <c r="N17" s="2137"/>
      <c r="O17" s="2146"/>
      <c r="P17" s="3391" t="s">
        <v>541</v>
      </c>
      <c r="Q17" s="1576" t="str">
        <f t="shared" si="6"/>
        <v>居住社区成熟度</v>
      </c>
      <c r="R17" s="1577" t="s">
        <v>8</v>
      </c>
      <c r="S17" s="1578">
        <f t="shared" si="0"/>
        <v>102</v>
      </c>
      <c r="T17" s="1577" t="s">
        <v>8</v>
      </c>
      <c r="U17" s="1578">
        <f t="shared" si="1"/>
        <v>102</v>
      </c>
      <c r="V17" s="1577" t="s">
        <v>8</v>
      </c>
      <c r="W17" s="1578">
        <f t="shared" si="2"/>
        <v>102</v>
      </c>
      <c r="X17" s="1571"/>
      <c r="Y17" s="3391"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3028</v>
      </c>
      <c r="D18" s="560"/>
      <c r="E18" s="561" t="s">
        <v>3026</v>
      </c>
      <c r="F18" s="558"/>
      <c r="G18" s="559" t="s">
        <v>3026</v>
      </c>
      <c r="H18" s="562"/>
      <c r="I18" s="561" t="s">
        <v>3026</v>
      </c>
      <c r="J18" s="558"/>
      <c r="K18" s="534"/>
      <c r="L18" s="2147"/>
      <c r="M18" s="2137"/>
      <c r="N18" s="2137"/>
      <c r="O18" s="2146"/>
      <c r="P18" s="3392"/>
      <c r="Q18" s="1576"/>
      <c r="R18" s="1577"/>
      <c r="S18" s="1578"/>
      <c r="T18" s="1577"/>
      <c r="U18" s="1578"/>
      <c r="V18" s="1577"/>
      <c r="W18" s="1578"/>
      <c r="X18" s="1571"/>
      <c r="Y18" s="3392"/>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92"/>
      <c r="Q19" s="1576" t="str">
        <f>B19</f>
        <v>商业繁华度</v>
      </c>
      <c r="R19" s="1577" t="s">
        <v>8</v>
      </c>
      <c r="S19" s="1578">
        <f>F19</f>
        <v>100</v>
      </c>
      <c r="T19" s="1577" t="s">
        <v>8</v>
      </c>
      <c r="U19" s="1578">
        <f>H19</f>
        <v>100</v>
      </c>
      <c r="V19" s="1577" t="s">
        <v>8</v>
      </c>
      <c r="W19" s="1578">
        <f>J19</f>
        <v>100</v>
      </c>
      <c r="X19" s="1571"/>
      <c r="Y19" s="3392"/>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392"/>
      <c r="Q20" s="1576"/>
      <c r="R20" s="1577"/>
      <c r="S20" s="1578"/>
      <c r="T20" s="1577"/>
      <c r="U20" s="1578"/>
      <c r="V20" s="1577"/>
      <c r="W20" s="1578"/>
      <c r="X20" s="1571"/>
      <c r="Y20" s="3392"/>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92"/>
      <c r="Q21" s="1576" t="str">
        <f>B21</f>
        <v>办公集聚程度</v>
      </c>
      <c r="R21" s="1577" t="s">
        <v>8</v>
      </c>
      <c r="S21" s="1578">
        <f>F21</f>
        <v>100</v>
      </c>
      <c r="T21" s="1577" t="s">
        <v>8</v>
      </c>
      <c r="U21" s="1578">
        <f>H21</f>
        <v>100</v>
      </c>
      <c r="V21" s="1577" t="s">
        <v>8</v>
      </c>
      <c r="W21" s="1578">
        <f>J21</f>
        <v>100</v>
      </c>
      <c r="X21" s="1571"/>
      <c r="Y21" s="3392"/>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92"/>
      <c r="Q22" s="1576"/>
      <c r="R22" s="1577"/>
      <c r="S22" s="1578"/>
      <c r="T22" s="1577"/>
      <c r="U22" s="1578"/>
      <c r="V22" s="1577"/>
      <c r="W22" s="1578"/>
      <c r="X22" s="1571"/>
      <c r="Y22" s="3392"/>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3164</v>
      </c>
      <c r="F23" s="568">
        <f>SUMIF(96:96,E24,97:97)-SUMIF(96:96,C24,97:97)+100</f>
        <v>100</v>
      </c>
      <c r="G23" s="565" t="s">
        <v>3110</v>
      </c>
      <c r="H23" s="562">
        <f>SUMIF(96:96,G24,97:97)-SUMIF(96:96,C24,97:97)+100</f>
        <v>100</v>
      </c>
      <c r="I23" s="567" t="s">
        <v>3166</v>
      </c>
      <c r="J23" s="562">
        <f>SUMIF(96:96,I24,97:97)-SUMIF(96:96,C24,97:97)+100</f>
        <v>98</v>
      </c>
      <c r="K23" s="538">
        <v>2</v>
      </c>
      <c r="L23" s="2147"/>
      <c r="M23" s="2137"/>
      <c r="N23" s="2137"/>
      <c r="O23" s="2146"/>
      <c r="P23" s="3392"/>
      <c r="Q23" s="1576" t="str">
        <f>B23</f>
        <v>交通便捷度</v>
      </c>
      <c r="R23" s="1577" t="s">
        <v>8</v>
      </c>
      <c r="S23" s="1578">
        <f>F23</f>
        <v>100</v>
      </c>
      <c r="T23" s="1577" t="s">
        <v>8</v>
      </c>
      <c r="U23" s="1578">
        <f>H23</f>
        <v>100</v>
      </c>
      <c r="V23" s="1577" t="s">
        <v>8</v>
      </c>
      <c r="W23" s="1578">
        <f>J23</f>
        <v>98</v>
      </c>
      <c r="X23" s="1571"/>
      <c r="Y23" s="3392"/>
      <c r="Z23" s="1579" t="str">
        <f>Q23</f>
        <v>交通便捷度</v>
      </c>
      <c r="AA23" s="1580">
        <f t="shared" si="3"/>
        <v>1</v>
      </c>
      <c r="AB23" s="1580">
        <f t="shared" si="4"/>
        <v>1</v>
      </c>
      <c r="AC23" s="1580">
        <f t="shared" si="5"/>
        <v>1.0204081632653061</v>
      </c>
    </row>
    <row r="24" spans="1:29" ht="20.25">
      <c r="A24" s="535"/>
      <c r="B24" s="581"/>
      <c r="C24" s="3192" t="s">
        <v>3026</v>
      </c>
      <c r="D24" s="560"/>
      <c r="E24" s="561" t="s">
        <v>3026</v>
      </c>
      <c r="F24" s="558"/>
      <c r="G24" s="559" t="s">
        <v>3026</v>
      </c>
      <c r="H24" s="558"/>
      <c r="I24" s="561" t="s">
        <v>3028</v>
      </c>
      <c r="J24" s="558"/>
      <c r="K24" s="534"/>
      <c r="L24" s="2147"/>
      <c r="M24" s="2137"/>
      <c r="N24" s="2137"/>
      <c r="O24" s="2146"/>
      <c r="P24" s="3392"/>
      <c r="Q24" s="1576"/>
      <c r="R24" s="1577"/>
      <c r="S24" s="1578"/>
      <c r="T24" s="1577"/>
      <c r="U24" s="1578"/>
      <c r="V24" s="1577"/>
      <c r="W24" s="1578"/>
      <c r="X24" s="1571"/>
      <c r="Y24" s="3392"/>
      <c r="Z24" s="1579"/>
      <c r="AA24" s="1580">
        <v>1</v>
      </c>
      <c r="AB24" s="1580">
        <v>1</v>
      </c>
      <c r="AC24" s="1580">
        <v>1</v>
      </c>
    </row>
    <row r="25" spans="1:29" ht="27">
      <c r="A25" s="518"/>
      <c r="B25" s="259" t="s">
        <v>545</v>
      </c>
      <c r="C25" s="576" t="str">
        <f>估价对象房地状况!C19</f>
        <v>较好</v>
      </c>
      <c r="D25" s="566">
        <v>100</v>
      </c>
      <c r="E25" s="3191" t="s">
        <v>3105</v>
      </c>
      <c r="F25" s="568">
        <f>SUMIF(98:98,E26,99:99)-SUMIF(98:98,C26,99:99)+100</f>
        <v>100</v>
      </c>
      <c r="G25" s="3190" t="s">
        <v>3091</v>
      </c>
      <c r="H25" s="562">
        <f>SUMIF(98:98,G26,99:99)-SUMIF(98:98,C26,99:99)+100</f>
        <v>100</v>
      </c>
      <c r="I25" s="3191" t="s">
        <v>3091</v>
      </c>
      <c r="J25" s="562">
        <f>SUMIF(98:98,I26,99:99)-SUMIF(98:98,C26,99:99)+100</f>
        <v>100</v>
      </c>
      <c r="K25" s="538"/>
      <c r="L25" s="2147"/>
      <c r="M25" s="2137"/>
      <c r="N25" s="2137"/>
      <c r="O25" s="2146"/>
      <c r="P25" s="3392"/>
      <c r="Q25" s="1576" t="str">
        <f t="shared" ref="Q25:Q39" si="8">B25</f>
        <v>区域土地利用方向</v>
      </c>
      <c r="R25" s="1577" t="s">
        <v>8</v>
      </c>
      <c r="S25" s="1578">
        <f>F25</f>
        <v>100</v>
      </c>
      <c r="T25" s="1577" t="s">
        <v>8</v>
      </c>
      <c r="U25" s="1578">
        <f>H25</f>
        <v>100</v>
      </c>
      <c r="V25" s="1577" t="s">
        <v>8</v>
      </c>
      <c r="W25" s="1578">
        <f>J25</f>
        <v>100</v>
      </c>
      <c r="X25" s="1571"/>
      <c r="Y25" s="3392"/>
      <c r="Z25" s="1579" t="str">
        <f>Q25</f>
        <v>区域土地利用方向</v>
      </c>
      <c r="AA25" s="1580">
        <f t="shared" si="3"/>
        <v>1</v>
      </c>
      <c r="AB25" s="1580">
        <f t="shared" si="4"/>
        <v>1</v>
      </c>
      <c r="AC25" s="1580">
        <f t="shared" si="5"/>
        <v>1</v>
      </c>
    </row>
    <row r="26" spans="1:29" ht="20.25">
      <c r="A26" s="518"/>
      <c r="B26" s="1010"/>
      <c r="C26" s="557" t="s">
        <v>3026</v>
      </c>
      <c r="D26" s="560"/>
      <c r="E26" s="561" t="s">
        <v>3026</v>
      </c>
      <c r="F26" s="558"/>
      <c r="G26" s="559" t="s">
        <v>3026</v>
      </c>
      <c r="H26" s="558"/>
      <c r="I26" s="561" t="s">
        <v>3026</v>
      </c>
      <c r="J26" s="558"/>
      <c r="K26" s="534"/>
      <c r="L26" s="2147"/>
      <c r="M26" s="2137"/>
      <c r="N26" s="2137"/>
      <c r="O26" s="2146"/>
      <c r="P26" s="3392"/>
      <c r="Q26" s="1576"/>
      <c r="R26" s="1577"/>
      <c r="S26" s="1578"/>
      <c r="T26" s="1577"/>
      <c r="U26" s="1578"/>
      <c r="V26" s="1577"/>
      <c r="W26" s="1578"/>
      <c r="X26" s="1571"/>
      <c r="Y26" s="3392"/>
      <c r="Z26" s="1579"/>
      <c r="AA26" s="1580"/>
      <c r="AB26" s="1580"/>
      <c r="AC26" s="1580"/>
    </row>
    <row r="27" spans="1:29" ht="57">
      <c r="A27" s="518"/>
      <c r="B27" s="581" t="s">
        <v>546</v>
      </c>
      <c r="C27" s="564" t="str">
        <f>估价对象房地状况!C20</f>
        <v>区域内无特殊自然环境及大学，综合评价环境状况一般</v>
      </c>
      <c r="D27" s="566">
        <v>100</v>
      </c>
      <c r="E27" s="3191" t="s">
        <v>3173</v>
      </c>
      <c r="F27" s="562">
        <f>SUMIF(100:100,E28,101:101)-SUMIF(100:100,C28,101:101)+100</f>
        <v>102</v>
      </c>
      <c r="G27" s="3190" t="s">
        <v>3108</v>
      </c>
      <c r="H27" s="562">
        <f>SUMIF(100:100,G28,101:101)-SUMIF(100:100,C28,101:101)+100</f>
        <v>102</v>
      </c>
      <c r="I27" s="3191" t="s">
        <v>3168</v>
      </c>
      <c r="J27" s="562">
        <f>SUMIF(100:100,I28,101:101)-SUMIF(100:100,C28,101:101)+100</f>
        <v>102</v>
      </c>
      <c r="K27" s="538">
        <v>2</v>
      </c>
      <c r="L27" s="2147"/>
      <c r="M27" s="2137"/>
      <c r="N27" s="2137"/>
      <c r="O27" s="2146"/>
      <c r="P27" s="3392"/>
      <c r="Q27" s="1576" t="str">
        <f t="shared" si="8"/>
        <v>自然及人文环境状况</v>
      </c>
      <c r="R27" s="1577" t="s">
        <v>8</v>
      </c>
      <c r="S27" s="1578">
        <f>F27</f>
        <v>102</v>
      </c>
      <c r="T27" s="1577" t="s">
        <v>8</v>
      </c>
      <c r="U27" s="1578">
        <f>H27</f>
        <v>102</v>
      </c>
      <c r="V27" s="1577" t="s">
        <v>8</v>
      </c>
      <c r="W27" s="1578">
        <f>J27</f>
        <v>102</v>
      </c>
      <c r="X27" s="1571"/>
      <c r="Y27" s="3392"/>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3028</v>
      </c>
      <c r="D28" s="560"/>
      <c r="E28" s="579" t="s">
        <v>3026</v>
      </c>
      <c r="F28" s="558"/>
      <c r="G28" s="557" t="s">
        <v>3026</v>
      </c>
      <c r="H28" s="558"/>
      <c r="I28" s="579" t="s">
        <v>3026</v>
      </c>
      <c r="J28" s="558"/>
      <c r="K28" s="534"/>
      <c r="L28" s="2147"/>
      <c r="M28" s="2137"/>
      <c r="N28" s="2137"/>
      <c r="O28" s="2146"/>
      <c r="P28" s="3392"/>
      <c r="Q28" s="1576"/>
      <c r="R28" s="1577"/>
      <c r="S28" s="1578"/>
      <c r="T28" s="1577"/>
      <c r="U28" s="1578"/>
      <c r="V28" s="1577"/>
      <c r="W28" s="1578"/>
      <c r="X28" s="1571"/>
      <c r="Y28" s="3392"/>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3165</v>
      </c>
      <c r="F29" s="562">
        <f>SUMIF(102:102,E30,103:103)-SUMIF(102:102,C30,103:103)+100</f>
        <v>102</v>
      </c>
      <c r="G29" s="565" t="s">
        <v>3109</v>
      </c>
      <c r="H29" s="562">
        <f>SUMIF(102:102,G30,103:103)-SUMIF(102:102,C30,103:103)+100</f>
        <v>102</v>
      </c>
      <c r="I29" s="3191" t="s">
        <v>3167</v>
      </c>
      <c r="J29" s="562">
        <f>SUMIF(102:102,I30,103:103)-SUMIF(102:102,C30,103:103)+100</f>
        <v>100</v>
      </c>
      <c r="K29" s="538">
        <v>2</v>
      </c>
      <c r="L29" s="2140"/>
      <c r="M29" s="2137"/>
      <c r="N29" s="2137"/>
      <c r="O29" s="2142"/>
      <c r="P29" s="3392"/>
      <c r="Q29" s="1154" t="str">
        <f t="shared" si="8"/>
        <v>公共配套设施</v>
      </c>
      <c r="R29" s="1572" t="s">
        <v>8</v>
      </c>
      <c r="S29" s="1573">
        <f>F29</f>
        <v>102</v>
      </c>
      <c r="T29" s="1572" t="s">
        <v>8</v>
      </c>
      <c r="U29" s="1573">
        <f>H29</f>
        <v>102</v>
      </c>
      <c r="V29" s="1572" t="s">
        <v>8</v>
      </c>
      <c r="W29" s="1573">
        <f>J29</f>
        <v>100</v>
      </c>
      <c r="X29" s="1574"/>
      <c r="Y29" s="3392"/>
      <c r="Z29" s="1153" t="str">
        <f>Q29</f>
        <v>公共配套设施</v>
      </c>
      <c r="AA29" s="1580">
        <f>D29/F29</f>
        <v>0.98039215686274506</v>
      </c>
      <c r="AB29" s="1580">
        <f>D29/H29</f>
        <v>0.98039215686274506</v>
      </c>
      <c r="AC29" s="1580">
        <f>D29/J29</f>
        <v>1</v>
      </c>
    </row>
    <row r="30" spans="1:29" s="1223" customFormat="1" ht="20.25">
      <c r="A30" s="580"/>
      <c r="B30" s="569"/>
      <c r="C30" s="582" t="s">
        <v>3028</v>
      </c>
      <c r="D30" s="560"/>
      <c r="E30" s="579" t="s">
        <v>3026</v>
      </c>
      <c r="F30" s="558"/>
      <c r="G30" s="557" t="s">
        <v>3026</v>
      </c>
      <c r="H30" s="558"/>
      <c r="I30" s="579" t="s">
        <v>3028</v>
      </c>
      <c r="J30" s="558"/>
      <c r="K30" s="534"/>
      <c r="L30" s="2140"/>
      <c r="M30" s="2137"/>
      <c r="N30" s="2137"/>
      <c r="O30" s="2142"/>
      <c r="P30" s="3392"/>
      <c r="Q30" s="1154"/>
      <c r="R30" s="1572"/>
      <c r="S30" s="1573"/>
      <c r="T30" s="1572"/>
      <c r="U30" s="1573"/>
      <c r="V30" s="1572"/>
      <c r="W30" s="1573"/>
      <c r="X30" s="1574"/>
      <c r="Y30" s="3392"/>
      <c r="Z30" s="1153"/>
      <c r="AA30" s="1580">
        <v>1</v>
      </c>
      <c r="AB30" s="1580">
        <v>1</v>
      </c>
      <c r="AC30" s="1580">
        <v>1</v>
      </c>
    </row>
    <row r="31" spans="1:29" s="1223" customFormat="1" ht="20.25">
      <c r="A31" s="580"/>
      <c r="B31" s="2620" t="s">
        <v>2554</v>
      </c>
      <c r="C31" s="576" t="str">
        <f>估价对象房地状况!C22</f>
        <v>六通一平</v>
      </c>
      <c r="D31" s="566">
        <v>100</v>
      </c>
      <c r="E31" s="3191" t="s">
        <v>3106</v>
      </c>
      <c r="F31" s="562">
        <f>SUMIF(104:104,E32,105:105)-SUMIF(104:104,C32,105:105)+100</f>
        <v>100</v>
      </c>
      <c r="G31" s="3190" t="s">
        <v>3106</v>
      </c>
      <c r="H31" s="562">
        <f>SUMIF(104:104,G32,105:105)-SUMIF(104:104,C32,105:105)+100</f>
        <v>100</v>
      </c>
      <c r="I31" s="3191" t="s">
        <v>3106</v>
      </c>
      <c r="J31" s="562">
        <f>SUMIF(104:104,I32,105:105)-SUMIF(104:104,C32,105:105)+100</f>
        <v>100</v>
      </c>
      <c r="K31" s="538"/>
      <c r="L31" s="2140"/>
      <c r="M31" s="2137"/>
      <c r="N31" s="2137"/>
      <c r="O31" s="2142"/>
      <c r="P31" s="3392"/>
      <c r="Q31" s="2607" t="str">
        <f t="shared" ref="Q31" si="9">B31</f>
        <v>基础设施水平</v>
      </c>
      <c r="R31" s="1572" t="s">
        <v>8</v>
      </c>
      <c r="S31" s="1573">
        <f>F31</f>
        <v>100</v>
      </c>
      <c r="T31" s="1572" t="s">
        <v>8</v>
      </c>
      <c r="U31" s="1573">
        <f>H31</f>
        <v>100</v>
      </c>
      <c r="V31" s="1572" t="s">
        <v>8</v>
      </c>
      <c r="W31" s="1573">
        <f>J31</f>
        <v>100</v>
      </c>
      <c r="X31" s="1574"/>
      <c r="Y31" s="3392"/>
      <c r="Z31" s="2604" t="str">
        <f>Q31</f>
        <v>基础设施水平</v>
      </c>
      <c r="AA31" s="1580">
        <f>D31/F31</f>
        <v>1</v>
      </c>
      <c r="AB31" s="1580">
        <f>D31/H31</f>
        <v>1</v>
      </c>
      <c r="AC31" s="1580">
        <f>D31/J31</f>
        <v>1</v>
      </c>
    </row>
    <row r="32" spans="1:29" s="1223" customFormat="1" ht="20.25">
      <c r="A32" s="580"/>
      <c r="B32" s="569"/>
      <c r="C32" s="582" t="s">
        <v>3072</v>
      </c>
      <c r="D32" s="560"/>
      <c r="E32" s="2621" t="s">
        <v>3072</v>
      </c>
      <c r="F32" s="558"/>
      <c r="G32" s="582" t="s">
        <v>3072</v>
      </c>
      <c r="H32" s="558"/>
      <c r="I32" s="582" t="s">
        <v>3072</v>
      </c>
      <c r="J32" s="558"/>
      <c r="K32" s="534"/>
      <c r="L32" s="2140"/>
      <c r="M32" s="2137"/>
      <c r="N32" s="2137"/>
      <c r="O32" s="2142"/>
      <c r="P32" s="3392"/>
      <c r="Q32" s="2607"/>
      <c r="R32" s="1572"/>
      <c r="S32" s="1573"/>
      <c r="T32" s="1572"/>
      <c r="U32" s="1573"/>
      <c r="V32" s="1572"/>
      <c r="W32" s="1573"/>
      <c r="X32" s="1574"/>
      <c r="Y32" s="3392"/>
      <c r="Z32" s="2604"/>
      <c r="AA32" s="1580">
        <v>1</v>
      </c>
      <c r="AB32" s="1580">
        <v>1</v>
      </c>
      <c r="AC32" s="1580">
        <v>1</v>
      </c>
    </row>
    <row r="33" spans="1:29" ht="20.25">
      <c r="A33" s="535"/>
      <c r="B33" s="569" t="s">
        <v>548</v>
      </c>
      <c r="C33" s="583" t="s">
        <v>3103</v>
      </c>
      <c r="D33" s="578">
        <v>100</v>
      </c>
      <c r="E33" s="586" t="s">
        <v>3103</v>
      </c>
      <c r="F33" s="543">
        <f>SUMIF(106:106,E33,107:107)-SUMIF(106:106,C33,107:107)+100</f>
        <v>100</v>
      </c>
      <c r="G33" s="583" t="s">
        <v>3103</v>
      </c>
      <c r="H33" s="543">
        <f>SUMIF(106:106,G33,107:107)-SUMIF(106:106,C33,107:107)+100</f>
        <v>100</v>
      </c>
      <c r="I33" s="583" t="s">
        <v>3103</v>
      </c>
      <c r="J33" s="543">
        <f>SUMIF(106:106,I33,107:107)-SUMIF(106:106,C33,107:107)+100</f>
        <v>100</v>
      </c>
      <c r="K33" s="538"/>
      <c r="L33" s="2147"/>
      <c r="M33" s="2137"/>
      <c r="N33" s="2137"/>
      <c r="O33" s="2146"/>
      <c r="P33" s="3392"/>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2"/>
      <c r="Z33" s="1579" t="str">
        <f t="shared" ref="Z33:Z47" si="13">Q33</f>
        <v>临街状况</v>
      </c>
      <c r="AA33" s="1580">
        <f t="shared" si="3"/>
        <v>1</v>
      </c>
      <c r="AB33" s="1580">
        <f t="shared" si="4"/>
        <v>1</v>
      </c>
      <c r="AC33" s="1580">
        <f t="shared" si="5"/>
        <v>1</v>
      </c>
    </row>
    <row r="34" spans="1:29" ht="27">
      <c r="A34" s="535"/>
      <c r="B34" s="581" t="s">
        <v>549</v>
      </c>
      <c r="C34" s="565" t="s">
        <v>3080</v>
      </c>
      <c r="D34" s="566">
        <v>100</v>
      </c>
      <c r="E34" s="567" t="s">
        <v>3100</v>
      </c>
      <c r="F34" s="562">
        <f>SUMIF(108:108,E35,109:109)-SUMIF(108:108,C35,109:109)+100</f>
        <v>96</v>
      </c>
      <c r="G34" s="565" t="s">
        <v>3099</v>
      </c>
      <c r="H34" s="562">
        <f>SUMIF(108:108,G35,109:109)-SUMIF(108:108,C35,109:109)+100</f>
        <v>96</v>
      </c>
      <c r="I34" s="567" t="s">
        <v>3101</v>
      </c>
      <c r="J34" s="562">
        <f>SUMIF(108:108,I35,109:109)-SUMIF(108:108,C35,109:109)+100</f>
        <v>98</v>
      </c>
      <c r="K34" s="538">
        <v>2</v>
      </c>
      <c r="L34" s="2147"/>
      <c r="M34" s="2137"/>
      <c r="N34" s="2137"/>
      <c r="O34" s="2146"/>
      <c r="P34" s="3392"/>
      <c r="Q34" s="1576" t="str">
        <f t="shared" si="8"/>
        <v>毗邻道路的类型与等级</v>
      </c>
      <c r="R34" s="1577" t="s">
        <v>8</v>
      </c>
      <c r="S34" s="1578">
        <f t="shared" si="10"/>
        <v>96</v>
      </c>
      <c r="T34" s="1577" t="s">
        <v>8</v>
      </c>
      <c r="U34" s="1578">
        <f t="shared" si="11"/>
        <v>96</v>
      </c>
      <c r="V34" s="1577" t="s">
        <v>8</v>
      </c>
      <c r="W34" s="1578">
        <f t="shared" si="12"/>
        <v>98</v>
      </c>
      <c r="X34" s="1571"/>
      <c r="Y34" s="3392"/>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3081</v>
      </c>
      <c r="D35" s="560"/>
      <c r="E35" s="579" t="s">
        <v>3097</v>
      </c>
      <c r="F35" s="558"/>
      <c r="G35" s="557" t="s">
        <v>3097</v>
      </c>
      <c r="H35" s="558"/>
      <c r="I35" s="579" t="s">
        <v>3083</v>
      </c>
      <c r="J35" s="558"/>
      <c r="K35" s="584"/>
      <c r="L35" s="2147"/>
      <c r="M35" s="2137"/>
      <c r="N35" s="2137"/>
      <c r="O35" s="2146"/>
      <c r="P35" s="3392"/>
      <c r="Q35" s="1576"/>
      <c r="R35" s="1577"/>
      <c r="S35" s="1578"/>
      <c r="T35" s="1577"/>
      <c r="U35" s="1578"/>
      <c r="V35" s="1577"/>
      <c r="W35" s="1578"/>
      <c r="X35" s="1571"/>
      <c r="Y35" s="3392"/>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92"/>
      <c r="Q36" s="1576" t="str">
        <f t="shared" si="8"/>
        <v>土地级别</v>
      </c>
      <c r="R36" s="1577" t="s">
        <v>8</v>
      </c>
      <c r="S36" s="1578">
        <f t="shared" si="10"/>
        <v>100</v>
      </c>
      <c r="T36" s="1577" t="s">
        <v>8</v>
      </c>
      <c r="U36" s="1578">
        <f t="shared" si="11"/>
        <v>100</v>
      </c>
      <c r="V36" s="1577" t="s">
        <v>8</v>
      </c>
      <c r="W36" s="1578">
        <f t="shared" si="12"/>
        <v>100</v>
      </c>
      <c r="X36" s="1571"/>
      <c r="Y36" s="3392"/>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92"/>
      <c r="Q37" s="1576">
        <f t="shared" si="8"/>
        <v>111</v>
      </c>
      <c r="R37" s="1577" t="s">
        <v>8</v>
      </c>
      <c r="S37" s="1578">
        <f t="shared" si="10"/>
        <v>100</v>
      </c>
      <c r="T37" s="1577" t="s">
        <v>8</v>
      </c>
      <c r="U37" s="1578">
        <f t="shared" si="11"/>
        <v>100</v>
      </c>
      <c r="V37" s="1577" t="s">
        <v>8</v>
      </c>
      <c r="W37" s="1578">
        <f t="shared" si="12"/>
        <v>100</v>
      </c>
      <c r="X37" s="1571"/>
      <c r="Y37" s="3392"/>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93" t="s">
        <v>551</v>
      </c>
      <c r="Q38" s="1576">
        <f t="shared" si="8"/>
        <v>111</v>
      </c>
      <c r="R38" s="1577" t="s">
        <v>8</v>
      </c>
      <c r="S38" s="1578">
        <f t="shared" si="10"/>
        <v>100</v>
      </c>
      <c r="T38" s="1577" t="s">
        <v>8</v>
      </c>
      <c r="U38" s="1578">
        <f t="shared" si="11"/>
        <v>100</v>
      </c>
      <c r="V38" s="1577" t="s">
        <v>8</v>
      </c>
      <c r="W38" s="1578">
        <f t="shared" si="12"/>
        <v>100</v>
      </c>
      <c r="X38" s="1571"/>
      <c r="Y38" s="3394"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94"/>
      <c r="Q39" s="1576">
        <f t="shared" si="8"/>
        <v>111</v>
      </c>
      <c r="R39" s="1581" t="s">
        <v>8</v>
      </c>
      <c r="S39" s="1582">
        <f t="shared" si="10"/>
        <v>100</v>
      </c>
      <c r="T39" s="1581" t="s">
        <v>8</v>
      </c>
      <c r="U39" s="1582">
        <f t="shared" si="11"/>
        <v>100</v>
      </c>
      <c r="V39" s="1581" t="s">
        <v>8</v>
      </c>
      <c r="W39" s="1582">
        <f t="shared" si="12"/>
        <v>100</v>
      </c>
      <c r="X39" s="1583"/>
      <c r="Y39" s="3394"/>
      <c r="Z39" s="1584">
        <f t="shared" si="13"/>
        <v>111</v>
      </c>
      <c r="AA39" s="1580">
        <f t="shared" si="3"/>
        <v>1</v>
      </c>
      <c r="AB39" s="1580">
        <f t="shared" si="4"/>
        <v>1</v>
      </c>
      <c r="AC39" s="1580">
        <f t="shared" si="5"/>
        <v>1</v>
      </c>
    </row>
    <row r="40" spans="1:29" ht="20.25">
      <c r="A40" s="2938" t="s">
        <v>2761</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394"/>
      <c r="Q40" s="1576" t="str">
        <f>B40</f>
        <v>宗地面积</v>
      </c>
      <c r="R40" s="1577" t="s">
        <v>8</v>
      </c>
      <c r="S40" s="1578">
        <f t="shared" si="10"/>
        <v>102</v>
      </c>
      <c r="T40" s="1577" t="s">
        <v>8</v>
      </c>
      <c r="U40" s="1578">
        <f t="shared" si="11"/>
        <v>100</v>
      </c>
      <c r="V40" s="1577" t="s">
        <v>8</v>
      </c>
      <c r="W40" s="1578">
        <f t="shared" si="12"/>
        <v>106</v>
      </c>
      <c r="X40" s="1571"/>
      <c r="Y40" s="3394"/>
      <c r="Z40" s="1579" t="str">
        <f t="shared" si="13"/>
        <v>宗地面积</v>
      </c>
      <c r="AA40" s="1580">
        <f t="shared" si="3"/>
        <v>0.98039215686274506</v>
      </c>
      <c r="AB40" s="1580">
        <f t="shared" si="4"/>
        <v>1</v>
      </c>
      <c r="AC40" s="1580">
        <f t="shared" si="5"/>
        <v>0.94339622641509435</v>
      </c>
    </row>
    <row r="41" spans="1:29" ht="20.25">
      <c r="A41" s="597"/>
      <c r="B41" s="530" t="s">
        <v>554</v>
      </c>
      <c r="C41" s="3193" t="s">
        <v>3061</v>
      </c>
      <c r="D41" s="543">
        <v>100</v>
      </c>
      <c r="E41" s="602" t="s">
        <v>3061</v>
      </c>
      <c r="F41" s="543">
        <f>SUMIF(121:121,E41,122:122)-SUMIF(121:121,C41,122:122)+100</f>
        <v>100</v>
      </c>
      <c r="G41" s="602" t="s">
        <v>3061</v>
      </c>
      <c r="H41" s="543">
        <f>SUMIF(121:121,G41,122:122)-SUMIF(121:121,C41,122:122)+100</f>
        <v>100</v>
      </c>
      <c r="I41" s="602" t="s">
        <v>3061</v>
      </c>
      <c r="J41" s="543">
        <f>SUMIF(121:121,I41,122:122)-SUMIF(121:121,C41,122:122)+100</f>
        <v>100</v>
      </c>
      <c r="K41" s="587">
        <v>2</v>
      </c>
      <c r="L41" s="2147"/>
      <c r="M41" s="2137"/>
      <c r="N41" s="2137"/>
      <c r="O41" s="2146"/>
      <c r="P41" s="3394"/>
      <c r="Q41" s="1576" t="str">
        <f t="shared" ref="Q41:Q47" si="14">B41</f>
        <v>宗地形状</v>
      </c>
      <c r="R41" s="1577" t="s">
        <v>8</v>
      </c>
      <c r="S41" s="1578">
        <f t="shared" si="10"/>
        <v>100</v>
      </c>
      <c r="T41" s="1577" t="s">
        <v>8</v>
      </c>
      <c r="U41" s="1578">
        <f t="shared" si="11"/>
        <v>100</v>
      </c>
      <c r="V41" s="1577" t="s">
        <v>8</v>
      </c>
      <c r="W41" s="1578">
        <f t="shared" si="12"/>
        <v>100</v>
      </c>
      <c r="X41" s="1571"/>
      <c r="Y41" s="3394"/>
      <c r="Z41" s="1579" t="str">
        <f t="shared" si="13"/>
        <v>宗地形状</v>
      </c>
      <c r="AA41" s="1580">
        <f t="shared" si="3"/>
        <v>1</v>
      </c>
      <c r="AB41" s="1580">
        <f t="shared" si="4"/>
        <v>1</v>
      </c>
      <c r="AC41" s="1580">
        <f t="shared" si="5"/>
        <v>1</v>
      </c>
    </row>
    <row r="42" spans="1:29" ht="20.25">
      <c r="A42" s="597"/>
      <c r="B42" s="530" t="s">
        <v>555</v>
      </c>
      <c r="C42" s="3193" t="s">
        <v>3026</v>
      </c>
      <c r="D42" s="543">
        <v>100</v>
      </c>
      <c r="E42" s="602" t="s">
        <v>3026</v>
      </c>
      <c r="F42" s="543">
        <f>SUMIF(123:123,E42,124:124)-SUMIF(123:123,C42,124:124)+100</f>
        <v>100</v>
      </c>
      <c r="G42" s="602" t="s">
        <v>3026</v>
      </c>
      <c r="H42" s="543">
        <f>SUMIF(123:123,G42,124:124)-SUMIF(123:123,C42,124:124)+100</f>
        <v>100</v>
      </c>
      <c r="I42" s="602" t="s">
        <v>3026</v>
      </c>
      <c r="J42" s="543">
        <f>SUMIF(123:123,I42,124:124)-SUMIF(123:123,C42,124:124)+100</f>
        <v>100</v>
      </c>
      <c r="K42" s="587">
        <v>2</v>
      </c>
      <c r="L42" s="2147"/>
      <c r="M42" s="2137"/>
      <c r="N42" s="2137"/>
      <c r="O42" s="2146"/>
      <c r="P42" s="3394"/>
      <c r="Q42" s="1576" t="str">
        <f t="shared" si="14"/>
        <v>临街宽度及深度</v>
      </c>
      <c r="R42" s="1577" t="s">
        <v>8</v>
      </c>
      <c r="S42" s="1578">
        <f t="shared" si="10"/>
        <v>100</v>
      </c>
      <c r="T42" s="1577" t="s">
        <v>8</v>
      </c>
      <c r="U42" s="1578">
        <f t="shared" si="11"/>
        <v>100</v>
      </c>
      <c r="V42" s="1577" t="s">
        <v>8</v>
      </c>
      <c r="W42" s="1578">
        <f t="shared" si="12"/>
        <v>100</v>
      </c>
      <c r="X42" s="1571"/>
      <c r="Y42" s="3394"/>
      <c r="Z42" s="1579" t="str">
        <f t="shared" si="13"/>
        <v>临街宽度及深度</v>
      </c>
      <c r="AA42" s="1580">
        <f t="shared" si="3"/>
        <v>1</v>
      </c>
      <c r="AB42" s="1580">
        <f t="shared" si="4"/>
        <v>1</v>
      </c>
      <c r="AC42" s="1580">
        <f t="shared" si="5"/>
        <v>1</v>
      </c>
    </row>
    <row r="43" spans="1:29" s="1223" customFormat="1" ht="20.25">
      <c r="A43" s="603"/>
      <c r="B43" s="1900" t="s">
        <v>2427</v>
      </c>
      <c r="C43" s="3194" t="s">
        <v>3075</v>
      </c>
      <c r="D43" s="255">
        <v>100</v>
      </c>
      <c r="E43" s="604" t="s">
        <v>3075</v>
      </c>
      <c r="F43" s="543">
        <f>SUMIF(125:125,E43,126:126)-SUMIF(125:125,C43,126:126)+100</f>
        <v>100</v>
      </c>
      <c r="G43" s="604" t="s">
        <v>3075</v>
      </c>
      <c r="H43" s="543">
        <f>SUMIF(125:125,G43,126:126)-SUMIF(125:125,C43,126:126)+100</f>
        <v>100</v>
      </c>
      <c r="I43" s="604" t="s">
        <v>3078</v>
      </c>
      <c r="J43" s="543">
        <f>SUMIF(125:125,I43,126:126)-SUMIF(125:125,C43,126:126)+100</f>
        <v>98</v>
      </c>
      <c r="K43" s="587">
        <v>1</v>
      </c>
      <c r="L43" s="2140"/>
      <c r="M43" s="2137"/>
      <c r="N43" s="2137"/>
      <c r="O43" s="2142"/>
      <c r="P43" s="3394"/>
      <c r="Q43" s="1576" t="str">
        <f t="shared" si="14"/>
        <v>宗地开发程度</v>
      </c>
      <c r="R43" s="1572" t="s">
        <v>8</v>
      </c>
      <c r="S43" s="1573">
        <f t="shared" si="10"/>
        <v>100</v>
      </c>
      <c r="T43" s="1572" t="s">
        <v>8</v>
      </c>
      <c r="U43" s="1573">
        <f t="shared" si="11"/>
        <v>100</v>
      </c>
      <c r="V43" s="1572" t="s">
        <v>8</v>
      </c>
      <c r="W43" s="1573">
        <f t="shared" si="12"/>
        <v>98</v>
      </c>
      <c r="X43" s="1574"/>
      <c r="Y43" s="3394"/>
      <c r="Z43" s="1153" t="str">
        <f t="shared" si="13"/>
        <v>宗地开发程度</v>
      </c>
      <c r="AA43" s="1575">
        <f t="shared" si="3"/>
        <v>1</v>
      </c>
      <c r="AB43" s="1575">
        <f t="shared" si="4"/>
        <v>1</v>
      </c>
      <c r="AC43" s="1575">
        <f t="shared" si="5"/>
        <v>1.0204081632653061</v>
      </c>
    </row>
    <row r="44" spans="1:29" ht="21" thickBot="1">
      <c r="A44" s="597"/>
      <c r="B44" s="530" t="s">
        <v>556</v>
      </c>
      <c r="C44" s="3193" t="s">
        <v>3026</v>
      </c>
      <c r="D44" s="543">
        <v>100</v>
      </c>
      <c r="E44" s="602" t="s">
        <v>3026</v>
      </c>
      <c r="F44" s="543">
        <f>SUMIF(127:127,E44,128:128)-SUMIF(127:127,C44,128:128)+100</f>
        <v>100</v>
      </c>
      <c r="G44" s="602" t="s">
        <v>3026</v>
      </c>
      <c r="H44" s="543">
        <f>SUMIF(127:127,G44,128:128)-SUMIF(127:127,C44,128:128)+100</f>
        <v>100</v>
      </c>
      <c r="I44" s="602" t="s">
        <v>3026</v>
      </c>
      <c r="J44" s="543">
        <f>SUMIF(127:127,I44,128:128)-SUMIF(127:127,C44,128:128)+100</f>
        <v>100</v>
      </c>
      <c r="K44" s="587">
        <v>2</v>
      </c>
      <c r="L44" s="2147"/>
      <c r="M44" s="2137"/>
      <c r="N44" s="2137"/>
      <c r="O44" s="2146"/>
      <c r="P44" s="3394" t="s">
        <v>551</v>
      </c>
      <c r="Q44" s="1576" t="str">
        <f t="shared" si="14"/>
        <v>工程地质条件</v>
      </c>
      <c r="R44" s="1577" t="s">
        <v>8</v>
      </c>
      <c r="S44" s="1578">
        <f t="shared" si="10"/>
        <v>100</v>
      </c>
      <c r="T44" s="1577" t="s">
        <v>8</v>
      </c>
      <c r="U44" s="1578">
        <f t="shared" si="11"/>
        <v>100</v>
      </c>
      <c r="V44" s="1577" t="s">
        <v>8</v>
      </c>
      <c r="W44" s="1578">
        <f t="shared" si="12"/>
        <v>100</v>
      </c>
      <c r="X44" s="1571"/>
      <c r="Y44" s="3394"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94"/>
      <c r="Q45" s="1576">
        <f t="shared" si="14"/>
        <v>111</v>
      </c>
      <c r="R45" s="1577" t="s">
        <v>8</v>
      </c>
      <c r="S45" s="1578">
        <f t="shared" si="10"/>
        <v>100</v>
      </c>
      <c r="T45" s="1577" t="s">
        <v>8</v>
      </c>
      <c r="U45" s="1578">
        <f t="shared" si="11"/>
        <v>100</v>
      </c>
      <c r="V45" s="1577" t="s">
        <v>8</v>
      </c>
      <c r="W45" s="1578">
        <f t="shared" si="12"/>
        <v>100</v>
      </c>
      <c r="X45" s="1571"/>
      <c r="Y45" s="3394"/>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94"/>
      <c r="Q46" s="1576">
        <f t="shared" si="14"/>
        <v>111</v>
      </c>
      <c r="R46" s="1577" t="s">
        <v>8</v>
      </c>
      <c r="S46" s="1578">
        <f t="shared" si="10"/>
        <v>100</v>
      </c>
      <c r="T46" s="1577" t="s">
        <v>8</v>
      </c>
      <c r="U46" s="1578">
        <f t="shared" si="11"/>
        <v>100</v>
      </c>
      <c r="V46" s="1577" t="s">
        <v>8</v>
      </c>
      <c r="W46" s="1578">
        <f t="shared" si="12"/>
        <v>100</v>
      </c>
      <c r="X46" s="1571"/>
      <c r="Y46" s="3394"/>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94"/>
      <c r="Q47" s="1576">
        <f t="shared" si="14"/>
        <v>111</v>
      </c>
      <c r="R47" s="1581" t="s">
        <v>8</v>
      </c>
      <c r="S47" s="1582">
        <f t="shared" si="10"/>
        <v>100</v>
      </c>
      <c r="T47" s="1581" t="s">
        <v>8</v>
      </c>
      <c r="U47" s="1582">
        <f t="shared" si="11"/>
        <v>100</v>
      </c>
      <c r="V47" s="1581" t="s">
        <v>8</v>
      </c>
      <c r="W47" s="1582">
        <f t="shared" si="12"/>
        <v>100</v>
      </c>
      <c r="X47" s="1583"/>
      <c r="Y47" s="3394"/>
      <c r="Z47" s="1584">
        <f t="shared" si="13"/>
        <v>111</v>
      </c>
      <c r="AA47" s="1580">
        <f t="shared" si="3"/>
        <v>1</v>
      </c>
      <c r="AB47" s="1580">
        <f t="shared" si="4"/>
        <v>1</v>
      </c>
      <c r="AC47" s="1580">
        <f t="shared" si="5"/>
        <v>1</v>
      </c>
    </row>
    <row r="48" spans="1:29" ht="20.25">
      <c r="A48" s="610" t="s">
        <v>557</v>
      </c>
      <c r="B48" s="611" t="s">
        <v>3054</v>
      </c>
      <c r="C48" s="612" t="s">
        <v>1</v>
      </c>
      <c r="D48" s="613"/>
      <c r="E48" s="614">
        <f>ROUND(土地案例!C2,0)</f>
        <v>4367</v>
      </c>
      <c r="F48" s="615"/>
      <c r="G48" s="616">
        <f>ROUND(土地案例!C3,0)</f>
        <v>4359</v>
      </c>
      <c r="H48" s="617"/>
      <c r="I48" s="614">
        <f>土地案例!C6</f>
        <v>3930</v>
      </c>
      <c r="J48" s="617"/>
      <c r="K48" s="1343"/>
      <c r="L48" s="2149"/>
      <c r="M48" s="2137"/>
      <c r="N48" s="2137"/>
      <c r="O48" s="2150"/>
      <c r="P48" s="3389" t="str">
        <f>A48</f>
        <v>成交单价</v>
      </c>
      <c r="Q48" s="3389"/>
      <c r="R48" s="3403">
        <f>E48</f>
        <v>4367</v>
      </c>
      <c r="S48" s="3403"/>
      <c r="T48" s="3403">
        <f>G48</f>
        <v>4359</v>
      </c>
      <c r="U48" s="3403"/>
      <c r="V48" s="3403">
        <f>I48</f>
        <v>3930</v>
      </c>
      <c r="W48" s="3403"/>
      <c r="X48" s="1563"/>
      <c r="Y48" s="1585"/>
      <c r="Z48" s="1563"/>
      <c r="AA48" s="1563"/>
      <c r="AB48" s="1563"/>
      <c r="AC48" s="1563"/>
    </row>
    <row r="49" spans="1:29" ht="21" thickBot="1">
      <c r="A49" s="618" t="s">
        <v>2699</v>
      </c>
      <c r="B49" s="619"/>
      <c r="C49" s="620">
        <f>R50</f>
        <v>4364</v>
      </c>
      <c r="D49" s="621"/>
      <c r="E49" s="620">
        <f>R49</f>
        <v>4514</v>
      </c>
      <c r="F49" s="622"/>
      <c r="G49" s="623">
        <f>T49</f>
        <v>4550</v>
      </c>
      <c r="H49" s="621"/>
      <c r="I49" s="620">
        <f>V49</f>
        <v>4028</v>
      </c>
      <c r="J49" s="621"/>
      <c r="K49" s="1344"/>
      <c r="L49" s="2149"/>
      <c r="M49" s="2137"/>
      <c r="N49" s="2137"/>
      <c r="O49" s="2150"/>
      <c r="P49" s="3389" t="str">
        <f>A49</f>
        <v>比较价格（元/平方米）</v>
      </c>
      <c r="Q49" s="3389"/>
      <c r="R49" s="3414">
        <f>ROUND(PRODUCT(R48,AA9:AA47),0)</f>
        <v>4514</v>
      </c>
      <c r="S49" s="3414"/>
      <c r="T49" s="3414">
        <f>ROUND(PRODUCT(T48,AB9:AB47),0)</f>
        <v>4550</v>
      </c>
      <c r="U49" s="3414"/>
      <c r="V49" s="3414">
        <f>ROUND(PRODUCT(V48,AC9:AC47),0)</f>
        <v>4028</v>
      </c>
      <c r="W49" s="3414"/>
      <c r="X49" s="1563"/>
      <c r="Y49" s="1563"/>
      <c r="Z49" s="1563"/>
      <c r="AA49" s="1563"/>
      <c r="AB49" s="1563"/>
      <c r="AC49" s="1563"/>
    </row>
    <row r="50" spans="1:29" ht="21" thickBot="1">
      <c r="A50" s="624" t="s">
        <v>2938</v>
      </c>
      <c r="B50" s="625"/>
      <c r="C50" s="626">
        <f>R50</f>
        <v>4364</v>
      </c>
      <c r="D50" s="626"/>
      <c r="E50" s="626"/>
      <c r="F50" s="626"/>
      <c r="G50" s="626"/>
      <c r="H50" s="626"/>
      <c r="I50" s="626"/>
      <c r="J50" s="626"/>
      <c r="K50" s="1345"/>
      <c r="L50" s="2149"/>
      <c r="M50" s="2137"/>
      <c r="N50" s="2137"/>
      <c r="O50" s="2150"/>
      <c r="P50" s="3411" t="str">
        <f>A50</f>
        <v>估价对象XX用房的比较价格（楼面单价，元/平方米）</v>
      </c>
      <c r="Q50" s="3412"/>
      <c r="R50" s="3413">
        <f>ROUND(AVERAGE(R49:V49),0)</f>
        <v>4364</v>
      </c>
      <c r="S50" s="3413"/>
      <c r="T50" s="3413"/>
      <c r="U50" s="3413"/>
      <c r="V50" s="3413"/>
      <c r="W50" s="3413"/>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3.3661552553240215E-2</v>
      </c>
      <c r="F53" s="630" t="str">
        <f>IF(OR(E53&gt;=0.3,E53&lt;=-0.3),"超过30%","")</f>
        <v/>
      </c>
      <c r="G53" s="629">
        <f>IF(G48&lt;G49,G49/G48-1,G48/G49-1)</f>
        <v>4.3817389309474652E-2</v>
      </c>
      <c r="H53" s="630" t="str">
        <f>IF(OR(G53&gt;=0.3,G53&lt;=-0.3),"超过30%","")</f>
        <v/>
      </c>
      <c r="I53" s="629">
        <f>IF(I48&lt;I49,I49/I48-1,I48/I49-1)</f>
        <v>2.4936386768447782E-2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7.9751883030572124E-3</v>
      </c>
      <c r="F54" s="630" t="str">
        <f>IF(OR(E54&gt;=0.2,E54&lt;=-0.2),"超过20%","")</f>
        <v/>
      </c>
      <c r="G54" s="629">
        <f>IF(G49&lt;I49,I49/G49-1,G49/I49-1)</f>
        <v>0.12959285004965237</v>
      </c>
      <c r="H54" s="630" t="str">
        <f>IF(OR(G54&gt;=0.2,G54&lt;=-0.2),"超过20%","")</f>
        <v/>
      </c>
      <c r="I54" s="629">
        <f>IF(I49&lt;E49,E49/I49-1,I49/E49-1)</f>
        <v>0.12065541211519371</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373" t="s">
        <v>2283</v>
      </c>
      <c r="H57" s="3374"/>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4364</v>
      </c>
      <c r="C58" s="638">
        <v>1</v>
      </c>
      <c r="D58" s="2233">
        <v>1</v>
      </c>
      <c r="E58" s="638">
        <f>'数据-汇总表'!E8+'数据-汇总表'!E9</f>
        <v>15483.34</v>
      </c>
      <c r="F58" s="639">
        <f t="shared" ref="F58:F67" si="15">ROUND(B58*E58/10000,0)</f>
        <v>6757</v>
      </c>
      <c r="G58" s="3375"/>
      <c r="H58" s="3376"/>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77"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77"/>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77"/>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77"/>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17860.72</v>
      </c>
      <c r="F68" s="647">
        <f>IF(B48="楼面地价",SUM(F58:F67),ROUND(C50*E68/10000,0))</f>
        <v>6757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923</v>
      </c>
      <c r="B73" s="482" t="str">
        <f>"北京市平均增长率"&amp;TEXT(SUMIF(基准地价!N21:N25,A73,基准地价!P21:P25),"0.00%")</f>
        <v>北京市平均增长率2.78%</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3042</v>
      </c>
      <c r="D77" s="3176" t="s">
        <v>3044</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3082</v>
      </c>
      <c r="D108" s="3174" t="s">
        <v>3084</v>
      </c>
      <c r="E108" s="3174" t="s">
        <v>3098</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3085</v>
      </c>
      <c r="D121" s="3175" t="s">
        <v>3086</v>
      </c>
      <c r="E121" s="3175" t="s">
        <v>3087</v>
      </c>
      <c r="F121" s="3175" t="s">
        <v>3088</v>
      </c>
      <c r="G121" s="3175" t="s">
        <v>3089</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3090</v>
      </c>
      <c r="D123" s="3174" t="s">
        <v>3091</v>
      </c>
      <c r="E123" s="3174" t="s">
        <v>3087</v>
      </c>
      <c r="F123" s="3175" t="s">
        <v>3092</v>
      </c>
      <c r="G123" s="3175" t="s">
        <v>3093</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3094</v>
      </c>
      <c r="D125" s="1379" t="s">
        <v>3096</v>
      </c>
      <c r="E125" s="1379" t="s">
        <v>3095</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3090</v>
      </c>
      <c r="D127" s="3174" t="s">
        <v>3091</v>
      </c>
      <c r="E127" s="3175" t="s">
        <v>3087</v>
      </c>
      <c r="F127" s="3175" t="s">
        <v>3092</v>
      </c>
      <c r="G127" s="3175" t="s">
        <v>3093</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95" t="s">
        <v>523</v>
      </c>
      <c r="D6" s="3396"/>
      <c r="E6" s="3420" t="s">
        <v>524</v>
      </c>
      <c r="F6" s="3421"/>
      <c r="G6" s="3395" t="s">
        <v>525</v>
      </c>
      <c r="H6" s="3396"/>
      <c r="I6" s="3395" t="s">
        <v>526</v>
      </c>
      <c r="J6" s="3396"/>
      <c r="K6" s="517" t="s">
        <v>527</v>
      </c>
      <c r="L6" s="2138"/>
      <c r="M6" s="2139"/>
      <c r="N6" s="2139"/>
      <c r="O6" s="2139"/>
      <c r="P6" s="3397" t="s">
        <v>528</v>
      </c>
      <c r="Q6" s="3398"/>
      <c r="R6" s="3383" t="s">
        <v>524</v>
      </c>
      <c r="S6" s="3384"/>
      <c r="T6" s="3383" t="s">
        <v>525</v>
      </c>
      <c r="U6" s="3384"/>
      <c r="V6" s="3403" t="s">
        <v>526</v>
      </c>
      <c r="W6" s="3403"/>
      <c r="X6" s="1571"/>
      <c r="Y6" s="3383" t="s">
        <v>528</v>
      </c>
      <c r="Z6" s="3384"/>
      <c r="AA6" s="3378" t="s">
        <v>524</v>
      </c>
      <c r="AB6" s="3379" t="s">
        <v>525</v>
      </c>
      <c r="AC6" s="3378" t="s">
        <v>526</v>
      </c>
    </row>
    <row r="7" spans="1:29" ht="15">
      <c r="A7" s="518"/>
      <c r="B7" s="519"/>
      <c r="C7" s="3408" t="s">
        <v>2932</v>
      </c>
      <c r="D7" s="3407"/>
      <c r="E7" s="3422" t="s">
        <v>2933</v>
      </c>
      <c r="F7" s="3423"/>
      <c r="G7" s="3408" t="s">
        <v>2934</v>
      </c>
      <c r="H7" s="3407"/>
      <c r="I7" s="3408" t="s">
        <v>2935</v>
      </c>
      <c r="J7" s="3407"/>
      <c r="K7" s="517"/>
      <c r="L7" s="2138"/>
      <c r="M7" s="2139"/>
      <c r="N7" s="2139"/>
      <c r="O7" s="2139"/>
      <c r="P7" s="3399"/>
      <c r="Q7" s="3400"/>
      <c r="R7" s="3385"/>
      <c r="S7" s="3386"/>
      <c r="T7" s="3385"/>
      <c r="U7" s="3386"/>
      <c r="V7" s="3403"/>
      <c r="W7" s="3403"/>
      <c r="X7" s="1571"/>
      <c r="Y7" s="3385"/>
      <c r="Z7" s="3386"/>
      <c r="AA7" s="3379"/>
      <c r="AB7" s="3379"/>
      <c r="AC7" s="3379"/>
    </row>
    <row r="8" spans="1:29" ht="15.75" thickBot="1">
      <c r="A8" s="520"/>
      <c r="B8" s="521"/>
      <c r="C8" s="3404" t="s">
        <v>2936</v>
      </c>
      <c r="D8" s="3405"/>
      <c r="E8" s="3424" t="s">
        <v>2936</v>
      </c>
      <c r="F8" s="3425"/>
      <c r="G8" s="3404" t="s">
        <v>2936</v>
      </c>
      <c r="H8" s="3405"/>
      <c r="I8" s="3404" t="s">
        <v>2936</v>
      </c>
      <c r="J8" s="3405"/>
      <c r="K8" s="517" t="s">
        <v>529</v>
      </c>
      <c r="L8" s="2138"/>
      <c r="M8" s="2139"/>
      <c r="N8" s="2139"/>
      <c r="O8" s="2139"/>
      <c r="P8" s="3401"/>
      <c r="Q8" s="3402"/>
      <c r="R8" s="3385"/>
      <c r="S8" s="3386"/>
      <c r="T8" s="3387"/>
      <c r="U8" s="3388"/>
      <c r="V8" s="3403"/>
      <c r="W8" s="3403"/>
      <c r="X8" s="1571"/>
      <c r="Y8" s="3387"/>
      <c r="Z8" s="3388"/>
      <c r="AA8" s="3380"/>
      <c r="AB8" s="3380"/>
      <c r="AC8" s="3380"/>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81" t="s">
        <v>531</v>
      </c>
      <c r="Q9" s="3390"/>
      <c r="R9" s="1572" t="s">
        <v>8</v>
      </c>
      <c r="S9" s="1573">
        <f t="shared" ref="S9:S17" si="0">F9</f>
        <v>0</v>
      </c>
      <c r="T9" s="1572" t="s">
        <v>8</v>
      </c>
      <c r="U9" s="1573">
        <f t="shared" ref="U9:U17" si="1">H9</f>
        <v>0</v>
      </c>
      <c r="V9" s="1572" t="s">
        <v>8</v>
      </c>
      <c r="W9" s="1573">
        <f t="shared" ref="W9:W17" si="2">J9</f>
        <v>0</v>
      </c>
      <c r="X9" s="1574"/>
      <c r="Y9" s="3381" t="s">
        <v>531</v>
      </c>
      <c r="Z9" s="3382"/>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81" t="s">
        <v>534</v>
      </c>
      <c r="Q10" s="3382"/>
      <c r="R10" s="1572" t="s">
        <v>8</v>
      </c>
      <c r="S10" s="1573">
        <f t="shared" si="0"/>
        <v>0</v>
      </c>
      <c r="T10" s="1572" t="s">
        <v>8</v>
      </c>
      <c r="U10" s="1573">
        <f t="shared" si="1"/>
        <v>0</v>
      </c>
      <c r="V10" s="1572" t="s">
        <v>8</v>
      </c>
      <c r="W10" s="1573">
        <f t="shared" si="2"/>
        <v>0</v>
      </c>
      <c r="X10" s="1574"/>
      <c r="Y10" s="3381" t="s">
        <v>534</v>
      </c>
      <c r="Z10" s="3382"/>
      <c r="AA10" s="1575" t="e">
        <f t="shared" ref="AA10:AA42" si="3">D10/F10</f>
        <v>#DIV/0!</v>
      </c>
      <c r="AB10" s="1575" t="e">
        <f t="shared" ref="AB10:AB42" si="4">D10/H10</f>
        <v>#DIV/0!</v>
      </c>
      <c r="AC10" s="1575" t="e">
        <f t="shared" ref="AC10:AC42" si="5">D10/J10</f>
        <v>#DIV/0!</v>
      </c>
    </row>
    <row r="11" spans="1:29" s="1223" customFormat="1" ht="15">
      <c r="A11" s="2945"/>
      <c r="B11" s="2952" t="s">
        <v>2762</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89" t="s">
        <v>536</v>
      </c>
      <c r="Q11" s="1154" t="str">
        <f t="shared" ref="Q11:Q17" si="6">B11</f>
        <v>用途</v>
      </c>
      <c r="R11" s="1572" t="s">
        <v>8</v>
      </c>
      <c r="S11" s="1573">
        <f t="shared" si="0"/>
        <v>100</v>
      </c>
      <c r="T11" s="1572" t="s">
        <v>8</v>
      </c>
      <c r="U11" s="1573">
        <f t="shared" si="1"/>
        <v>100</v>
      </c>
      <c r="V11" s="1572" t="s">
        <v>8</v>
      </c>
      <c r="W11" s="1573">
        <f t="shared" si="2"/>
        <v>100</v>
      </c>
      <c r="X11" s="1574"/>
      <c r="Y11" s="3346" t="s">
        <v>537</v>
      </c>
      <c r="Z11" s="1153" t="str">
        <f t="shared" ref="Z11:Z17" si="7">Q11</f>
        <v>用途</v>
      </c>
      <c r="AA11" s="1575">
        <f t="shared" si="3"/>
        <v>1</v>
      </c>
      <c r="AB11" s="1575">
        <f t="shared" si="4"/>
        <v>1</v>
      </c>
      <c r="AC11" s="1575">
        <f t="shared" si="5"/>
        <v>1</v>
      </c>
    </row>
    <row r="12" spans="1:29" s="1341" customFormat="1" ht="27">
      <c r="A12" s="2946"/>
      <c r="B12" s="2951" t="s">
        <v>2763</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89"/>
      <c r="Q12" s="1154" t="str">
        <f t="shared" si="6"/>
        <v>土地使用年限（年）</v>
      </c>
      <c r="R12" s="1572" t="s">
        <v>8</v>
      </c>
      <c r="S12" s="1573">
        <f t="shared" si="0"/>
        <v>101</v>
      </c>
      <c r="T12" s="1572" t="s">
        <v>8</v>
      </c>
      <c r="U12" s="1573">
        <f t="shared" si="1"/>
        <v>101</v>
      </c>
      <c r="V12" s="1572" t="s">
        <v>8</v>
      </c>
      <c r="W12" s="1573">
        <f t="shared" si="2"/>
        <v>101</v>
      </c>
      <c r="X12" s="1574"/>
      <c r="Y12" s="3346"/>
      <c r="Z12" s="1153" t="str">
        <f t="shared" si="7"/>
        <v>土地使用年限（年）</v>
      </c>
      <c r="AA12" s="1575">
        <f t="shared" si="3"/>
        <v>0.99009900990099009</v>
      </c>
      <c r="AB12" s="1575">
        <f t="shared" si="4"/>
        <v>0.99009900990099009</v>
      </c>
      <c r="AC12" s="1575">
        <f t="shared" si="5"/>
        <v>0.99009900990099009</v>
      </c>
    </row>
    <row r="13" spans="1:29" ht="15">
      <c r="A13" s="2947"/>
      <c r="B13" s="2951" t="s">
        <v>2764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89"/>
      <c r="Q13" s="1154" t="str">
        <f t="shared" si="6"/>
        <v>容积率</v>
      </c>
      <c r="R13" s="1572" t="s">
        <v>8</v>
      </c>
      <c r="S13" s="1573" t="e">
        <f t="shared" si="0"/>
        <v>#N/A</v>
      </c>
      <c r="T13" s="1572" t="s">
        <v>8</v>
      </c>
      <c r="U13" s="1573" t="e">
        <f t="shared" si="1"/>
        <v>#N/A</v>
      </c>
      <c r="V13" s="1572" t="s">
        <v>8</v>
      </c>
      <c r="W13" s="1573" t="e">
        <f t="shared" si="2"/>
        <v>#N/A</v>
      </c>
      <c r="X13" s="1574"/>
      <c r="Y13" s="334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89"/>
      <c r="Q14" s="1154">
        <f t="shared" si="6"/>
        <v>111</v>
      </c>
      <c r="R14" s="1572" t="s">
        <v>8</v>
      </c>
      <c r="S14" s="1573">
        <f t="shared" si="0"/>
        <v>100</v>
      </c>
      <c r="T14" s="1572" t="s">
        <v>8</v>
      </c>
      <c r="U14" s="1573">
        <f t="shared" si="1"/>
        <v>100</v>
      </c>
      <c r="V14" s="1572" t="s">
        <v>8</v>
      </c>
      <c r="W14" s="1573">
        <f t="shared" si="2"/>
        <v>100</v>
      </c>
      <c r="X14" s="1574"/>
      <c r="Y14" s="334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89"/>
      <c r="Q15" s="1154">
        <f t="shared" si="6"/>
        <v>111</v>
      </c>
      <c r="R15" s="1572" t="s">
        <v>8</v>
      </c>
      <c r="S15" s="1573">
        <f t="shared" si="0"/>
        <v>100</v>
      </c>
      <c r="T15" s="1572" t="s">
        <v>8</v>
      </c>
      <c r="U15" s="1573">
        <f t="shared" si="1"/>
        <v>100</v>
      </c>
      <c r="V15" s="1572" t="s">
        <v>8</v>
      </c>
      <c r="W15" s="1573">
        <f t="shared" si="2"/>
        <v>100</v>
      </c>
      <c r="X15" s="1574"/>
      <c r="Y15" s="334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89"/>
      <c r="Q16" s="1154">
        <f t="shared" si="6"/>
        <v>111</v>
      </c>
      <c r="R16" s="1572" t="s">
        <v>8</v>
      </c>
      <c r="S16" s="1573">
        <f t="shared" si="0"/>
        <v>100</v>
      </c>
      <c r="T16" s="1572" t="s">
        <v>8</v>
      </c>
      <c r="U16" s="1573">
        <f t="shared" si="1"/>
        <v>100</v>
      </c>
      <c r="V16" s="1572" t="s">
        <v>8</v>
      </c>
      <c r="W16" s="1573">
        <f t="shared" si="2"/>
        <v>100</v>
      </c>
      <c r="X16" s="1574"/>
      <c r="Y16" s="3346"/>
      <c r="Z16" s="1153">
        <f t="shared" si="7"/>
        <v>111</v>
      </c>
      <c r="AA16" s="1575">
        <f t="shared" si="3"/>
        <v>1</v>
      </c>
      <c r="AB16" s="1575">
        <f t="shared" si="4"/>
        <v>1</v>
      </c>
      <c r="AC16" s="1575">
        <f t="shared" si="5"/>
        <v>1</v>
      </c>
    </row>
    <row r="17" spans="1:29" ht="57">
      <c r="A17" s="2941" t="s">
        <v>2760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91" t="s">
        <v>541</v>
      </c>
      <c r="Q17" s="1576" t="str">
        <f t="shared" si="6"/>
        <v>产业集聚程度</v>
      </c>
      <c r="R17" s="1577" t="s">
        <v>8</v>
      </c>
      <c r="S17" s="1578">
        <f t="shared" si="0"/>
        <v>100</v>
      </c>
      <c r="T17" s="1577" t="s">
        <v>8</v>
      </c>
      <c r="U17" s="1578">
        <f t="shared" si="1"/>
        <v>100</v>
      </c>
      <c r="V17" s="1577" t="s">
        <v>8</v>
      </c>
      <c r="W17" s="1578">
        <f t="shared" si="2"/>
        <v>100</v>
      </c>
      <c r="X17" s="1571"/>
      <c r="Y17" s="3391"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92"/>
      <c r="Q18" s="1576"/>
      <c r="R18" s="1577"/>
      <c r="S18" s="1578"/>
      <c r="T18" s="1577"/>
      <c r="U18" s="1578"/>
      <c r="V18" s="1577"/>
      <c r="W18" s="1578"/>
      <c r="X18" s="1571"/>
      <c r="Y18" s="3392"/>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92"/>
      <c r="Q19" s="1576" t="str">
        <f>B19</f>
        <v>交通便捷度</v>
      </c>
      <c r="R19" s="1577" t="s">
        <v>8</v>
      </c>
      <c r="S19" s="1578">
        <f>F19</f>
        <v>100</v>
      </c>
      <c r="T19" s="1577" t="s">
        <v>8</v>
      </c>
      <c r="U19" s="1578">
        <f>H19</f>
        <v>100</v>
      </c>
      <c r="V19" s="1577" t="s">
        <v>8</v>
      </c>
      <c r="W19" s="1578">
        <f>J19</f>
        <v>100</v>
      </c>
      <c r="X19" s="1571"/>
      <c r="Y19" s="3392"/>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92"/>
      <c r="Q20" s="1576"/>
      <c r="R20" s="1577"/>
      <c r="S20" s="1578"/>
      <c r="T20" s="1577"/>
      <c r="U20" s="1578"/>
      <c r="V20" s="1577"/>
      <c r="W20" s="1578"/>
      <c r="X20" s="1571"/>
      <c r="Y20" s="3392"/>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92"/>
      <c r="Q21" s="1576" t="str">
        <f t="shared" ref="Q21:Q35" si="8">B21</f>
        <v>区域土地利用方向</v>
      </c>
      <c r="R21" s="1577" t="s">
        <v>8</v>
      </c>
      <c r="S21" s="1578">
        <f>F21</f>
        <v>100</v>
      </c>
      <c r="T21" s="1577" t="s">
        <v>8</v>
      </c>
      <c r="U21" s="1578">
        <f>H21</f>
        <v>100</v>
      </c>
      <c r="V21" s="1577" t="s">
        <v>8</v>
      </c>
      <c r="W21" s="1578">
        <f>J21</f>
        <v>100</v>
      </c>
      <c r="X21" s="1571"/>
      <c r="Y21" s="3392"/>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92"/>
      <c r="Q22" s="1576"/>
      <c r="R22" s="1577"/>
      <c r="S22" s="1578"/>
      <c r="T22" s="1577"/>
      <c r="U22" s="1578"/>
      <c r="V22" s="1577"/>
      <c r="W22" s="1578"/>
      <c r="X22" s="1571"/>
      <c r="Y22" s="3392"/>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92"/>
      <c r="Q23" s="1576" t="str">
        <f t="shared" si="8"/>
        <v>环境状况</v>
      </c>
      <c r="R23" s="1577" t="s">
        <v>8</v>
      </c>
      <c r="S23" s="1578">
        <f>F23</f>
        <v>100</v>
      </c>
      <c r="T23" s="1577" t="s">
        <v>8</v>
      </c>
      <c r="U23" s="1578">
        <f>H23</f>
        <v>100</v>
      </c>
      <c r="V23" s="1577" t="s">
        <v>8</v>
      </c>
      <c r="W23" s="1578">
        <f>J23</f>
        <v>100</v>
      </c>
      <c r="X23" s="1571"/>
      <c r="Y23" s="3392"/>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92"/>
      <c r="Q24" s="1576"/>
      <c r="R24" s="1577"/>
      <c r="S24" s="1578"/>
      <c r="T24" s="1577"/>
      <c r="U24" s="1578"/>
      <c r="V24" s="1577"/>
      <c r="W24" s="1578"/>
      <c r="X24" s="1571"/>
      <c r="Y24" s="3392"/>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92"/>
      <c r="Q25" s="1154" t="str">
        <f t="shared" si="8"/>
        <v>公共配套设施</v>
      </c>
      <c r="R25" s="1572" t="s">
        <v>8</v>
      </c>
      <c r="S25" s="1573">
        <f>F25</f>
        <v>100</v>
      </c>
      <c r="T25" s="1572" t="s">
        <v>8</v>
      </c>
      <c r="U25" s="1573">
        <f>H25</f>
        <v>100</v>
      </c>
      <c r="V25" s="1572" t="s">
        <v>8</v>
      </c>
      <c r="W25" s="1573">
        <f>J25</f>
        <v>100</v>
      </c>
      <c r="X25" s="1574"/>
      <c r="Y25" s="3392"/>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92"/>
      <c r="Q26" s="1154"/>
      <c r="R26" s="1572"/>
      <c r="S26" s="1573"/>
      <c r="T26" s="1572"/>
      <c r="U26" s="1573"/>
      <c r="V26" s="1572"/>
      <c r="W26" s="1573"/>
      <c r="X26" s="1574"/>
      <c r="Y26" s="3392"/>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92"/>
      <c r="Q27" s="2607" t="str">
        <f t="shared" ref="Q27" si="9">B27</f>
        <v>基础设施水平</v>
      </c>
      <c r="R27" s="1572" t="s">
        <v>8</v>
      </c>
      <c r="S27" s="1573">
        <f>F27</f>
        <v>100</v>
      </c>
      <c r="T27" s="1572" t="s">
        <v>8</v>
      </c>
      <c r="U27" s="1573">
        <f>H27</f>
        <v>100</v>
      </c>
      <c r="V27" s="1572" t="s">
        <v>8</v>
      </c>
      <c r="W27" s="1573">
        <f>J27</f>
        <v>100</v>
      </c>
      <c r="X27" s="1574"/>
      <c r="Y27" s="3392"/>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92"/>
      <c r="Q28" s="2607"/>
      <c r="R28" s="1572"/>
      <c r="S28" s="1573"/>
      <c r="T28" s="1572"/>
      <c r="U28" s="1573"/>
      <c r="V28" s="1572"/>
      <c r="W28" s="1573"/>
      <c r="X28" s="1574"/>
      <c r="Y28" s="3392"/>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92"/>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2"/>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92"/>
      <c r="Q30" s="1576" t="str">
        <f t="shared" si="8"/>
        <v>毗邻道路的类型与等级</v>
      </c>
      <c r="R30" s="1577" t="s">
        <v>8</v>
      </c>
      <c r="S30" s="1578">
        <f t="shared" si="10"/>
        <v>100</v>
      </c>
      <c r="T30" s="1577" t="s">
        <v>8</v>
      </c>
      <c r="U30" s="1578">
        <f t="shared" si="11"/>
        <v>100</v>
      </c>
      <c r="V30" s="1577" t="s">
        <v>8</v>
      </c>
      <c r="W30" s="1578">
        <f t="shared" si="12"/>
        <v>100</v>
      </c>
      <c r="X30" s="1571"/>
      <c r="Y30" s="3392"/>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92"/>
      <c r="Q31" s="1576"/>
      <c r="R31" s="1577"/>
      <c r="S31" s="1578"/>
      <c r="T31" s="1577"/>
      <c r="U31" s="1578"/>
      <c r="V31" s="1577"/>
      <c r="W31" s="1578"/>
      <c r="X31" s="1571"/>
      <c r="Y31" s="3392"/>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92"/>
      <c r="Q32" s="1576" t="str">
        <f t="shared" si="8"/>
        <v>土地级别</v>
      </c>
      <c r="R32" s="1577" t="s">
        <v>8</v>
      </c>
      <c r="S32" s="1578">
        <f t="shared" si="10"/>
        <v>100</v>
      </c>
      <c r="T32" s="1577" t="s">
        <v>8</v>
      </c>
      <c r="U32" s="1578">
        <f t="shared" si="11"/>
        <v>100</v>
      </c>
      <c r="V32" s="1577" t="s">
        <v>8</v>
      </c>
      <c r="W32" s="1578">
        <f t="shared" si="12"/>
        <v>100</v>
      </c>
      <c r="X32" s="1571"/>
      <c r="Y32" s="3392"/>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92"/>
      <c r="Q33" s="1576">
        <f t="shared" si="8"/>
        <v>111</v>
      </c>
      <c r="R33" s="1577" t="s">
        <v>8</v>
      </c>
      <c r="S33" s="1578">
        <f t="shared" si="10"/>
        <v>100</v>
      </c>
      <c r="T33" s="1577" t="s">
        <v>8</v>
      </c>
      <c r="U33" s="1578">
        <f t="shared" si="11"/>
        <v>100</v>
      </c>
      <c r="V33" s="1577" t="s">
        <v>8</v>
      </c>
      <c r="W33" s="1578">
        <f t="shared" si="12"/>
        <v>100</v>
      </c>
      <c r="X33" s="1571"/>
      <c r="Y33" s="3392"/>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93" t="s">
        <v>551</v>
      </c>
      <c r="Q34" s="1576">
        <f t="shared" si="8"/>
        <v>111</v>
      </c>
      <c r="R34" s="1577" t="s">
        <v>8</v>
      </c>
      <c r="S34" s="1578">
        <f t="shared" si="10"/>
        <v>100</v>
      </c>
      <c r="T34" s="1577" t="s">
        <v>8</v>
      </c>
      <c r="U34" s="1578">
        <f t="shared" si="11"/>
        <v>100</v>
      </c>
      <c r="V34" s="1577" t="s">
        <v>8</v>
      </c>
      <c r="W34" s="1578">
        <f t="shared" si="12"/>
        <v>100</v>
      </c>
      <c r="X34" s="1571"/>
      <c r="Y34" s="3394"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94"/>
      <c r="Q35" s="1576">
        <f t="shared" si="8"/>
        <v>111</v>
      </c>
      <c r="R35" s="1581" t="s">
        <v>8</v>
      </c>
      <c r="S35" s="1582">
        <f t="shared" si="10"/>
        <v>100</v>
      </c>
      <c r="T35" s="1581" t="s">
        <v>8</v>
      </c>
      <c r="U35" s="1582">
        <f t="shared" si="11"/>
        <v>100</v>
      </c>
      <c r="V35" s="1581" t="s">
        <v>8</v>
      </c>
      <c r="W35" s="1582">
        <f t="shared" si="12"/>
        <v>100</v>
      </c>
      <c r="X35" s="1583"/>
      <c r="Y35" s="3394"/>
      <c r="Z35" s="1584">
        <f t="shared" si="13"/>
        <v>111</v>
      </c>
      <c r="AA35" s="1580">
        <f t="shared" si="3"/>
        <v>1</v>
      </c>
      <c r="AB35" s="1580">
        <f t="shared" si="4"/>
        <v>1</v>
      </c>
      <c r="AC35" s="1580">
        <f t="shared" si="5"/>
        <v>1</v>
      </c>
    </row>
    <row r="36" spans="1:29" ht="15">
      <c r="A36" s="2938" t="s">
        <v>2761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94"/>
      <c r="Q36" s="1576" t="str">
        <f>B36</f>
        <v>宗地面积</v>
      </c>
      <c r="R36" s="1577" t="s">
        <v>8</v>
      </c>
      <c r="S36" s="1578" t="e">
        <f t="shared" si="10"/>
        <v>#N/A</v>
      </c>
      <c r="T36" s="1577" t="s">
        <v>8</v>
      </c>
      <c r="U36" s="1578" t="e">
        <f t="shared" si="11"/>
        <v>#N/A</v>
      </c>
      <c r="V36" s="1577" t="s">
        <v>8</v>
      </c>
      <c r="W36" s="1578" t="e">
        <f t="shared" si="12"/>
        <v>#N/A</v>
      </c>
      <c r="X36" s="1571"/>
      <c r="Y36" s="3394"/>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94"/>
      <c r="Q37" s="1576" t="str">
        <f t="shared" ref="Q37:Q42" si="14">B37</f>
        <v>宗地形状</v>
      </c>
      <c r="R37" s="1577" t="s">
        <v>8</v>
      </c>
      <c r="S37" s="1578">
        <f t="shared" si="10"/>
        <v>100</v>
      </c>
      <c r="T37" s="1577" t="s">
        <v>8</v>
      </c>
      <c r="U37" s="1578">
        <f t="shared" si="11"/>
        <v>100</v>
      </c>
      <c r="V37" s="1577" t="s">
        <v>8</v>
      </c>
      <c r="W37" s="1578">
        <f t="shared" si="12"/>
        <v>100</v>
      </c>
      <c r="X37" s="1571"/>
      <c r="Y37" s="3394"/>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94"/>
      <c r="Q38" s="1576" t="str">
        <f t="shared" si="14"/>
        <v>宗地开发程度</v>
      </c>
      <c r="R38" s="1572" t="s">
        <v>8</v>
      </c>
      <c r="S38" s="1573">
        <f t="shared" si="10"/>
        <v>100</v>
      </c>
      <c r="T38" s="1572" t="s">
        <v>8</v>
      </c>
      <c r="U38" s="1573">
        <f t="shared" si="11"/>
        <v>100</v>
      </c>
      <c r="V38" s="1572" t="s">
        <v>8</v>
      </c>
      <c r="W38" s="1573">
        <f t="shared" si="12"/>
        <v>100</v>
      </c>
      <c r="X38" s="1574"/>
      <c r="Y38" s="3394"/>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94" t="s">
        <v>602</v>
      </c>
      <c r="Q39" s="1576" t="str">
        <f t="shared" si="14"/>
        <v>工程地质条件</v>
      </c>
      <c r="R39" s="1577" t="s">
        <v>8</v>
      </c>
      <c r="S39" s="1578">
        <f t="shared" si="10"/>
        <v>100</v>
      </c>
      <c r="T39" s="1577" t="s">
        <v>8</v>
      </c>
      <c r="U39" s="1578">
        <f t="shared" si="11"/>
        <v>100</v>
      </c>
      <c r="V39" s="1577" t="s">
        <v>8</v>
      </c>
      <c r="W39" s="1578">
        <f t="shared" si="12"/>
        <v>100</v>
      </c>
      <c r="X39" s="1571"/>
      <c r="Y39" s="3394"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94"/>
      <c r="Q40" s="1576">
        <f t="shared" si="14"/>
        <v>111</v>
      </c>
      <c r="R40" s="1577" t="s">
        <v>8</v>
      </c>
      <c r="S40" s="1578">
        <f t="shared" si="10"/>
        <v>100</v>
      </c>
      <c r="T40" s="1577" t="s">
        <v>8</v>
      </c>
      <c r="U40" s="1578">
        <f t="shared" si="11"/>
        <v>100</v>
      </c>
      <c r="V40" s="1577" t="s">
        <v>8</v>
      </c>
      <c r="W40" s="1578">
        <f t="shared" si="12"/>
        <v>100</v>
      </c>
      <c r="X40" s="1571"/>
      <c r="Y40" s="3394"/>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94"/>
      <c r="Q41" s="1576">
        <f t="shared" si="14"/>
        <v>111</v>
      </c>
      <c r="R41" s="1577" t="s">
        <v>8</v>
      </c>
      <c r="S41" s="1578">
        <f t="shared" si="10"/>
        <v>100</v>
      </c>
      <c r="T41" s="1577" t="s">
        <v>8</v>
      </c>
      <c r="U41" s="1578">
        <f t="shared" si="11"/>
        <v>100</v>
      </c>
      <c r="V41" s="1577" t="s">
        <v>8</v>
      </c>
      <c r="W41" s="1578">
        <f t="shared" si="12"/>
        <v>100</v>
      </c>
      <c r="X41" s="1571"/>
      <c r="Y41" s="3394"/>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94"/>
      <c r="Q42" s="1576">
        <f t="shared" si="14"/>
        <v>111</v>
      </c>
      <c r="R42" s="1581" t="s">
        <v>8</v>
      </c>
      <c r="S42" s="1582">
        <f t="shared" si="10"/>
        <v>100</v>
      </c>
      <c r="T42" s="1581" t="s">
        <v>8</v>
      </c>
      <c r="U42" s="1582">
        <f t="shared" si="11"/>
        <v>100</v>
      </c>
      <c r="V42" s="1581" t="s">
        <v>8</v>
      </c>
      <c r="W42" s="1582">
        <f t="shared" si="12"/>
        <v>100</v>
      </c>
      <c r="X42" s="1583"/>
      <c r="Y42" s="3394"/>
      <c r="Z42" s="1584">
        <f t="shared" si="13"/>
        <v>111</v>
      </c>
      <c r="AA42" s="1580">
        <f t="shared" si="3"/>
        <v>1</v>
      </c>
      <c r="AB42" s="1580">
        <f t="shared" si="4"/>
        <v>1</v>
      </c>
      <c r="AC42" s="1580">
        <f t="shared" si="5"/>
        <v>1</v>
      </c>
    </row>
    <row r="43" spans="1:29" ht="15">
      <c r="A43" s="610" t="s">
        <v>557</v>
      </c>
      <c r="B43" s="611" t="s">
        <v>2937</v>
      </c>
      <c r="C43" s="612" t="s">
        <v>1</v>
      </c>
      <c r="D43" s="613"/>
      <c r="E43" s="614"/>
      <c r="F43" s="615"/>
      <c r="G43" s="616"/>
      <c r="H43" s="617"/>
      <c r="I43" s="614"/>
      <c r="J43" s="617"/>
      <c r="K43" s="1343"/>
      <c r="L43" s="2149"/>
      <c r="M43" s="2139"/>
      <c r="N43" s="2139"/>
      <c r="O43" s="2150"/>
      <c r="P43" s="3389" t="str">
        <f>A43</f>
        <v>成交单价</v>
      </c>
      <c r="Q43" s="3389"/>
      <c r="R43" s="3403">
        <f>E43</f>
        <v>0</v>
      </c>
      <c r="S43" s="3403"/>
      <c r="T43" s="3403">
        <f>G43</f>
        <v>0</v>
      </c>
      <c r="U43" s="3403"/>
      <c r="V43" s="3403">
        <f>I43</f>
        <v>0</v>
      </c>
      <c r="W43" s="3403"/>
      <c r="X43" s="1563"/>
      <c r="Y43" s="1585"/>
      <c r="Z43" s="1563"/>
      <c r="AA43" s="1563"/>
      <c r="AB43" s="1563"/>
      <c r="AC43" s="1563"/>
    </row>
    <row r="44" spans="1:29" ht="15.75" thickBot="1">
      <c r="A44" s="618" t="s">
        <v>2699</v>
      </c>
      <c r="B44" s="619"/>
      <c r="C44" s="620" t="e">
        <f>R45</f>
        <v>#DIV/0!</v>
      </c>
      <c r="D44" s="621"/>
      <c r="E44" s="620" t="e">
        <f>R44</f>
        <v>#DIV/0!</v>
      </c>
      <c r="F44" s="622"/>
      <c r="G44" s="623" t="e">
        <f>T44</f>
        <v>#DIV/0!</v>
      </c>
      <c r="H44" s="621"/>
      <c r="I44" s="620" t="e">
        <f>V44</f>
        <v>#DIV/0!</v>
      </c>
      <c r="J44" s="621"/>
      <c r="K44" s="1344"/>
      <c r="L44" s="2149"/>
      <c r="M44" s="2139"/>
      <c r="N44" s="2139"/>
      <c r="O44" s="2150"/>
      <c r="P44" s="3389" t="str">
        <f>A44</f>
        <v>比较价格（元/平方米）</v>
      </c>
      <c r="Q44" s="3389"/>
      <c r="R44" s="3414" t="e">
        <f>ROUND(PRODUCT(R43,AA9:AA42),0)</f>
        <v>#DIV/0!</v>
      </c>
      <c r="S44" s="3414"/>
      <c r="T44" s="3414" t="e">
        <f>ROUND(PRODUCT(T43,AB9:AB42),0)</f>
        <v>#DIV/0!</v>
      </c>
      <c r="U44" s="3414"/>
      <c r="V44" s="3414" t="e">
        <f>ROUND(PRODUCT(V43,AC9:AC42),0)</f>
        <v>#DIV/0!</v>
      </c>
      <c r="W44" s="3414"/>
      <c r="X44" s="1563"/>
      <c r="Y44" s="1563"/>
      <c r="Z44" s="1563"/>
      <c r="AA44" s="1563"/>
      <c r="AB44" s="1563"/>
      <c r="AC44" s="1563"/>
    </row>
    <row r="45" spans="1:29" ht="15.75" thickBot="1">
      <c r="A45" s="624" t="s">
        <v>2938</v>
      </c>
      <c r="B45" s="625"/>
      <c r="C45" s="626" t="e">
        <f>R45</f>
        <v>#DIV/0!</v>
      </c>
      <c r="D45" s="626"/>
      <c r="E45" s="626"/>
      <c r="F45" s="626"/>
      <c r="G45" s="626"/>
      <c r="H45" s="626"/>
      <c r="I45" s="626"/>
      <c r="J45" s="626"/>
      <c r="K45" s="1345"/>
      <c r="L45" s="2149"/>
      <c r="M45" s="2139"/>
      <c r="N45" s="2139"/>
      <c r="O45" s="2150"/>
      <c r="P45" s="3411" t="str">
        <f>A45</f>
        <v>估价对象XX用房的比较价格（楼面单价，元/平方米）</v>
      </c>
      <c r="Q45" s="3412"/>
      <c r="R45" s="3413" t="e">
        <f>ROUND(AVERAGE(R44:V44),0)</f>
        <v>#DIV/0!</v>
      </c>
      <c r="S45" s="3413"/>
      <c r="T45" s="3413"/>
      <c r="U45" s="3413"/>
      <c r="V45" s="3413"/>
      <c r="W45" s="3413"/>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15" t="s">
        <v>2286</v>
      </c>
      <c r="H52" s="3416"/>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15483.34</v>
      </c>
      <c r="F53" s="1955" t="e">
        <f t="shared" ref="F53:F62" si="15">ROUND(B53*E53/10000,0)</f>
        <v>#DIV/0!</v>
      </c>
      <c r="G53" s="3417"/>
      <c r="H53" s="3418"/>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19"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19"/>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19"/>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19"/>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2655</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2768</v>
      </c>
      <c r="S1" s="2967" t="s">
        <v>2769</v>
      </c>
      <c r="T1" s="2967" t="s">
        <v>2790</v>
      </c>
      <c r="U1" s="2967" t="s">
        <v>2791</v>
      </c>
      <c r="V1" s="2967" t="s">
        <v>2792</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2939</v>
      </c>
      <c r="G3" s="1042">
        <f>IF(F3="宗地容积率",'数据-汇总表'!I4,IF(F3="估价对象容积率",'数据-汇总表'!I6,'数据-汇总表'!I7))</f>
        <v>2</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27"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2771</v>
      </c>
      <c r="X7" s="2958">
        <f>G2</f>
        <v>0</v>
      </c>
      <c r="Y7" s="2958" t="s">
        <v>2772</v>
      </c>
      <c r="Z7" s="2959">
        <f>G3</f>
        <v>2</v>
      </c>
      <c r="AA7" s="2197"/>
      <c r="AB7" s="2197"/>
      <c r="AC7" s="2198"/>
      <c r="AD7" s="2960"/>
      <c r="AE7" s="2960"/>
      <c r="AF7" s="2960"/>
      <c r="AG7" s="2960"/>
      <c r="AH7" s="2960"/>
      <c r="AI7" s="2960"/>
      <c r="AJ7" s="2961"/>
    </row>
    <row r="8" spans="1:39" ht="15">
      <c r="A8" s="3428"/>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37" t="s">
        <v>2789</v>
      </c>
      <c r="X8" s="3438"/>
      <c r="Y8" s="1854" t="s">
        <v>2773</v>
      </c>
      <c r="Z8" s="1854" t="s">
        <v>2774</v>
      </c>
      <c r="AA8" s="1854" t="s">
        <v>2775</v>
      </c>
      <c r="AB8" s="1854" t="s">
        <v>2776</v>
      </c>
      <c r="AC8" s="1854" t="s">
        <v>2777</v>
      </c>
      <c r="AD8" s="1854" t="s">
        <v>2778</v>
      </c>
      <c r="AE8" s="1854" t="s">
        <v>2779</v>
      </c>
      <c r="AF8" s="1854" t="s">
        <v>2780</v>
      </c>
      <c r="AG8" s="1854" t="s">
        <v>2781</v>
      </c>
      <c r="AH8" s="1854" t="s">
        <v>2782</v>
      </c>
      <c r="AI8" s="1854" t="s">
        <v>2783</v>
      </c>
      <c r="AJ8" s="1854" t="s">
        <v>2784</v>
      </c>
    </row>
    <row r="9" spans="1:39" ht="15">
      <c r="A9" s="3428"/>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36" t="s">
        <v>2785</v>
      </c>
      <c r="X9" s="2962" t="s">
        <v>2786</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28"/>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36"/>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28"/>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36" t="s">
        <v>2787</v>
      </c>
      <c r="X11" s="1051" t="s">
        <v>2772</v>
      </c>
      <c r="Y11" s="1657">
        <f>$G$3</f>
        <v>2</v>
      </c>
      <c r="Z11" s="1657">
        <f t="shared" ref="Z11:AJ11" si="3">$G$3</f>
        <v>2</v>
      </c>
      <c r="AA11" s="1657">
        <f t="shared" si="3"/>
        <v>2</v>
      </c>
      <c r="AB11" s="1657">
        <f t="shared" si="3"/>
        <v>2</v>
      </c>
      <c r="AC11" s="1657">
        <f t="shared" si="3"/>
        <v>2</v>
      </c>
      <c r="AD11" s="1657">
        <f t="shared" si="3"/>
        <v>2</v>
      </c>
      <c r="AE11" s="1657">
        <f t="shared" si="3"/>
        <v>2</v>
      </c>
      <c r="AF11" s="1657">
        <f t="shared" si="3"/>
        <v>2</v>
      </c>
      <c r="AG11" s="1657">
        <f t="shared" si="3"/>
        <v>2</v>
      </c>
      <c r="AH11" s="1657">
        <f t="shared" si="3"/>
        <v>2</v>
      </c>
      <c r="AI11" s="1657">
        <f t="shared" si="3"/>
        <v>2</v>
      </c>
      <c r="AJ11" s="1657">
        <f t="shared" si="3"/>
        <v>2</v>
      </c>
    </row>
    <row r="12" spans="1:39" ht="25.5" thickBot="1">
      <c r="A12" s="3427"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36"/>
      <c r="X12" s="2965" t="s">
        <v>2788</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29"/>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36"/>
      <c r="X13" s="2965"/>
      <c r="Y13" s="2964">
        <f>(-0.163*(Y12^2)-0.59*Y12+7617)*(10^(-4))/Y11</f>
        <v>0.38085000000000002</v>
      </c>
      <c r="Z13" s="2964">
        <f t="shared" ref="Z13:AJ13" si="5">(-0.163*(Z12^2)-0.59*Z12+7617)*(10^(-4))/Z11</f>
        <v>0.38085000000000002</v>
      </c>
      <c r="AA13" s="2964">
        <f t="shared" si="5"/>
        <v>0.38085000000000002</v>
      </c>
      <c r="AB13" s="2964">
        <f t="shared" si="5"/>
        <v>0.38085000000000002</v>
      </c>
      <c r="AC13" s="2964">
        <f t="shared" si="5"/>
        <v>0.38085000000000002</v>
      </c>
      <c r="AD13" s="2964">
        <f t="shared" si="5"/>
        <v>0.38085000000000002</v>
      </c>
      <c r="AE13" s="2964">
        <f t="shared" si="5"/>
        <v>0.38085000000000002</v>
      </c>
      <c r="AF13" s="2964">
        <f t="shared" si="5"/>
        <v>0.38085000000000002</v>
      </c>
      <c r="AG13" s="2964">
        <f t="shared" si="5"/>
        <v>0.38085000000000002</v>
      </c>
      <c r="AH13" s="2964">
        <f t="shared" si="5"/>
        <v>0.38085000000000002</v>
      </c>
      <c r="AI13" s="2964">
        <f t="shared" si="5"/>
        <v>0.38085000000000002</v>
      </c>
      <c r="AJ13" s="2964">
        <f t="shared" si="5"/>
        <v>0.38085000000000002</v>
      </c>
    </row>
    <row r="14" spans="1:39" ht="12.75" customHeight="1" thickBot="1">
      <c r="A14" s="3429"/>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30"/>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27"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28"/>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2940</v>
      </c>
      <c r="I19" s="2815" t="str">
        <f>IF(H19="季度增幅（自定义）",SUMIF(N21:N24,E2,O21:O24),"")</f>
        <v/>
      </c>
      <c r="J19" s="1475"/>
      <c r="K19" s="1485"/>
      <c r="L19" s="3071" t="s">
        <v>2847</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2848</v>
      </c>
      <c r="M20" s="3074">
        <f>ROUND(SUMPRODUCT((地价!A5:A20=YEAR(G19)&amp;"-"&amp;ROUNDUP(MONTH(G19)/3,0))*(地价!B2:F2=E2)*(地价!B5:F20)),0)</f>
        <v>0</v>
      </c>
      <c r="N20" s="2820" t="s">
        <v>2652</v>
      </c>
      <c r="O20" s="2818" t="s">
        <v>2651</v>
      </c>
      <c r="P20" s="2819" t="s">
        <v>2656</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2767</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2654</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33" t="s">
        <v>2967</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34"/>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34"/>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35"/>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2942</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2941</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2943</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2941</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2941</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2941</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31" t="s">
        <v>1634</v>
      </c>
      <c r="B90" s="3431"/>
      <c r="C90" s="3431"/>
      <c r="D90" s="3431"/>
      <c r="E90" s="3431"/>
      <c r="F90" s="3431"/>
      <c r="G90" s="3431"/>
      <c r="H90" s="3431"/>
      <c r="I90" s="3431"/>
      <c r="J90" s="3431"/>
      <c r="K90" s="2479"/>
      <c r="L90" s="2479"/>
      <c r="M90" s="2479"/>
      <c r="N90" s="2479"/>
    </row>
    <row r="91" spans="1:40">
      <c r="A91" s="3432" t="s">
        <v>1444</v>
      </c>
      <c r="B91" s="3432" t="s">
        <v>1635</v>
      </c>
      <c r="C91" s="1143" t="s">
        <v>1636</v>
      </c>
      <c r="D91" s="1144"/>
      <c r="E91" s="1144"/>
      <c r="F91" s="1144"/>
      <c r="G91" s="1144"/>
      <c r="H91" s="1144"/>
      <c r="I91" s="1144"/>
      <c r="J91" s="1145"/>
      <c r="K91" s="1137"/>
      <c r="L91" s="1137"/>
      <c r="M91" s="1137"/>
      <c r="N91" s="1137"/>
    </row>
    <row r="92" spans="1:40">
      <c r="A92" s="3432"/>
      <c r="B92" s="3432"/>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39" t="s">
        <v>2770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4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4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4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4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4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40"/>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9" t="s">
        <v>1638</v>
      </c>
      <c r="B101" s="1150" t="s">
        <v>906</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40"/>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40"/>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40"/>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40"/>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40"/>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40"/>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40"/>
      <c r="B108" s="3442"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1"/>
      <c r="B109" s="3443"/>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26" t="s">
        <v>1640</v>
      </c>
      <c r="B110" s="3426"/>
      <c r="C110" s="3426"/>
      <c r="D110" s="3426"/>
      <c r="E110" s="3426"/>
      <c r="F110" s="3426"/>
      <c r="G110" s="3426"/>
      <c r="H110" s="3426"/>
      <c r="I110" s="3426"/>
      <c r="J110" s="3426"/>
      <c r="K110" s="2477"/>
      <c r="L110" s="2477"/>
      <c r="M110" s="2477"/>
      <c r="N110" s="2477"/>
    </row>
    <row r="112" spans="1:14" ht="12.75" thickBot="1"/>
    <row r="113" spans="1:13" ht="25.5" thickBot="1">
      <c r="A113" s="1019" t="s">
        <v>896</v>
      </c>
      <c r="B113" s="2480">
        <f>G3</f>
        <v>2</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901</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902</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903</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32" t="s">
        <v>1008</v>
      </c>
      <c r="B18" s="1157" t="s">
        <v>1447</v>
      </c>
      <c r="C18" s="1134" t="s">
        <v>1448</v>
      </c>
      <c r="D18" s="1135"/>
      <c r="E18" s="1157">
        <v>1</v>
      </c>
      <c r="F18" s="1136" t="s">
        <v>1449</v>
      </c>
      <c r="G18" s="1137"/>
      <c r="H18" s="1108"/>
      <c r="I18" s="1108"/>
    </row>
    <row r="19" spans="1:9" s="1603" customFormat="1" ht="19.5" customHeight="1">
      <c r="A19" s="3432"/>
      <c r="B19" s="3432" t="s">
        <v>1450</v>
      </c>
      <c r="C19" s="1134" t="s">
        <v>1451</v>
      </c>
      <c r="D19" s="1135"/>
      <c r="E19" s="1157">
        <v>0.9</v>
      </c>
      <c r="F19" s="1136" t="s">
        <v>1452</v>
      </c>
      <c r="G19" s="1137"/>
      <c r="H19" s="1108"/>
      <c r="I19" s="1108"/>
    </row>
    <row r="20" spans="1:9" s="1603" customFormat="1" ht="19.5" customHeight="1">
      <c r="A20" s="3432"/>
      <c r="B20" s="3432"/>
      <c r="C20" s="1134" t="s">
        <v>1453</v>
      </c>
      <c r="D20" s="1135"/>
      <c r="E20" s="1157">
        <v>1.1000000000000001</v>
      </c>
      <c r="F20" s="1136" t="s">
        <v>1454</v>
      </c>
      <c r="G20" s="1137"/>
      <c r="H20" s="1108"/>
      <c r="I20" s="1108"/>
    </row>
    <row r="21" spans="1:9" s="1603" customFormat="1" ht="19.5" customHeight="1">
      <c r="A21" s="3432"/>
      <c r="B21" s="3432"/>
      <c r="C21" s="1134" t="s">
        <v>1455</v>
      </c>
      <c r="D21" s="1135"/>
      <c r="E21" s="1157">
        <v>0.8</v>
      </c>
      <c r="F21" s="1136" t="s">
        <v>1456</v>
      </c>
      <c r="G21" s="1137"/>
      <c r="H21" s="1108"/>
      <c r="I21" s="1108"/>
    </row>
    <row r="22" spans="1:9" s="1603" customFormat="1" ht="19.5" customHeight="1">
      <c r="A22" s="3432"/>
      <c r="B22" s="3432"/>
      <c r="C22" s="1134" t="s">
        <v>1457</v>
      </c>
      <c r="D22" s="1135"/>
      <c r="E22" s="1157">
        <v>0.5</v>
      </c>
      <c r="F22" s="1136"/>
      <c r="G22" s="1137"/>
      <c r="H22" s="1108"/>
      <c r="I22" s="1108"/>
    </row>
    <row r="23" spans="1:9" s="1603" customFormat="1" ht="19.5" customHeight="1">
      <c r="A23" s="3432" t="s">
        <v>1030</v>
      </c>
      <c r="B23" s="1157" t="s">
        <v>1447</v>
      </c>
      <c r="C23" s="1134" t="s">
        <v>1458</v>
      </c>
      <c r="D23" s="1135"/>
      <c r="E23" s="1157">
        <v>1</v>
      </c>
      <c r="F23" s="1136" t="s">
        <v>1459</v>
      </c>
      <c r="G23" s="1137"/>
      <c r="H23" s="1108"/>
      <c r="I23" s="1108"/>
    </row>
    <row r="24" spans="1:9" s="1603" customFormat="1" ht="19.5" customHeight="1">
      <c r="A24" s="3432"/>
      <c r="B24" s="3432" t="s">
        <v>1450</v>
      </c>
      <c r="C24" s="1134" t="s">
        <v>1460</v>
      </c>
      <c r="D24" s="1135"/>
      <c r="E24" s="1157">
        <v>0.5</v>
      </c>
      <c r="F24" s="1136"/>
      <c r="G24" s="1137"/>
      <c r="H24" s="1108"/>
      <c r="I24" s="1108"/>
    </row>
    <row r="25" spans="1:9" s="1603" customFormat="1" ht="19.5" customHeight="1">
      <c r="A25" s="3432"/>
      <c r="B25" s="3432"/>
      <c r="C25" s="1134" t="s">
        <v>1461</v>
      </c>
      <c r="D25" s="1135"/>
      <c r="E25" s="1157">
        <v>1.1000000000000001</v>
      </c>
      <c r="F25" s="1136"/>
      <c r="G25" s="1137"/>
      <c r="H25" s="1108"/>
      <c r="I25" s="1108"/>
    </row>
    <row r="26" spans="1:9" s="1603" customFormat="1" ht="19.5" customHeight="1">
      <c r="A26" s="3432"/>
      <c r="B26" s="3432"/>
      <c r="C26" s="1134" t="s">
        <v>1462</v>
      </c>
      <c r="D26" s="1135"/>
      <c r="E26" s="1157">
        <v>1.1000000000000001</v>
      </c>
      <c r="F26" s="1136"/>
      <c r="G26" s="1137"/>
      <c r="H26" s="1108"/>
      <c r="I26" s="1108"/>
    </row>
    <row r="27" spans="1:9" s="1603" customFormat="1" ht="19.5" customHeight="1">
      <c r="A27" s="3432"/>
      <c r="B27" s="3432"/>
      <c r="C27" s="1134" t="s">
        <v>1463</v>
      </c>
      <c r="D27" s="1135"/>
      <c r="E27" s="1157">
        <v>0.9</v>
      </c>
      <c r="F27" s="1136" t="s">
        <v>1464</v>
      </c>
      <c r="G27" s="1137"/>
      <c r="H27" s="1108"/>
      <c r="I27" s="1108"/>
    </row>
    <row r="28" spans="1:9" s="1603" customFormat="1" ht="19.5" customHeight="1">
      <c r="A28" s="3432"/>
      <c r="B28" s="3432"/>
      <c r="C28" s="1134" t="s">
        <v>1465</v>
      </c>
      <c r="D28" s="1135"/>
      <c r="E28" s="1157">
        <v>0.9</v>
      </c>
      <c r="F28" s="1136" t="s">
        <v>1466</v>
      </c>
      <c r="G28" s="1137"/>
      <c r="H28" s="1108"/>
      <c r="I28" s="1108"/>
    </row>
    <row r="29" spans="1:9" s="1603" customFormat="1" ht="19.5" customHeight="1">
      <c r="A29" s="3432"/>
      <c r="B29" s="3432"/>
      <c r="C29" s="1134" t="s">
        <v>1467</v>
      </c>
      <c r="D29" s="1135"/>
      <c r="E29" s="1157">
        <v>0.9</v>
      </c>
      <c r="F29" s="1136" t="s">
        <v>1468</v>
      </c>
      <c r="G29" s="1137"/>
      <c r="H29" s="1108"/>
      <c r="I29" s="1108"/>
    </row>
    <row r="30" spans="1:9" s="1603" customFormat="1" ht="19.5" customHeight="1">
      <c r="A30" s="3432"/>
      <c r="B30" s="3432"/>
      <c r="C30" s="1134" t="s">
        <v>1469</v>
      </c>
      <c r="D30" s="1135"/>
      <c r="E30" s="1157">
        <v>0.9</v>
      </c>
      <c r="F30" s="1136" t="s">
        <v>1470</v>
      </c>
      <c r="G30" s="1137"/>
      <c r="H30" s="1108"/>
      <c r="I30" s="1108"/>
    </row>
    <row r="31" spans="1:9" s="1603" customFormat="1" ht="19.5" customHeight="1">
      <c r="A31" s="3432"/>
      <c r="B31" s="3432"/>
      <c r="C31" s="1134" t="s">
        <v>1471</v>
      </c>
      <c r="D31" s="1135"/>
      <c r="E31" s="1157">
        <v>0.8</v>
      </c>
      <c r="F31" s="1136" t="s">
        <v>1472</v>
      </c>
      <c r="G31" s="1137"/>
      <c r="H31" s="1108"/>
      <c r="I31" s="1108"/>
    </row>
    <row r="32" spans="1:9" s="1603" customFormat="1" ht="19.5" customHeight="1">
      <c r="A32" s="3432"/>
      <c r="B32" s="3432"/>
      <c r="C32" s="1134" t="s">
        <v>1473</v>
      </c>
      <c r="D32" s="1135"/>
      <c r="E32" s="1157">
        <v>0.8</v>
      </c>
      <c r="F32" s="1136" t="s">
        <v>1474</v>
      </c>
      <c r="G32" s="1137"/>
      <c r="H32" s="1108"/>
      <c r="I32" s="1108"/>
    </row>
    <row r="33" spans="1:9" s="1603" customFormat="1" ht="19.5" customHeight="1">
      <c r="A33" s="3432" t="s">
        <v>1475</v>
      </c>
      <c r="B33" s="1157" t="s">
        <v>1447</v>
      </c>
      <c r="C33" s="1134" t="s">
        <v>1476</v>
      </c>
      <c r="D33" s="1135"/>
      <c r="E33" s="1157">
        <v>1</v>
      </c>
      <c r="F33" s="1136" t="s">
        <v>1477</v>
      </c>
      <c r="G33" s="1137"/>
      <c r="H33" s="1108"/>
      <c r="I33" s="1108"/>
    </row>
    <row r="34" spans="1:9" s="1603" customFormat="1" ht="19.5" customHeight="1">
      <c r="A34" s="3432"/>
      <c r="B34" s="1157" t="s">
        <v>1450</v>
      </c>
      <c r="C34" s="1134" t="s">
        <v>1478</v>
      </c>
      <c r="D34" s="1135"/>
      <c r="E34" s="1157">
        <v>1.5</v>
      </c>
      <c r="F34" s="1136" t="s">
        <v>1479</v>
      </c>
      <c r="G34" s="1137"/>
      <c r="H34" s="1108"/>
      <c r="I34" s="1108"/>
    </row>
    <row r="35" spans="1:9" s="1603" customFormat="1" ht="19.5" customHeight="1">
      <c r="A35" s="3432" t="s">
        <v>1433</v>
      </c>
      <c r="B35" s="1157" t="s">
        <v>1447</v>
      </c>
      <c r="C35" s="1134" t="s">
        <v>1480</v>
      </c>
      <c r="D35" s="1135"/>
      <c r="E35" s="1157">
        <v>1</v>
      </c>
      <c r="F35" s="1136" t="s">
        <v>1481</v>
      </c>
      <c r="G35" s="1137"/>
      <c r="H35" s="1108"/>
      <c r="I35" s="1108"/>
    </row>
    <row r="36" spans="1:9" s="1603" customFormat="1" ht="19.5" customHeight="1">
      <c r="A36" s="3432"/>
      <c r="B36" s="3432" t="s">
        <v>1450</v>
      </c>
      <c r="C36" s="1134" t="s">
        <v>1482</v>
      </c>
      <c r="D36" s="1135"/>
      <c r="E36" s="1157">
        <v>1</v>
      </c>
      <c r="F36" s="1136" t="s">
        <v>1483</v>
      </c>
      <c r="G36" s="1137"/>
      <c r="H36" s="1108"/>
      <c r="I36" s="1108"/>
    </row>
    <row r="37" spans="1:9" s="1603" customFormat="1" ht="19.5" customHeight="1">
      <c r="A37" s="3432"/>
      <c r="B37" s="3432"/>
      <c r="C37" s="1134" t="s">
        <v>1484</v>
      </c>
      <c r="D37" s="1135"/>
      <c r="E37" s="1157">
        <v>1.5</v>
      </c>
      <c r="F37" s="1136" t="s">
        <v>1485</v>
      </c>
      <c r="G37" s="1137"/>
      <c r="H37" s="1108"/>
      <c r="I37" s="1108"/>
    </row>
    <row r="38" spans="1:9" s="1603" customFormat="1" ht="19.5" customHeight="1">
      <c r="A38" s="3432"/>
      <c r="B38" s="3432"/>
      <c r="C38" s="1134" t="s">
        <v>1486</v>
      </c>
      <c r="D38" s="1135"/>
      <c r="E38" s="1157">
        <v>1</v>
      </c>
      <c r="F38" s="1136" t="s">
        <v>1487</v>
      </c>
      <c r="G38" s="1137"/>
      <c r="H38" s="1108"/>
      <c r="I38" s="1108"/>
    </row>
    <row r="39" spans="1:9" s="1603" customFormat="1" ht="19.5" customHeight="1">
      <c r="A39" s="3432"/>
      <c r="B39" s="3432"/>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32" t="s">
        <v>1502</v>
      </c>
      <c r="C61" s="1071" t="s">
        <v>1503</v>
      </c>
      <c r="D61" s="1071" t="s">
        <v>1504</v>
      </c>
      <c r="E61" s="1142">
        <v>0.5</v>
      </c>
      <c r="F61" s="1157">
        <v>80</v>
      </c>
      <c r="H61" s="1108">
        <f>SUMIF(C59:C119,基准地价!C8,E59:E119)</f>
        <v>0</v>
      </c>
    </row>
    <row r="62" spans="1:8" s="1108" customFormat="1" ht="24">
      <c r="A62" s="1157">
        <v>2</v>
      </c>
      <c r="B62" s="3432"/>
      <c r="C62" s="1071" t="s">
        <v>1505</v>
      </c>
      <c r="D62" s="1071" t="s">
        <v>1506</v>
      </c>
      <c r="E62" s="1142">
        <v>0.5</v>
      </c>
      <c r="F62" s="1157">
        <v>80</v>
      </c>
    </row>
    <row r="63" spans="1:8" s="1108" customFormat="1" ht="36">
      <c r="A63" s="1157">
        <v>3</v>
      </c>
      <c r="B63" s="3432"/>
      <c r="C63" s="1071" t="s">
        <v>1507</v>
      </c>
      <c r="D63" s="1071" t="s">
        <v>1508</v>
      </c>
      <c r="E63" s="1142">
        <v>0.5</v>
      </c>
      <c r="F63" s="1157">
        <v>80</v>
      </c>
    </row>
    <row r="64" spans="1:8" s="1108" customFormat="1" ht="36">
      <c r="A64" s="1157">
        <v>4</v>
      </c>
      <c r="B64" s="3432"/>
      <c r="C64" s="1071" t="s">
        <v>1509</v>
      </c>
      <c r="D64" s="1071" t="s">
        <v>1510</v>
      </c>
      <c r="E64" s="1142">
        <v>0.4</v>
      </c>
      <c r="F64" s="1157">
        <v>60</v>
      </c>
    </row>
    <row r="65" spans="1:6" s="1108" customFormat="1" ht="36">
      <c r="A65" s="1157">
        <v>5</v>
      </c>
      <c r="B65" s="3432"/>
      <c r="C65" s="1071" t="s">
        <v>1511</v>
      </c>
      <c r="D65" s="1071" t="s">
        <v>1512</v>
      </c>
      <c r="E65" s="1142">
        <v>0.2</v>
      </c>
      <c r="F65" s="1157">
        <v>30</v>
      </c>
    </row>
    <row r="66" spans="1:6" s="1108" customFormat="1" ht="36">
      <c r="A66" s="1157">
        <v>6</v>
      </c>
      <c r="B66" s="3432"/>
      <c r="C66" s="1071" t="s">
        <v>1513</v>
      </c>
      <c r="D66" s="1071" t="s">
        <v>1514</v>
      </c>
      <c r="E66" s="1142">
        <v>0.3</v>
      </c>
      <c r="F66" s="1157">
        <v>50</v>
      </c>
    </row>
    <row r="67" spans="1:6" s="1108" customFormat="1" ht="36">
      <c r="A67" s="1157">
        <v>7</v>
      </c>
      <c r="B67" s="3432"/>
      <c r="C67" s="1071" t="s">
        <v>1515</v>
      </c>
      <c r="D67" s="1071" t="s">
        <v>1516</v>
      </c>
      <c r="E67" s="1142">
        <v>0.2</v>
      </c>
      <c r="F67" s="1157">
        <v>30</v>
      </c>
    </row>
    <row r="68" spans="1:6" s="1108" customFormat="1" ht="36">
      <c r="A68" s="1157">
        <v>8</v>
      </c>
      <c r="B68" s="3432"/>
      <c r="C68" s="1071" t="s">
        <v>1517</v>
      </c>
      <c r="D68" s="1071" t="s">
        <v>1518</v>
      </c>
      <c r="E68" s="1142">
        <v>0.2</v>
      </c>
      <c r="F68" s="1157">
        <v>30</v>
      </c>
    </row>
    <row r="69" spans="1:6" s="1108" customFormat="1" ht="36">
      <c r="A69" s="1157">
        <v>9</v>
      </c>
      <c r="B69" s="3432"/>
      <c r="C69" s="1071" t="s">
        <v>1519</v>
      </c>
      <c r="D69" s="1071" t="s">
        <v>1520</v>
      </c>
      <c r="E69" s="1142">
        <v>0.2</v>
      </c>
      <c r="F69" s="1157">
        <v>30</v>
      </c>
    </row>
    <row r="70" spans="1:6" s="1108" customFormat="1" ht="48">
      <c r="A70" s="1157">
        <v>10</v>
      </c>
      <c r="B70" s="3432"/>
      <c r="C70" s="1071" t="s">
        <v>1521</v>
      </c>
      <c r="D70" s="1071" t="s">
        <v>1522</v>
      </c>
      <c r="E70" s="1142">
        <v>0.2</v>
      </c>
      <c r="F70" s="1157">
        <v>30</v>
      </c>
    </row>
    <row r="71" spans="1:6" s="1108" customFormat="1" ht="48">
      <c r="A71" s="1157">
        <v>11</v>
      </c>
      <c r="B71" s="3432"/>
      <c r="C71" s="1071" t="s">
        <v>1523</v>
      </c>
      <c r="D71" s="1071" t="s">
        <v>1524</v>
      </c>
      <c r="E71" s="1142">
        <v>0.2</v>
      </c>
      <c r="F71" s="1157">
        <v>30</v>
      </c>
    </row>
    <row r="72" spans="1:6" s="1108" customFormat="1" ht="36">
      <c r="A72" s="1157">
        <v>12</v>
      </c>
      <c r="B72" s="3432"/>
      <c r="C72" s="1071" t="s">
        <v>1525</v>
      </c>
      <c r="D72" s="1071" t="s">
        <v>1526</v>
      </c>
      <c r="E72" s="1142">
        <v>0.5</v>
      </c>
      <c r="F72" s="1157">
        <v>80</v>
      </c>
    </row>
    <row r="73" spans="1:6" s="1108" customFormat="1" ht="24">
      <c r="A73" s="1157">
        <v>13</v>
      </c>
      <c r="B73" s="3432"/>
      <c r="C73" s="1071" t="s">
        <v>1527</v>
      </c>
      <c r="D73" s="1071" t="s">
        <v>1528</v>
      </c>
      <c r="E73" s="1142">
        <v>0.4</v>
      </c>
      <c r="F73" s="1157">
        <v>60</v>
      </c>
    </row>
    <row r="74" spans="1:6" s="1108" customFormat="1" ht="24">
      <c r="A74" s="1157">
        <v>14</v>
      </c>
      <c r="B74" s="3432"/>
      <c r="C74" s="1071" t="s">
        <v>1529</v>
      </c>
      <c r="D74" s="1071" t="s">
        <v>1530</v>
      </c>
      <c r="E74" s="1142">
        <v>0.2</v>
      </c>
      <c r="F74" s="1157">
        <v>30</v>
      </c>
    </row>
    <row r="75" spans="1:6" s="1108" customFormat="1" ht="24">
      <c r="A75" s="1157">
        <v>15</v>
      </c>
      <c r="B75" s="3432"/>
      <c r="C75" s="1071" t="s">
        <v>1531</v>
      </c>
      <c r="D75" s="1071" t="s">
        <v>1532</v>
      </c>
      <c r="E75" s="1142">
        <v>0.2</v>
      </c>
      <c r="F75" s="1157">
        <v>30</v>
      </c>
    </row>
    <row r="76" spans="1:6" s="1108" customFormat="1" ht="24">
      <c r="A76" s="1157">
        <v>16</v>
      </c>
      <c r="B76" s="3432" t="s">
        <v>1533</v>
      </c>
      <c r="C76" s="1071" t="s">
        <v>1534</v>
      </c>
      <c r="D76" s="1071" t="s">
        <v>1535</v>
      </c>
      <c r="E76" s="1142">
        <v>0.5</v>
      </c>
      <c r="F76" s="1157">
        <v>80</v>
      </c>
    </row>
    <row r="77" spans="1:6" s="1108" customFormat="1" ht="24">
      <c r="A77" s="1157">
        <v>17</v>
      </c>
      <c r="B77" s="3432"/>
      <c r="C77" s="1071" t="s">
        <v>1536</v>
      </c>
      <c r="D77" s="1071" t="s">
        <v>1537</v>
      </c>
      <c r="E77" s="1142">
        <v>0.5</v>
      </c>
      <c r="F77" s="1157">
        <v>80</v>
      </c>
    </row>
    <row r="78" spans="1:6" s="1108" customFormat="1" ht="24">
      <c r="A78" s="1157">
        <v>18</v>
      </c>
      <c r="B78" s="3432"/>
      <c r="C78" s="1071" t="s">
        <v>1538</v>
      </c>
      <c r="D78" s="1071" t="s">
        <v>1539</v>
      </c>
      <c r="E78" s="1142">
        <v>0.2</v>
      </c>
      <c r="F78" s="1157">
        <v>30</v>
      </c>
    </row>
    <row r="79" spans="1:6" s="1108" customFormat="1" ht="24">
      <c r="A79" s="1157">
        <v>19</v>
      </c>
      <c r="B79" s="3432"/>
      <c r="C79" s="1071" t="s">
        <v>1540</v>
      </c>
      <c r="D79" s="1071" t="s">
        <v>1541</v>
      </c>
      <c r="E79" s="1142">
        <v>0.5</v>
      </c>
      <c r="F79" s="1157">
        <v>80</v>
      </c>
    </row>
    <row r="80" spans="1:6" s="1108" customFormat="1" ht="36">
      <c r="A80" s="1157">
        <v>20</v>
      </c>
      <c r="B80" s="3432"/>
      <c r="C80" s="1071" t="s">
        <v>1542</v>
      </c>
      <c r="D80" s="1071" t="s">
        <v>1543</v>
      </c>
      <c r="E80" s="1142">
        <v>0.2</v>
      </c>
      <c r="F80" s="1157">
        <v>30</v>
      </c>
    </row>
    <row r="81" spans="1:6" s="1108" customFormat="1" ht="36">
      <c r="A81" s="1157">
        <v>21</v>
      </c>
      <c r="B81" s="3432"/>
      <c r="C81" s="1071" t="s">
        <v>1544</v>
      </c>
      <c r="D81" s="1071" t="s">
        <v>1545</v>
      </c>
      <c r="E81" s="1142">
        <v>0.2</v>
      </c>
      <c r="F81" s="1157">
        <v>30</v>
      </c>
    </row>
    <row r="82" spans="1:6" s="1108" customFormat="1" ht="48">
      <c r="A82" s="1157">
        <v>22</v>
      </c>
      <c r="B82" s="3432"/>
      <c r="C82" s="1071" t="s">
        <v>1546</v>
      </c>
      <c r="D82" s="1071" t="s">
        <v>1547</v>
      </c>
      <c r="E82" s="1142">
        <v>0.2</v>
      </c>
      <c r="F82" s="1157">
        <v>30</v>
      </c>
    </row>
    <row r="83" spans="1:6" s="1108" customFormat="1" ht="48">
      <c r="A83" s="1157">
        <v>23</v>
      </c>
      <c r="B83" s="3432"/>
      <c r="C83" s="1071" t="s">
        <v>1548</v>
      </c>
      <c r="D83" s="1071" t="s">
        <v>1549</v>
      </c>
      <c r="E83" s="1142">
        <v>0.2</v>
      </c>
      <c r="F83" s="1157">
        <v>30</v>
      </c>
    </row>
    <row r="84" spans="1:6" s="1108" customFormat="1" ht="36">
      <c r="A84" s="1157">
        <v>24</v>
      </c>
      <c r="B84" s="3432"/>
      <c r="C84" s="1071" t="s">
        <v>1550</v>
      </c>
      <c r="D84" s="1071" t="s">
        <v>1551</v>
      </c>
      <c r="E84" s="1142">
        <v>0.2</v>
      </c>
      <c r="F84" s="1157">
        <v>30</v>
      </c>
    </row>
    <row r="85" spans="1:6" s="1108" customFormat="1" ht="36">
      <c r="A85" s="1157">
        <v>25</v>
      </c>
      <c r="B85" s="3432"/>
      <c r="C85" s="1071" t="s">
        <v>1552</v>
      </c>
      <c r="D85" s="1071" t="s">
        <v>1553</v>
      </c>
      <c r="E85" s="1142">
        <v>0.5</v>
      </c>
      <c r="F85" s="1157">
        <v>80</v>
      </c>
    </row>
    <row r="86" spans="1:6" s="1108" customFormat="1" ht="36">
      <c r="A86" s="1157">
        <v>26</v>
      </c>
      <c r="B86" s="3432"/>
      <c r="C86" s="1071" t="s">
        <v>1554</v>
      </c>
      <c r="D86" s="1071" t="s">
        <v>1555</v>
      </c>
      <c r="E86" s="1142">
        <v>0.2</v>
      </c>
      <c r="F86" s="1157">
        <v>30</v>
      </c>
    </row>
    <row r="87" spans="1:6" s="1108" customFormat="1" ht="36">
      <c r="A87" s="1157">
        <v>27</v>
      </c>
      <c r="B87" s="3432"/>
      <c r="C87" s="1071" t="s">
        <v>1556</v>
      </c>
      <c r="D87" s="1071" t="s">
        <v>1557</v>
      </c>
      <c r="E87" s="1142">
        <v>0.2</v>
      </c>
      <c r="F87" s="1157">
        <v>30</v>
      </c>
    </row>
    <row r="88" spans="1:6" s="1108" customFormat="1" ht="36">
      <c r="A88" s="1157">
        <v>28</v>
      </c>
      <c r="B88" s="3432"/>
      <c r="C88" s="1071" t="s">
        <v>1558</v>
      </c>
      <c r="D88" s="1071" t="s">
        <v>1559</v>
      </c>
      <c r="E88" s="1142">
        <v>0.2</v>
      </c>
      <c r="F88" s="1157">
        <v>30</v>
      </c>
    </row>
    <row r="89" spans="1:6" s="1108" customFormat="1" ht="24">
      <c r="A89" s="1157">
        <v>29</v>
      </c>
      <c r="B89" s="3432"/>
      <c r="C89" s="1071" t="s">
        <v>1560</v>
      </c>
      <c r="D89" s="1071" t="s">
        <v>1561</v>
      </c>
      <c r="E89" s="1142">
        <v>0.2</v>
      </c>
      <c r="F89" s="1157">
        <v>30</v>
      </c>
    </row>
    <row r="90" spans="1:6" s="1108" customFormat="1" ht="24">
      <c r="A90" s="1157">
        <v>30</v>
      </c>
      <c r="B90" s="3432"/>
      <c r="C90" s="1071" t="s">
        <v>1562</v>
      </c>
      <c r="D90" s="1071" t="s">
        <v>1563</v>
      </c>
      <c r="E90" s="1142">
        <v>0.2</v>
      </c>
      <c r="F90" s="1157">
        <v>30</v>
      </c>
    </row>
    <row r="91" spans="1:6" s="1108" customFormat="1" ht="36">
      <c r="A91" s="1157">
        <v>31</v>
      </c>
      <c r="B91" s="3432"/>
      <c r="C91" s="1071" t="s">
        <v>1564</v>
      </c>
      <c r="D91" s="1071" t="s">
        <v>1565</v>
      </c>
      <c r="E91" s="1142">
        <v>0.2</v>
      </c>
      <c r="F91" s="1157">
        <v>30</v>
      </c>
    </row>
    <row r="92" spans="1:6" s="1108" customFormat="1" ht="24">
      <c r="A92" s="1157">
        <v>32</v>
      </c>
      <c r="B92" s="3432" t="s">
        <v>1566</v>
      </c>
      <c r="C92" s="1157" t="s">
        <v>1567</v>
      </c>
      <c r="D92" s="1071" t="s">
        <v>1568</v>
      </c>
      <c r="E92" s="1142">
        <v>0.2</v>
      </c>
      <c r="F92" s="1157">
        <v>30</v>
      </c>
    </row>
    <row r="93" spans="1:6" s="1108" customFormat="1" ht="36">
      <c r="A93" s="1157">
        <v>33</v>
      </c>
      <c r="B93" s="3432"/>
      <c r="C93" s="1157" t="s">
        <v>1569</v>
      </c>
      <c r="D93" s="1071" t="s">
        <v>1570</v>
      </c>
      <c r="E93" s="1142">
        <v>0.2</v>
      </c>
      <c r="F93" s="1157">
        <v>30</v>
      </c>
    </row>
    <row r="94" spans="1:6" s="1108" customFormat="1" ht="48">
      <c r="A94" s="1157">
        <v>34</v>
      </c>
      <c r="B94" s="3432"/>
      <c r="C94" s="1157" t="s">
        <v>1571</v>
      </c>
      <c r="D94" s="1071" t="s">
        <v>1572</v>
      </c>
      <c r="E94" s="1142">
        <v>0.2</v>
      </c>
      <c r="F94" s="1157">
        <v>30</v>
      </c>
    </row>
    <row r="95" spans="1:6" s="1108" customFormat="1" ht="36">
      <c r="A95" s="1157">
        <v>35</v>
      </c>
      <c r="B95" s="3432"/>
      <c r="C95" s="1157" t="s">
        <v>1573</v>
      </c>
      <c r="D95" s="1071" t="s">
        <v>1574</v>
      </c>
      <c r="E95" s="1142">
        <v>0.2</v>
      </c>
      <c r="F95" s="1157">
        <v>30</v>
      </c>
    </row>
    <row r="96" spans="1:6" s="1108" customFormat="1" ht="48">
      <c r="A96" s="1157">
        <v>36</v>
      </c>
      <c r="B96" s="3432"/>
      <c r="C96" s="1071" t="s">
        <v>1575</v>
      </c>
      <c r="D96" s="1071" t="s">
        <v>1576</v>
      </c>
      <c r="E96" s="1142">
        <v>0.2</v>
      </c>
      <c r="F96" s="1157">
        <v>30</v>
      </c>
    </row>
    <row r="97" spans="1:6" s="1108" customFormat="1" ht="36">
      <c r="A97" s="1157">
        <v>37</v>
      </c>
      <c r="B97" s="3432"/>
      <c r="C97" s="1157" t="s">
        <v>1577</v>
      </c>
      <c r="D97" s="1071" t="s">
        <v>1578</v>
      </c>
      <c r="E97" s="1142">
        <v>0.2</v>
      </c>
      <c r="F97" s="1157">
        <v>30</v>
      </c>
    </row>
    <row r="98" spans="1:6" s="1108" customFormat="1" ht="36">
      <c r="A98" s="1157">
        <v>38</v>
      </c>
      <c r="B98" s="3432"/>
      <c r="C98" s="1157" t="s">
        <v>1579</v>
      </c>
      <c r="D98" s="1071" t="s">
        <v>1580</v>
      </c>
      <c r="E98" s="1142">
        <v>0.2</v>
      </c>
      <c r="F98" s="1157">
        <v>30</v>
      </c>
    </row>
    <row r="99" spans="1:6" s="1108" customFormat="1" ht="36">
      <c r="A99" s="1157">
        <v>39</v>
      </c>
      <c r="B99" s="3432" t="s">
        <v>1581</v>
      </c>
      <c r="C99" s="1157" t="s">
        <v>1582</v>
      </c>
      <c r="D99" s="1071" t="s">
        <v>1583</v>
      </c>
      <c r="E99" s="1142">
        <v>0.3</v>
      </c>
      <c r="F99" s="1157">
        <v>50</v>
      </c>
    </row>
    <row r="100" spans="1:6" s="1108" customFormat="1" ht="24">
      <c r="A100" s="1157">
        <v>40</v>
      </c>
      <c r="B100" s="3432"/>
      <c r="C100" s="1157" t="s">
        <v>1584</v>
      </c>
      <c r="D100" s="1071" t="s">
        <v>1585</v>
      </c>
      <c r="E100" s="1142">
        <v>0.2</v>
      </c>
      <c r="F100" s="1157">
        <v>30</v>
      </c>
    </row>
    <row r="101" spans="1:6" s="1108" customFormat="1" ht="36">
      <c r="A101" s="1157">
        <v>41</v>
      </c>
      <c r="B101" s="3432"/>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32" t="s">
        <v>1596</v>
      </c>
      <c r="C105" s="1157" t="s">
        <v>1597</v>
      </c>
      <c r="D105" s="1071" t="s">
        <v>1598</v>
      </c>
      <c r="E105" s="1142">
        <v>0.2</v>
      </c>
      <c r="F105" s="1157">
        <v>30</v>
      </c>
    </row>
    <row r="106" spans="1:6" s="1108" customFormat="1" ht="36">
      <c r="A106" s="1157">
        <v>46</v>
      </c>
      <c r="B106" s="3432"/>
      <c r="C106" s="1157" t="s">
        <v>1599</v>
      </c>
      <c r="D106" s="1071" t="s">
        <v>1600</v>
      </c>
      <c r="E106" s="1142">
        <v>0.2</v>
      </c>
      <c r="F106" s="1157">
        <v>30</v>
      </c>
    </row>
    <row r="107" spans="1:6" s="1108" customFormat="1" ht="36">
      <c r="A107" s="1157">
        <v>47</v>
      </c>
      <c r="B107" s="3432" t="s">
        <v>1601</v>
      </c>
      <c r="C107" s="1157" t="s">
        <v>1602</v>
      </c>
      <c r="D107" s="1071" t="s">
        <v>1603</v>
      </c>
      <c r="E107" s="1142">
        <v>0.3</v>
      </c>
      <c r="F107" s="1157">
        <v>50</v>
      </c>
    </row>
    <row r="108" spans="1:6" s="1108" customFormat="1" ht="36">
      <c r="A108" s="1157">
        <v>48</v>
      </c>
      <c r="B108" s="3432"/>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32" t="s">
        <v>1612</v>
      </c>
      <c r="C111" s="1157" t="s">
        <v>1613</v>
      </c>
      <c r="D111" s="1071" t="s">
        <v>1614</v>
      </c>
      <c r="E111" s="1142">
        <v>0.2</v>
      </c>
      <c r="F111" s="1157">
        <v>30</v>
      </c>
    </row>
    <row r="112" spans="1:6" s="1108" customFormat="1" ht="24">
      <c r="A112" s="1157">
        <v>52</v>
      </c>
      <c r="B112" s="3432"/>
      <c r="C112" s="1157" t="s">
        <v>1615</v>
      </c>
      <c r="D112" s="1071" t="s">
        <v>1616</v>
      </c>
      <c r="E112" s="1142">
        <v>0.2</v>
      </c>
      <c r="F112" s="1157">
        <v>30</v>
      </c>
    </row>
    <row r="113" spans="1:14" s="1108" customFormat="1" ht="24">
      <c r="A113" s="1157">
        <v>53</v>
      </c>
      <c r="B113" s="3432"/>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32" t="s">
        <v>1625</v>
      </c>
      <c r="C116" s="1157" t="s">
        <v>1626</v>
      </c>
      <c r="D116" s="1071" t="s">
        <v>1627</v>
      </c>
      <c r="E116" s="1142">
        <v>0.2</v>
      </c>
      <c r="F116" s="1157">
        <v>30</v>
      </c>
    </row>
    <row r="117" spans="1:14" ht="36">
      <c r="A117" s="1157">
        <v>57</v>
      </c>
      <c r="B117" s="3432"/>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31" t="s">
        <v>1634</v>
      </c>
      <c r="B121" s="3431"/>
      <c r="C121" s="3431"/>
      <c r="D121" s="3431"/>
      <c r="E121" s="3431"/>
      <c r="F121" s="3431"/>
      <c r="G121" s="3431"/>
      <c r="H121" s="3431"/>
      <c r="I121" s="3431"/>
      <c r="J121" s="343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4" t="s">
        <v>1040</v>
      </c>
      <c r="B1" s="3444"/>
      <c r="C1" s="3444"/>
      <c r="D1" s="3444"/>
      <c r="E1" s="3444"/>
      <c r="F1" s="3444"/>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45" t="s">
        <v>1053</v>
      </c>
      <c r="B2" s="3445"/>
      <c r="C2" s="3445"/>
      <c r="D2" s="3445"/>
      <c r="E2" s="3445"/>
      <c r="F2" s="3445"/>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46"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47"/>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48" t="s">
        <v>2081</v>
      </c>
      <c r="B1" s="3448"/>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2955</v>
      </c>
      <c r="B1" s="3140"/>
      <c r="C1" s="3140"/>
      <c r="D1" s="3140"/>
      <c r="E1" s="3140"/>
      <c r="F1" s="3140"/>
    </row>
    <row r="2" spans="1:6" ht="14.25">
      <c r="A2" s="3141" t="s">
        <v>2949</v>
      </c>
      <c r="B2" s="3142" t="e">
        <f ca="1">SUMIF(B7:B14,"&lt;&gt;#ref!",B7:B14)</f>
        <v>#DIV/0!</v>
      </c>
      <c r="C2" s="3141" t="s">
        <v>2950</v>
      </c>
      <c r="D2" s="3140"/>
      <c r="E2" s="3140"/>
      <c r="F2" s="3140"/>
    </row>
    <row r="3" spans="1:6" ht="14.25">
      <c r="A3" s="3141" t="s">
        <v>2952</v>
      </c>
      <c r="B3" s="3142" t="e">
        <f ca="1">ROUND(B2*10000/E3,0)</f>
        <v>#DIV/0!</v>
      </c>
      <c r="C3" s="3141" t="s">
        <v>2080</v>
      </c>
      <c r="D3" s="3141" t="s">
        <v>2951</v>
      </c>
      <c r="E3" s="3142" t="e">
        <f ca="1">SUM(E7:E14)</f>
        <v>#REF!</v>
      </c>
      <c r="F3" s="3140"/>
    </row>
    <row r="4" spans="1:6" ht="14.25">
      <c r="A4" s="3141" t="s">
        <v>2959</v>
      </c>
      <c r="B4" s="3142" t="e">
        <f ca="1">ROUND(B2*10000/E4,0)</f>
        <v>#DIV/0!</v>
      </c>
      <c r="C4" s="3141" t="s">
        <v>2080</v>
      </c>
      <c r="D4" s="3141" t="s">
        <v>2960</v>
      </c>
      <c r="E4" s="3142" t="e">
        <f ca="1">SUM(F7:F14)</f>
        <v>#REF!</v>
      </c>
      <c r="F4" s="3140"/>
    </row>
    <row r="5" spans="1:6" ht="14.25">
      <c r="A5" s="3143"/>
      <c r="B5" s="1886"/>
      <c r="C5" s="1886"/>
      <c r="D5" s="1886"/>
      <c r="E5" s="1886"/>
      <c r="F5" s="3140"/>
    </row>
    <row r="6" spans="1:6" ht="28.5">
      <c r="A6" s="3144" t="s">
        <v>2956</v>
      </c>
      <c r="B6" s="3141" t="s">
        <v>2953</v>
      </c>
      <c r="C6" s="3142"/>
      <c r="D6" s="1886"/>
      <c r="E6" s="3141" t="s">
        <v>2954</v>
      </c>
      <c r="F6" s="3141" t="s">
        <v>2958</v>
      </c>
    </row>
    <row r="7" spans="1:6" ht="14.25">
      <c r="A7" s="260" t="s">
        <v>2957</v>
      </c>
      <c r="B7" s="3145" t="e">
        <f ca="1">SUMIF(INDIRECT("'"&amp;A7&amp;"'"&amp;"!A:A"),"总价",INDIRECT("'"&amp;A7&amp;"'"&amp;"!B:B"))</f>
        <v>#DIV/0!</v>
      </c>
      <c r="C7" s="3141" t="s">
        <v>2950</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2950</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2950</v>
      </c>
      <c r="D9" s="1886"/>
      <c r="E9" s="3146" t="e">
        <f t="shared" ca="1" si="1"/>
        <v>#REF!</v>
      </c>
      <c r="F9" s="3146" t="e">
        <f t="shared" ca="1" si="2"/>
        <v>#REF!</v>
      </c>
    </row>
    <row r="10" spans="1:6" ht="14.25">
      <c r="A10" s="260"/>
      <c r="B10" s="3145" t="e">
        <f t="shared" ca="1" si="0"/>
        <v>#REF!</v>
      </c>
      <c r="C10" s="3141" t="s">
        <v>2950</v>
      </c>
      <c r="D10" s="1886"/>
      <c r="E10" s="3146" t="e">
        <f t="shared" ca="1" si="1"/>
        <v>#REF!</v>
      </c>
      <c r="F10" s="3146" t="e">
        <f t="shared" ca="1" si="2"/>
        <v>#REF!</v>
      </c>
    </row>
    <row r="11" spans="1:6" ht="14.25">
      <c r="A11" s="260"/>
      <c r="B11" s="3145" t="e">
        <f t="shared" ca="1" si="0"/>
        <v>#REF!</v>
      </c>
      <c r="C11" s="3141" t="s">
        <v>2950</v>
      </c>
      <c r="D11" s="1886"/>
      <c r="E11" s="3146" t="e">
        <f t="shared" ca="1" si="1"/>
        <v>#REF!</v>
      </c>
      <c r="F11" s="3146" t="e">
        <f t="shared" ca="1" si="2"/>
        <v>#REF!</v>
      </c>
    </row>
    <row r="12" spans="1:6" ht="14.25">
      <c r="A12" s="260"/>
      <c r="B12" s="3145" t="e">
        <f t="shared" ca="1" si="0"/>
        <v>#REF!</v>
      </c>
      <c r="C12" s="3141" t="s">
        <v>2950</v>
      </c>
      <c r="D12" s="1886"/>
      <c r="E12" s="3146" t="e">
        <f t="shared" ca="1" si="1"/>
        <v>#REF!</v>
      </c>
      <c r="F12" s="3146" t="e">
        <f t="shared" ca="1" si="2"/>
        <v>#REF!</v>
      </c>
    </row>
    <row r="13" spans="1:6" ht="14.25">
      <c r="A13" s="260"/>
      <c r="B13" s="3145" t="e">
        <f t="shared" ca="1" si="0"/>
        <v>#REF!</v>
      </c>
      <c r="C13" s="3141" t="s">
        <v>2950</v>
      </c>
      <c r="D13" s="1886"/>
      <c r="E13" s="3146" t="e">
        <f t="shared" ca="1" si="1"/>
        <v>#REF!</v>
      </c>
      <c r="F13" s="3146" t="e">
        <f t="shared" ca="1" si="2"/>
        <v>#REF!</v>
      </c>
    </row>
    <row r="14" spans="1:6" ht="14.25">
      <c r="A14" s="3139"/>
      <c r="B14" s="3145" t="e">
        <f t="shared" ca="1" si="0"/>
        <v>#REF!</v>
      </c>
      <c r="C14" s="3141" t="s">
        <v>2950</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50" t="s">
        <v>2467</v>
      </c>
      <c r="C8" s="1830">
        <f ca="1">ROUND(F8*F10*F9*(1-F11)/10000,0)</f>
        <v>0</v>
      </c>
      <c r="D8" s="1827" t="s">
        <v>2539</v>
      </c>
      <c r="E8" s="61" t="s">
        <v>638</v>
      </c>
      <c r="F8" s="788">
        <f ca="1">INDIRECT("'数据-取费表'!u"&amp;$G$1)</f>
        <v>0</v>
      </c>
      <c r="G8" s="1596"/>
      <c r="H8" s="2533" t="s">
        <v>1825</v>
      </c>
      <c r="I8" s="3450" t="s">
        <v>2467</v>
      </c>
      <c r="J8" s="786">
        <f ca="1">ROUND(M8*M10*M9*(1-M11)/10000,0)</f>
        <v>0</v>
      </c>
      <c r="K8" s="344" t="s">
        <v>2539</v>
      </c>
      <c r="L8" s="787" t="s">
        <v>1739</v>
      </c>
      <c r="M8" s="788">
        <f ca="1">INDIRECT("'数据-取费表'!z"&amp;$G$1)</f>
        <v>0</v>
      </c>
    </row>
    <row r="9" spans="1:25" ht="18" customHeight="1">
      <c r="A9" s="2529"/>
      <c r="B9" s="3451"/>
      <c r="C9" s="1831"/>
      <c r="D9" s="1828"/>
      <c r="E9" s="61" t="s">
        <v>639</v>
      </c>
      <c r="F9" s="788">
        <f ca="1">IF(INDIRECT("'数据-取费表'!ah"&amp;$G$1)="",INDIRECT("'数据-取费表'!k"&amp;$G$1),INDIRECT("'数据-取费表'!ah"&amp;$G$1))</f>
        <v>0</v>
      </c>
      <c r="G9" s="1596"/>
      <c r="H9" s="2518"/>
      <c r="I9" s="3451"/>
      <c r="J9" s="791"/>
      <c r="K9" s="792"/>
      <c r="L9" s="787" t="s">
        <v>1740</v>
      </c>
      <c r="M9" s="788">
        <f ca="1">F9</f>
        <v>0</v>
      </c>
    </row>
    <row r="10" spans="1:25" ht="18" customHeight="1">
      <c r="A10" s="2522"/>
      <c r="B10" s="3452"/>
      <c r="C10" s="1831"/>
      <c r="D10" s="1828"/>
      <c r="E10" s="61" t="s">
        <v>640</v>
      </c>
      <c r="F10" s="788">
        <f ca="1">INDIRECT("'数据-取费表'!ai"&amp;$G$1)</f>
        <v>0</v>
      </c>
      <c r="G10" s="1596"/>
      <c r="H10" s="2518"/>
      <c r="I10" s="3452"/>
      <c r="J10" s="791"/>
      <c r="K10" s="792"/>
      <c r="L10" s="787" t="s">
        <v>1741</v>
      </c>
      <c r="M10" s="788">
        <f ca="1">INDIRECT("'数据-取费表'!ai"&amp;$G$1)</f>
        <v>0</v>
      </c>
    </row>
    <row r="11" spans="1:25" ht="18" customHeight="1">
      <c r="A11" s="789"/>
      <c r="B11" s="3453"/>
      <c r="C11" s="1831"/>
      <c r="D11" s="1828"/>
      <c r="E11" s="61" t="s">
        <v>641</v>
      </c>
      <c r="F11" s="797">
        <f ca="1">INDIRECT("'数据-取费表'!w"&amp;$G$1)</f>
        <v>0</v>
      </c>
      <c r="G11" s="1596"/>
      <c r="H11" s="2534"/>
      <c r="I11" s="3452"/>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2831</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0.03</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0.03</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2828</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2829</v>
      </c>
      <c r="C31" s="2573">
        <f ca="1">ROUND((C21+C22+C25+C28)/(1-F23-C26-C29-C30),0)</f>
        <v>0</v>
      </c>
      <c r="D31" s="2574"/>
      <c r="E31" s="2575"/>
      <c r="F31" s="2576"/>
      <c r="G31" s="1597"/>
      <c r="H31" s="826" t="s">
        <v>1873</v>
      </c>
      <c r="I31" s="3043" t="s">
        <v>2830</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49"/>
      <c r="J36" s="2084"/>
      <c r="K36" s="2085"/>
      <c r="L36" s="2084"/>
      <c r="M36" s="2084"/>
    </row>
    <row r="37" spans="1:18" ht="18" customHeight="1">
      <c r="A37" s="818"/>
      <c r="B37" s="796"/>
      <c r="C37" s="69"/>
      <c r="D37" s="819"/>
      <c r="E37" s="787" t="s">
        <v>675</v>
      </c>
      <c r="F37" s="788">
        <f ca="1">INDIRECT("'数据-取费表'!r"&amp;$G$1)</f>
        <v>0</v>
      </c>
      <c r="G37" s="2067"/>
      <c r="H37" s="2070"/>
      <c r="I37" s="3449"/>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2968</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2971</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54"/>
      <c r="L54" s="3455"/>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2947</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56.25">
      <c r="A7" s="1800" t="s">
        <v>2753</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2946</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58" t="s">
        <v>2581</v>
      </c>
      <c r="C1" s="3458"/>
      <c r="D1" s="3458"/>
      <c r="E1" s="3458"/>
      <c r="F1" s="3458"/>
      <c r="G1" s="3457" t="s">
        <v>2582</v>
      </c>
      <c r="H1" s="3457"/>
      <c r="I1" s="3457"/>
      <c r="J1" s="3457"/>
      <c r="K1" s="3457"/>
      <c r="L1" s="3457"/>
      <c r="N1" s="3457" t="s">
        <v>2583</v>
      </c>
      <c r="O1" s="3457"/>
      <c r="P1" s="3457"/>
      <c r="Q1" s="3457"/>
      <c r="R1" s="2684"/>
      <c r="S1" s="3457" t="s">
        <v>2584</v>
      </c>
      <c r="T1" s="3457"/>
      <c r="U1" s="3457"/>
      <c r="V1" s="3457"/>
      <c r="X1" s="3456" t="s">
        <v>2645</v>
      </c>
      <c r="Y1" s="3457"/>
      <c r="Z1" s="3457"/>
      <c r="AA1" s="3457"/>
      <c r="AB1" s="3457"/>
      <c r="AD1" s="3456" t="s">
        <v>2650</v>
      </c>
      <c r="AE1" s="3457"/>
      <c r="AF1" s="3457"/>
      <c r="AG1" s="3457"/>
      <c r="AH1" s="3457"/>
    </row>
    <row r="2" spans="1:34" s="2786" customFormat="1" ht="14.25" thickBot="1">
      <c r="B2" s="2795" t="s">
        <v>2585</v>
      </c>
      <c r="C2" s="2795" t="s">
        <v>2648</v>
      </c>
      <c r="D2" s="2787" t="s">
        <v>1645</v>
      </c>
      <c r="E2" s="2787" t="s">
        <v>1952</v>
      </c>
      <c r="F2" s="2795" t="s">
        <v>2649</v>
      </c>
      <c r="G2" s="2790"/>
      <c r="H2" s="2789"/>
      <c r="I2" s="2795" t="s">
        <v>2962</v>
      </c>
      <c r="J2" s="2787" t="s">
        <v>2964</v>
      </c>
      <c r="K2" s="2787" t="s">
        <v>2965</v>
      </c>
      <c r="L2" s="2795" t="s">
        <v>2966</v>
      </c>
      <c r="N2" s="2795" t="s">
        <v>2585</v>
      </c>
      <c r="O2" s="2787" t="s">
        <v>2963</v>
      </c>
      <c r="P2" s="2787" t="s">
        <v>1952</v>
      </c>
      <c r="Q2" s="2795" t="s">
        <v>2649</v>
      </c>
      <c r="R2" s="2788"/>
      <c r="S2" s="2795" t="s">
        <v>2585</v>
      </c>
      <c r="T2" s="2787" t="s">
        <v>2963</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2974</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2973</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65">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60"/>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60"/>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61"/>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65">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60"/>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60"/>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61"/>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59">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60"/>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60"/>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61"/>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59">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60"/>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60"/>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61"/>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62">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63"/>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63"/>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64"/>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59">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60"/>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60"/>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61"/>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59">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60">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60">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61">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59">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60">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60">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61">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59">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60">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60">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61">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59">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60">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60">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61">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59">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60">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60">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61">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59">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60">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60">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61">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59">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60">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60">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61">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59">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60">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60">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61">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59">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60">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60">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61">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59">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60">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60">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61">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70" zoomScaleNormal="70" workbookViewId="0">
      <selection activeCell="D8" sqref="D8:D9"/>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3004</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949</v>
      </c>
      <c r="C2" s="2062"/>
      <c r="D2" s="2060"/>
      <c r="E2" s="2061"/>
      <c r="F2" s="2061"/>
      <c r="G2" s="1594"/>
      <c r="H2" s="2062"/>
      <c r="I2" s="2062"/>
      <c r="J2" s="2062"/>
      <c r="K2" s="2063"/>
      <c r="L2" s="2062"/>
      <c r="M2" s="2062"/>
    </row>
    <row r="3" spans="1:33" ht="18" customHeight="1" thickBot="1">
      <c r="A3" s="836" t="s">
        <v>1728</v>
      </c>
      <c r="B3" s="837">
        <f ca="1">IF(ISERROR(B2*10000/F43),0,ROUND(B2*10000/F43,0))</f>
        <v>3992</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62</v>
      </c>
      <c r="D5" s="2525" t="s">
        <v>2465</v>
      </c>
      <c r="E5" s="2519"/>
      <c r="F5" s="2520"/>
      <c r="G5" s="1596"/>
      <c r="H5" s="784">
        <v>1</v>
      </c>
      <c r="I5" s="785" t="s">
        <v>2462</v>
      </c>
      <c r="J5" s="55">
        <f ca="1">J6+J10+J12</f>
        <v>0</v>
      </c>
      <c r="K5" s="2525" t="s">
        <v>2465</v>
      </c>
      <c r="L5" s="2519"/>
      <c r="M5" s="2520"/>
    </row>
    <row r="6" spans="1:33" ht="18" customHeight="1">
      <c r="A6" s="1835" t="s">
        <v>1825</v>
      </c>
      <c r="B6" s="3450" t="s">
        <v>2467</v>
      </c>
      <c r="C6" s="786">
        <f ca="1">ROUND(F6*F8*F7*(1-F9)/10000,0)</f>
        <v>62</v>
      </c>
      <c r="D6" s="2526" t="s">
        <v>2466</v>
      </c>
      <c r="E6" s="787" t="s">
        <v>1739</v>
      </c>
      <c r="F6" s="788">
        <f ca="1">INDIRECT("'数据-取费表'!u"&amp;$G$1)</f>
        <v>0.8</v>
      </c>
      <c r="G6" s="1596"/>
      <c r="H6" s="2533" t="s">
        <v>2473</v>
      </c>
      <c r="I6" s="3450" t="s">
        <v>2467</v>
      </c>
      <c r="J6" s="786">
        <f ca="1">ROUND(M6*M8*M7*(1-M9)/10000,0)</f>
        <v>0</v>
      </c>
      <c r="K6" s="344" t="s">
        <v>1738</v>
      </c>
      <c r="L6" s="787" t="s">
        <v>1739</v>
      </c>
      <c r="M6" s="788">
        <f ca="1">INDIRECT("'数据-取费表'!z"&amp;$G$1)</f>
        <v>0</v>
      </c>
    </row>
    <row r="7" spans="1:33" ht="18" customHeight="1">
      <c r="A7" s="2529"/>
      <c r="B7" s="3451"/>
      <c r="C7" s="791"/>
      <c r="D7" s="792"/>
      <c r="E7" s="787" t="s">
        <v>1740</v>
      </c>
      <c r="F7" s="788">
        <f ca="1">IF(INDIRECT("'数据-取费表'!ah"&amp;$G$1)="",INDIRECT("'数据-取费表'!k"&amp;$G$1),INDIRECT("'数据-取费表'!ah"&amp;$G$1))</f>
        <v>2377.38</v>
      </c>
      <c r="G7" s="1596"/>
      <c r="H7" s="2518"/>
      <c r="I7" s="3451"/>
      <c r="J7" s="791"/>
      <c r="K7" s="792"/>
      <c r="L7" s="787" t="s">
        <v>1740</v>
      </c>
      <c r="M7" s="788">
        <f ca="1">F7</f>
        <v>2377.38</v>
      </c>
    </row>
    <row r="8" spans="1:33" ht="18" customHeight="1">
      <c r="A8" s="2522"/>
      <c r="B8" s="3452"/>
      <c r="C8" s="791"/>
      <c r="D8" s="792"/>
      <c r="E8" s="787" t="s">
        <v>1741</v>
      </c>
      <c r="F8" s="788">
        <f ca="1">INDIRECT("'数据-取费表'!ai"&amp;$G$1)</f>
        <v>365</v>
      </c>
      <c r="G8" s="1596"/>
      <c r="H8" s="2518"/>
      <c r="I8" s="3452"/>
      <c r="J8" s="791"/>
      <c r="K8" s="792"/>
      <c r="L8" s="787" t="s">
        <v>1741</v>
      </c>
      <c r="M8" s="788">
        <f ca="1">INDIRECT("'数据-取费表'!ai"&amp;$G$1)</f>
        <v>365</v>
      </c>
    </row>
    <row r="9" spans="1:33" ht="18" customHeight="1">
      <c r="A9" s="789"/>
      <c r="B9" s="3453"/>
      <c r="C9" s="791"/>
      <c r="D9" s="792"/>
      <c r="E9" s="787" t="s">
        <v>1742</v>
      </c>
      <c r="F9" s="797">
        <f ca="1">INDIRECT("'数据-取费表'!w"&amp;$G$1)</f>
        <v>0.1</v>
      </c>
      <c r="G9" s="1596"/>
      <c r="H9" s="2534"/>
      <c r="I9" s="3452"/>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3180</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711</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475</v>
      </c>
      <c r="D14" s="1984" t="s">
        <v>1746</v>
      </c>
      <c r="E14" s="1985"/>
      <c r="F14" s="808"/>
      <c r="G14" s="1596"/>
      <c r="H14" s="1653" t="s">
        <v>1831</v>
      </c>
      <c r="I14" s="2236" t="s">
        <v>2832</v>
      </c>
      <c r="J14" s="53">
        <f ca="1">C29</f>
        <v>711</v>
      </c>
      <c r="K14" s="26"/>
      <c r="L14" s="804"/>
      <c r="M14" s="805"/>
    </row>
    <row r="15" spans="1:33" s="2069" customFormat="1" ht="18" customHeight="1" thickBot="1">
      <c r="A15" s="1652" t="s">
        <v>1886</v>
      </c>
      <c r="B15" s="787" t="s">
        <v>648</v>
      </c>
      <c r="C15" s="53">
        <f ca="1">ROUND(C14*F15,0)</f>
        <v>19</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19</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8</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7</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549</v>
      </c>
      <c r="D19" s="261" t="s">
        <v>1758</v>
      </c>
      <c r="E19" s="1987"/>
      <c r="F19" s="56"/>
      <c r="G19" s="1596"/>
      <c r="H19" s="1652" t="s">
        <v>1886</v>
      </c>
      <c r="I19" s="787" t="s">
        <v>1759</v>
      </c>
      <c r="J19" s="53">
        <f ca="1">IF(K19="按租金收入计税",ROUND(J5*M19,1),ROUND(C29*F33*0.7,1))</f>
        <v>6</v>
      </c>
      <c r="K19" s="814" t="s">
        <v>666</v>
      </c>
      <c r="L19" s="787" t="s">
        <v>1748</v>
      </c>
      <c r="M19" s="812">
        <f>IF(K19="按租金收入计税",'数据-取费表'!B51,'数据-取费表'!B50)</f>
        <v>1.2E-2</v>
      </c>
    </row>
    <row r="20" spans="1:33" s="2069" customFormat="1" ht="18" customHeight="1">
      <c r="A20" s="1653" t="s">
        <v>1890</v>
      </c>
      <c r="B20" s="787" t="s">
        <v>667</v>
      </c>
      <c r="C20" s="53">
        <f ca="1">ROUND(C19*F20,0)</f>
        <v>16</v>
      </c>
      <c r="D20" s="815" t="s">
        <v>1760</v>
      </c>
      <c r="E20" s="787" t="s">
        <v>1748</v>
      </c>
      <c r="F20" s="812">
        <f>'数据-取费表'!B37</f>
        <v>0.03</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0.03</v>
      </c>
      <c r="G21" s="1597"/>
      <c r="H21" s="2535"/>
      <c r="I21" s="796"/>
      <c r="J21" s="69"/>
      <c r="K21" s="819"/>
      <c r="L21" s="787" t="s">
        <v>1767</v>
      </c>
      <c r="M21" s="788">
        <f ca="1">INDIRECT("'数据-取费表'!r"&amp;$G$1)</f>
        <v>1030.47</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11</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27</v>
      </c>
      <c r="D23" s="2600"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2828</v>
      </c>
      <c r="J25" s="795">
        <f ca="1">J5-J16</f>
        <v>-19</v>
      </c>
      <c r="K25" s="2577" t="s">
        <v>1778</v>
      </c>
      <c r="L25" s="2578"/>
      <c r="M25" s="2579"/>
    </row>
    <row r="26" spans="1:33" ht="18" customHeight="1">
      <c r="A26" s="1652" t="s">
        <v>1832</v>
      </c>
      <c r="B26" s="787" t="s">
        <v>2441</v>
      </c>
      <c r="C26" s="53">
        <f ca="1">ROUND((C19+C20)*F26,0)</f>
        <v>57</v>
      </c>
      <c r="D26" s="815" t="s">
        <v>1779</v>
      </c>
      <c r="E26" s="798" t="s">
        <v>1780</v>
      </c>
      <c r="F26" s="797">
        <f ca="1">INDIRECT("'数据-取费表'!q"&amp;$G$1)</f>
        <v>0.1</v>
      </c>
      <c r="G26" s="1596"/>
      <c r="H26" s="2531" t="s">
        <v>1781</v>
      </c>
      <c r="I26" s="2237" t="s">
        <v>2833</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3.0000000000000001E-3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711</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24</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10.8</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3.3</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1.5</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1030.47</v>
      </c>
      <c r="G35" s="2067"/>
      <c r="H35" s="2070"/>
      <c r="I35" s="840" t="s">
        <v>1815</v>
      </c>
      <c r="J35" s="841">
        <f ca="1">ROUND(C13*J36,0)</f>
        <v>57</v>
      </c>
      <c r="K35" s="2083"/>
      <c r="L35" s="2082"/>
      <c r="M35" s="2082"/>
    </row>
    <row r="36" spans="1:18" ht="18" customHeight="1">
      <c r="A36" s="1653" t="s">
        <v>1890</v>
      </c>
      <c r="B36" s="787" t="s">
        <v>1803</v>
      </c>
      <c r="C36" s="53">
        <f ca="1">ROUND(C29*F36,1)</f>
        <v>10.7</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1.1000000000000001</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1.2</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2828</v>
      </c>
      <c r="C39" s="795">
        <f ca="1">C5-C30</f>
        <v>38</v>
      </c>
      <c r="D39" s="2577" t="s">
        <v>1807</v>
      </c>
      <c r="E39" s="2578"/>
      <c r="F39" s="2579"/>
      <c r="G39" s="2067"/>
      <c r="H39" s="2082"/>
      <c r="I39" s="840" t="s">
        <v>1819</v>
      </c>
      <c r="J39" s="848">
        <f ca="1">ROUND(J35/C39,3)</f>
        <v>1.5</v>
      </c>
      <c r="K39" s="2088"/>
      <c r="L39" s="2082"/>
      <c r="M39" s="2082"/>
    </row>
    <row r="40" spans="1:18" ht="18" customHeight="1">
      <c r="A40" s="784" t="s">
        <v>1896</v>
      </c>
      <c r="B40" s="2237" t="s">
        <v>2303</v>
      </c>
      <c r="C40" s="786">
        <f ca="1">ROUND(C39*(1-((1+F42)/(1+F40))^F41)/(F40-F42),0)</f>
        <v>949</v>
      </c>
      <c r="D40" s="817" t="s">
        <v>1808</v>
      </c>
      <c r="E40" s="787" t="s">
        <v>2422</v>
      </c>
      <c r="F40" s="797">
        <f ca="1">INDIRECT("'数据-取费表'!I"&amp;$G$1)</f>
        <v>0.05</v>
      </c>
      <c r="G40" s="2067"/>
      <c r="H40" s="2067"/>
      <c r="I40" s="840" t="s">
        <v>1820</v>
      </c>
      <c r="J40" s="848">
        <f ca="1">1-J39</f>
        <v>-0.5</v>
      </c>
      <c r="K40" s="2088"/>
      <c r="L40" s="2067"/>
      <c r="M40" s="2067"/>
    </row>
    <row r="41" spans="1:18" ht="18" customHeight="1">
      <c r="A41" s="789"/>
      <c r="B41" s="790"/>
      <c r="C41" s="791"/>
      <c r="D41" s="824" t="s">
        <v>1809</v>
      </c>
      <c r="E41" s="787" t="s">
        <v>2970</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0.02</v>
      </c>
      <c r="G42" s="2067"/>
      <c r="H42" s="1993"/>
      <c r="I42" s="850" t="s">
        <v>1822</v>
      </c>
      <c r="J42" s="848">
        <f ca="1">ROUND(C13/C40,3)</f>
        <v>0.749</v>
      </c>
      <c r="K42" s="2087"/>
      <c r="L42" s="1993"/>
      <c r="M42" s="1993"/>
    </row>
    <row r="43" spans="1:18" ht="18" customHeight="1" thickBot="1">
      <c r="A43" s="826" t="s">
        <v>1788</v>
      </c>
      <c r="B43" s="827" t="s">
        <v>1811</v>
      </c>
      <c r="C43" s="828">
        <f ca="1">ROUND(C40*10000/F43,0)</f>
        <v>3992</v>
      </c>
      <c r="D43" s="829" t="s">
        <v>1812</v>
      </c>
      <c r="E43" s="830" t="s">
        <v>1813</v>
      </c>
      <c r="F43" s="831">
        <f ca="1">INDIRECT("'数据-取费表'!k"&amp;$G$1)</f>
        <v>2377.38</v>
      </c>
      <c r="G43" s="2067"/>
      <c r="H43" s="1993"/>
      <c r="I43" s="850" t="s">
        <v>1823</v>
      </c>
      <c r="J43" s="851">
        <f ca="1">1-J42</f>
        <v>0.251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-1292</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3022</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949</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711</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-368</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66" t="s">
        <v>2972</v>
      </c>
      <c r="L53" s="3467"/>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949</v>
      </c>
      <c r="R54" s="2432" t="s">
        <v>2395</v>
      </c>
    </row>
    <row r="55" spans="1:18" s="2064" customFormat="1" ht="18" customHeight="1" thickTop="1" thickBot="1">
      <c r="A55" s="800">
        <v>2</v>
      </c>
      <c r="B55" s="801" t="s">
        <v>645</v>
      </c>
      <c r="C55" s="802">
        <f ca="1">C13</f>
        <v>711</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711</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19</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949</v>
      </c>
      <c r="R57" s="2428" t="s">
        <v>2383</v>
      </c>
    </row>
    <row r="58" spans="1:18" s="2064" customFormat="1" ht="28.5" customHeight="1" thickBot="1">
      <c r="A58" s="1653" t="s">
        <v>1825</v>
      </c>
      <c r="B58" s="787" t="s">
        <v>657</v>
      </c>
      <c r="C58" s="53">
        <f ca="1">ROUND(IF(项目基本情况!B11="自然人",C47*F58,C59+C60+C61),1)</f>
        <v>7.5</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1.5</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1030.47</v>
      </c>
      <c r="I62" s="2414" t="s">
        <v>2370</v>
      </c>
      <c r="J62" s="2415" t="s">
        <v>2371</v>
      </c>
      <c r="K62" s="2415" t="s">
        <v>2372</v>
      </c>
      <c r="L62" s="2415" t="s">
        <v>2353</v>
      </c>
      <c r="M62" s="3135" t="s">
        <v>2947</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10.7</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949</v>
      </c>
      <c r="R63" s="2432" t="s">
        <v>2395</v>
      </c>
    </row>
    <row r="64" spans="1:18" s="2064" customFormat="1" ht="16.5" thickBot="1">
      <c r="A64" s="1653" t="s">
        <v>1891</v>
      </c>
      <c r="B64" s="787" t="s">
        <v>680</v>
      </c>
      <c r="C64" s="53">
        <f ca="1">ROUND(C55*F64,1)</f>
        <v>1.1000000000000001</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2828</v>
      </c>
      <c r="C66" s="802">
        <f ca="1">C47-C57</f>
        <v>-19</v>
      </c>
      <c r="D66" s="2668" t="s">
        <v>701</v>
      </c>
      <c r="E66" s="2667"/>
      <c r="F66" s="823"/>
      <c r="K66" s="2091"/>
      <c r="O66" s="2427" t="s">
        <v>2382</v>
      </c>
      <c r="P66" s="2428" t="s">
        <v>2412</v>
      </c>
      <c r="Q66" s="2429">
        <f ca="1">C40+J29</f>
        <v>949</v>
      </c>
      <c r="R66" s="2428" t="s">
        <v>2383</v>
      </c>
    </row>
    <row r="67" spans="1:18" s="2064" customFormat="1" ht="20.25" thickBot="1">
      <c r="A67" s="784" t="s">
        <v>1781</v>
      </c>
      <c r="B67" s="2237" t="s">
        <v>2303</v>
      </c>
      <c r="C67" s="786">
        <f ca="1">ROUND(C66*(1-((1+F69)/(1+F67))^F68)/(F67-F69),0)</f>
        <v>-343</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-368</v>
      </c>
      <c r="R68" s="2435" t="s">
        <v>2419</v>
      </c>
    </row>
    <row r="69" spans="1:18" ht="20.25" thickBot="1">
      <c r="A69" s="793"/>
      <c r="B69" s="794"/>
      <c r="C69" s="795"/>
      <c r="D69" s="819"/>
      <c r="E69" s="787" t="s">
        <v>711</v>
      </c>
      <c r="F69" s="2376"/>
      <c r="O69" s="2430" t="s">
        <v>2387</v>
      </c>
      <c r="P69" s="2436" t="s">
        <v>2401</v>
      </c>
      <c r="Q69" s="2429">
        <f ca="1">ROUND(Q70-Q71*Q72,0)</f>
        <v>-19</v>
      </c>
      <c r="R69" s="2432"/>
    </row>
    <row r="70" spans="1:18" ht="15.75" thickBot="1">
      <c r="A70" s="826" t="s">
        <v>1788</v>
      </c>
      <c r="B70" s="827" t="s">
        <v>1811</v>
      </c>
      <c r="C70" s="828">
        <f ca="1">ROUND(C67*10000/F70,0)</f>
        <v>-1443</v>
      </c>
      <c r="D70" s="829" t="s">
        <v>1812</v>
      </c>
      <c r="E70" s="830" t="s">
        <v>1813</v>
      </c>
      <c r="F70" s="831">
        <f ca="1">F43</f>
        <v>2377.38</v>
      </c>
      <c r="O70" s="2430" t="s">
        <v>2402</v>
      </c>
      <c r="P70" s="2436" t="s">
        <v>2403</v>
      </c>
      <c r="Q70" s="2429">
        <f ca="1">C39</f>
        <v>38</v>
      </c>
      <c r="R70" s="2428" t="s">
        <v>2383</v>
      </c>
    </row>
    <row r="71" spans="1:18" ht="15.75" thickBot="1">
      <c r="O71" s="2430" t="s">
        <v>2404</v>
      </c>
      <c r="P71" s="2436" t="s">
        <v>2405</v>
      </c>
      <c r="Q71" s="2429">
        <f ca="1">C13</f>
        <v>711</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949</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2476</v>
      </c>
      <c r="B1" s="3485"/>
      <c r="C1" s="3486"/>
      <c r="D1" s="3487">
        <f>SUM(I10,I15,I20,I21,I23)</f>
        <v>0</v>
      </c>
      <c r="E1" s="3487"/>
      <c r="F1" s="3487"/>
      <c r="G1" s="3487"/>
      <c r="H1" s="3487"/>
      <c r="I1" s="3488"/>
    </row>
    <row r="2" spans="1:9">
      <c r="A2" s="3474" t="s">
        <v>2477</v>
      </c>
      <c r="B2" s="3475" t="s">
        <v>2478</v>
      </c>
      <c r="C2" s="3475"/>
      <c r="D2" s="2536" t="s">
        <v>2479</v>
      </c>
      <c r="E2" s="2536" t="s">
        <v>2480</v>
      </c>
      <c r="F2" s="2536" t="s">
        <v>2481</v>
      </c>
      <c r="G2" s="2536" t="s">
        <v>2482</v>
      </c>
      <c r="H2" s="2536" t="s">
        <v>2483</v>
      </c>
      <c r="I2" s="2537" t="s">
        <v>2484</v>
      </c>
    </row>
    <row r="3" spans="1:9">
      <c r="A3" s="3474"/>
      <c r="B3" s="3475" t="s">
        <v>2485</v>
      </c>
      <c r="C3" s="3475"/>
      <c r="D3" s="2538"/>
      <c r="E3" s="2536"/>
      <c r="F3" s="2539"/>
      <c r="G3" s="2539"/>
      <c r="H3" s="2540"/>
      <c r="I3" s="2541">
        <f>ROUND(D3*E3*F3*G3*H3/10000,0)</f>
        <v>0</v>
      </c>
    </row>
    <row r="4" spans="1:9">
      <c r="A4" s="3474"/>
      <c r="B4" s="3475" t="s">
        <v>2486</v>
      </c>
      <c r="C4" s="3475"/>
      <c r="D4" s="2538"/>
      <c r="E4" s="2536"/>
      <c r="F4" s="2539"/>
      <c r="G4" s="2539"/>
      <c r="H4" s="2540"/>
      <c r="I4" s="2541">
        <f t="shared" ref="I4:I9" si="0">ROUND(D4*E4*F4*G4*H4/10000,0)</f>
        <v>0</v>
      </c>
    </row>
    <row r="5" spans="1:9">
      <c r="A5" s="3474"/>
      <c r="B5" s="3475" t="s">
        <v>2487</v>
      </c>
      <c r="C5" s="3475"/>
      <c r="D5" s="2538"/>
      <c r="E5" s="2536"/>
      <c r="F5" s="2539"/>
      <c r="G5" s="2539"/>
      <c r="H5" s="2540"/>
      <c r="I5" s="2541">
        <f t="shared" si="0"/>
        <v>0</v>
      </c>
    </row>
    <row r="6" spans="1:9">
      <c r="A6" s="3474"/>
      <c r="B6" s="3475" t="s">
        <v>2488</v>
      </c>
      <c r="C6" s="3475"/>
      <c r="D6" s="2538"/>
      <c r="E6" s="2536"/>
      <c r="F6" s="2539"/>
      <c r="G6" s="2539"/>
      <c r="H6" s="2540"/>
      <c r="I6" s="2541">
        <f t="shared" si="0"/>
        <v>0</v>
      </c>
    </row>
    <row r="7" spans="1:9">
      <c r="A7" s="3474"/>
      <c r="B7" s="3475" t="s">
        <v>2489</v>
      </c>
      <c r="C7" s="3475"/>
      <c r="D7" s="2538"/>
      <c r="E7" s="2536"/>
      <c r="F7" s="2539"/>
      <c r="G7" s="2539"/>
      <c r="H7" s="2540"/>
      <c r="I7" s="2541">
        <f t="shared" si="0"/>
        <v>0</v>
      </c>
    </row>
    <row r="8" spans="1:9">
      <c r="A8" s="3474"/>
      <c r="B8" s="3475" t="s">
        <v>2490</v>
      </c>
      <c r="C8" s="3475"/>
      <c r="D8" s="2538"/>
      <c r="E8" s="2536"/>
      <c r="F8" s="2539"/>
      <c r="G8" s="2539"/>
      <c r="H8" s="2540"/>
      <c r="I8" s="2541">
        <f t="shared" si="0"/>
        <v>0</v>
      </c>
    </row>
    <row r="9" spans="1:9">
      <c r="A9" s="3474"/>
      <c r="B9" s="3475" t="s">
        <v>2491</v>
      </c>
      <c r="C9" s="3475"/>
      <c r="D9" s="2538"/>
      <c r="E9" s="2536"/>
      <c r="F9" s="2539"/>
      <c r="G9" s="2539"/>
      <c r="H9" s="2540"/>
      <c r="I9" s="2541">
        <f t="shared" si="0"/>
        <v>0</v>
      </c>
    </row>
    <row r="10" spans="1:9">
      <c r="A10" s="3474"/>
      <c r="B10" s="3476" t="s">
        <v>2492</v>
      </c>
      <c r="C10" s="3476"/>
      <c r="D10" s="2542">
        <v>527</v>
      </c>
      <c r="E10" s="2542" t="e">
        <f>ROUND(D1*10000/D10/H9,0)</f>
        <v>#DIV/0!</v>
      </c>
      <c r="F10" s="2543"/>
      <c r="G10" s="2543"/>
      <c r="H10" s="2544"/>
      <c r="I10" s="2545">
        <f>SUM(I3:I9)</f>
        <v>0</v>
      </c>
    </row>
    <row r="11" spans="1:9" ht="14.25">
      <c r="A11" s="3474" t="s">
        <v>2493</v>
      </c>
      <c r="B11" s="3475" t="s">
        <v>2494</v>
      </c>
      <c r="C11" s="3475"/>
      <c r="D11" s="2538" t="s">
        <v>2495</v>
      </c>
      <c r="E11" s="2538" t="s">
        <v>2496</v>
      </c>
      <c r="F11" s="2539" t="s">
        <v>2497</v>
      </c>
      <c r="G11" s="2539" t="s">
        <v>2498</v>
      </c>
      <c r="H11" s="2546" t="s">
        <v>2499</v>
      </c>
      <c r="I11" s="2537" t="s">
        <v>2500</v>
      </c>
    </row>
    <row r="12" spans="1:9">
      <c r="A12" s="3474"/>
      <c r="B12" s="3475" t="s">
        <v>2501</v>
      </c>
      <c r="C12" s="3475"/>
      <c r="D12" s="2538"/>
      <c r="E12" s="2538"/>
      <c r="F12" s="2539"/>
      <c r="G12" s="2540"/>
      <c r="H12" s="2547"/>
      <c r="I12" s="2537">
        <f>ROUND(D12*E12*F12*G12/10000,0)</f>
        <v>0</v>
      </c>
    </row>
    <row r="13" spans="1:9">
      <c r="A13" s="3474"/>
      <c r="B13" s="3475" t="s">
        <v>2502</v>
      </c>
      <c r="C13" s="3475"/>
      <c r="D13" s="2538"/>
      <c r="E13" s="2538"/>
      <c r="F13" s="2539"/>
      <c r="G13" s="2540"/>
      <c r="H13" s="2547"/>
      <c r="I13" s="2537">
        <f>ROUND(D13*E13*F13*G13/10000,0)</f>
        <v>0</v>
      </c>
    </row>
    <row r="14" spans="1:9">
      <c r="A14" s="3474"/>
      <c r="B14" s="3475" t="s">
        <v>2503</v>
      </c>
      <c r="C14" s="3475"/>
      <c r="D14" s="2538"/>
      <c r="E14" s="2538"/>
      <c r="F14" s="2539"/>
      <c r="G14" s="2540"/>
      <c r="H14" s="2547"/>
      <c r="I14" s="2537">
        <f>ROUND(D14*E14*F14*G14/10000,0)</f>
        <v>0</v>
      </c>
    </row>
    <row r="15" spans="1:9">
      <c r="A15" s="3474"/>
      <c r="B15" s="3476" t="s">
        <v>2492</v>
      </c>
      <c r="C15" s="3476"/>
      <c r="D15" s="2542"/>
      <c r="E15" s="2542">
        <f>SUM(E12:E14)</f>
        <v>0</v>
      </c>
      <c r="F15" s="2543"/>
      <c r="G15" s="2540"/>
      <c r="H15" s="2547"/>
      <c r="I15" s="2548">
        <f>SUM(I12:I14)</f>
        <v>0</v>
      </c>
    </row>
    <row r="16" spans="1:9" ht="24">
      <c r="A16" s="3474" t="s">
        <v>2504</v>
      </c>
      <c r="B16" s="3475" t="s">
        <v>2505</v>
      </c>
      <c r="C16" s="3475"/>
      <c r="D16" s="2538" t="s">
        <v>2506</v>
      </c>
      <c r="E16" s="2549" t="s">
        <v>2507</v>
      </c>
      <c r="F16" s="2539" t="s">
        <v>2508</v>
      </c>
      <c r="G16" s="2540" t="s">
        <v>2498</v>
      </c>
      <c r="H16" s="2546" t="s">
        <v>2499</v>
      </c>
      <c r="I16" s="2537" t="s">
        <v>2500</v>
      </c>
    </row>
    <row r="17" spans="1:9" ht="14.25">
      <c r="A17" s="3474"/>
      <c r="B17" s="3475" t="s">
        <v>2509</v>
      </c>
      <c r="C17" s="3475"/>
      <c r="D17" s="2538"/>
      <c r="E17" s="2538"/>
      <c r="F17" s="2539"/>
      <c r="G17" s="2540"/>
      <c r="H17" s="2550"/>
      <c r="I17" s="2551">
        <f>ROUND(D17*E17*F17*G17/10000,0)</f>
        <v>0</v>
      </c>
    </row>
    <row r="18" spans="1:9" ht="14.25">
      <c r="A18" s="3474"/>
      <c r="B18" s="3475" t="s">
        <v>2510</v>
      </c>
      <c r="C18" s="3475"/>
      <c r="D18" s="2538"/>
      <c r="E18" s="2538"/>
      <c r="F18" s="2539"/>
      <c r="G18" s="2540"/>
      <c r="H18" s="2550"/>
      <c r="I18" s="2551">
        <f>ROUND(D18*E18*F18*G18/10000,0)</f>
        <v>0</v>
      </c>
    </row>
    <row r="19" spans="1:9" ht="14.25">
      <c r="A19" s="3474"/>
      <c r="B19" s="3475" t="s">
        <v>2511</v>
      </c>
      <c r="C19" s="3475"/>
      <c r="D19" s="2538"/>
      <c r="E19" s="2538"/>
      <c r="F19" s="2539"/>
      <c r="G19" s="2540"/>
      <c r="H19" s="2550"/>
      <c r="I19" s="2551">
        <f>ROUND(D19*E19*F19*G19/10000,0)</f>
        <v>0</v>
      </c>
    </row>
    <row r="20" spans="1:9">
      <c r="A20" s="3474"/>
      <c r="B20" s="3476" t="s">
        <v>2492</v>
      </c>
      <c r="C20" s="3476"/>
      <c r="D20" s="2542">
        <f>SUM(D17:D19)</f>
        <v>0</v>
      </c>
      <c r="E20" s="2542"/>
      <c r="F20" s="2543"/>
      <c r="G20" s="2540"/>
      <c r="H20" s="2547"/>
      <c r="I20" s="2548">
        <f>SUM(I17:I19)</f>
        <v>0</v>
      </c>
    </row>
    <row r="21" spans="1:9">
      <c r="A21" s="3474" t="s">
        <v>2512</v>
      </c>
      <c r="B21" s="3477"/>
      <c r="C21" s="3477"/>
      <c r="D21" s="3477"/>
      <c r="E21" s="3477"/>
      <c r="F21" s="3477"/>
      <c r="G21" s="3477"/>
      <c r="H21" s="2552">
        <v>0.1</v>
      </c>
      <c r="I21" s="2545">
        <f>ROUND(I10*H21,0)</f>
        <v>0</v>
      </c>
    </row>
    <row r="22" spans="1:9" ht="14.25">
      <c r="A22" s="3478" t="s">
        <v>2513</v>
      </c>
      <c r="B22" s="3479"/>
      <c r="C22" s="3480"/>
      <c r="D22" s="2553" t="s">
        <v>2514</v>
      </c>
      <c r="E22" s="2553" t="s">
        <v>2515</v>
      </c>
      <c r="F22" s="2554" t="s">
        <v>2516</v>
      </c>
      <c r="G22" s="2554" t="s">
        <v>2517</v>
      </c>
      <c r="H22" s="2546" t="s">
        <v>2518</v>
      </c>
      <c r="I22" s="2537" t="s">
        <v>2519</v>
      </c>
    </row>
    <row r="23" spans="1:9" ht="14.25" thickBot="1">
      <c r="A23" s="3481"/>
      <c r="B23" s="3482"/>
      <c r="C23" s="3483"/>
      <c r="D23" s="2555"/>
      <c r="E23" s="2555"/>
      <c r="F23" s="2555"/>
      <c r="G23" s="2556"/>
      <c r="H23" s="2557"/>
      <c r="I23" s="2558">
        <f>ROUND(E23*D23*F23*(1-G23)/10000,0)</f>
        <v>0</v>
      </c>
    </row>
    <row r="26" spans="1:9">
      <c r="A26" s="2559" t="s">
        <v>2520</v>
      </c>
      <c r="B26" s="2559"/>
      <c r="C26" s="2559"/>
      <c r="D26" s="2559"/>
      <c r="E26" s="3471">
        <f>C27-C30-C31-C32</f>
        <v>0</v>
      </c>
      <c r="F26" s="3471"/>
      <c r="G26" s="3471"/>
      <c r="H26" s="3075" t="s">
        <v>2849</v>
      </c>
    </row>
    <row r="27" spans="1:9">
      <c r="A27" s="2560">
        <v>1</v>
      </c>
      <c r="B27" s="2561" t="s">
        <v>2521</v>
      </c>
      <c r="C27" s="2561"/>
      <c r="D27" s="2561"/>
      <c r="E27" s="3472"/>
      <c r="F27" s="3472"/>
      <c r="G27" s="3472"/>
    </row>
    <row r="28" spans="1:9">
      <c r="A28" s="2562" t="s">
        <v>2522</v>
      </c>
      <c r="B28" s="2561" t="s">
        <v>2523</v>
      </c>
      <c r="C28" s="2561"/>
      <c r="D28" s="2561"/>
      <c r="E28" s="3472"/>
      <c r="F28" s="3472"/>
      <c r="G28" s="3472"/>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73"/>
      <c r="F32" s="3473"/>
      <c r="G32" s="3473"/>
    </row>
    <row r="33" spans="1:7" hidden="1">
      <c r="A33" s="3468" t="s">
        <v>2531</v>
      </c>
      <c r="B33" s="3469"/>
      <c r="C33" s="3469"/>
      <c r="D33" s="3470"/>
      <c r="E33" s="3471"/>
      <c r="F33" s="3471"/>
      <c r="G33" s="3471"/>
    </row>
    <row r="34" spans="1:7" hidden="1">
      <c r="A34" s="2564">
        <v>1</v>
      </c>
      <c r="B34" s="2561" t="s">
        <v>2532</v>
      </c>
      <c r="C34" s="2561"/>
      <c r="D34" s="2561"/>
      <c r="E34" s="3472"/>
      <c r="F34" s="3472"/>
      <c r="G34" s="3472"/>
    </row>
    <row r="35" spans="1:7" hidden="1">
      <c r="A35" s="2564">
        <v>2</v>
      </c>
      <c r="B35" s="2561" t="s">
        <v>2533</v>
      </c>
      <c r="C35" s="2561"/>
      <c r="D35" s="2561"/>
      <c r="E35" s="3472"/>
      <c r="F35" s="3472"/>
      <c r="G35" s="3472"/>
    </row>
    <row r="36" spans="1:7" hidden="1">
      <c r="A36" s="2564">
        <v>3</v>
      </c>
      <c r="B36" s="2561" t="s">
        <v>2534</v>
      </c>
      <c r="C36" s="2561"/>
      <c r="D36" s="2561"/>
      <c r="E36" s="3472"/>
      <c r="F36" s="3472"/>
      <c r="G36" s="3472"/>
    </row>
    <row r="37" spans="1:7" hidden="1">
      <c r="A37" s="2564">
        <v>4</v>
      </c>
      <c r="B37" s="2561" t="s">
        <v>2535</v>
      </c>
      <c r="C37" s="2561"/>
      <c r="D37" s="2561"/>
      <c r="E37" s="3472"/>
      <c r="F37" s="3472"/>
      <c r="G37" s="3472"/>
    </row>
    <row r="38" spans="1:7" hidden="1">
      <c r="A38" s="3468" t="s">
        <v>2536</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17860.72</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78</v>
      </c>
      <c r="D13" s="761">
        <f>'数据-汇总表'!E6</f>
        <v>3551.0400000000009</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0.19</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0.94499999999999995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70" zoomScaleNormal="70" workbookViewId="0">
      <selection activeCell="B27" sqref="B27"/>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3112</v>
      </c>
      <c r="D1" s="3162" t="s">
        <v>952</v>
      </c>
      <c r="E1" s="2416" t="s">
        <v>870</v>
      </c>
      <c r="F1" s="2417">
        <f ca="1">J53</f>
        <v>37.72</v>
      </c>
      <c r="G1" s="777">
        <f>MATCH(C1,'数据-取费表'!A6:A16,0)+5</f>
        <v>8</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467</v>
      </c>
      <c r="B2" s="778">
        <f ca="1">C40+J29+L46</f>
        <v>1918</v>
      </c>
      <c r="C2" s="2062"/>
      <c r="D2" s="2060"/>
      <c r="E2" s="2061"/>
      <c r="F2" s="2061"/>
      <c r="G2" s="1594"/>
      <c r="H2" s="2062"/>
      <c r="I2" s="2062"/>
      <c r="J2" s="2062"/>
      <c r="K2" s="2063"/>
      <c r="L2" s="2062"/>
      <c r="M2" s="2062"/>
    </row>
    <row r="3" spans="1:33" ht="18" customHeight="1" thickBot="1">
      <c r="A3" s="836" t="s">
        <v>520</v>
      </c>
      <c r="B3" s="837">
        <f ca="1">IF(ISERROR(B2*10000/F43),0,ROUND(B2*10000/F43,0))</f>
        <v>16342</v>
      </c>
      <c r="C3" s="2062"/>
      <c r="D3" s="2060"/>
      <c r="E3" s="2061"/>
      <c r="F3" s="2061"/>
      <c r="G3" s="1594"/>
      <c r="H3" s="779" t="s">
        <v>696</v>
      </c>
      <c r="I3" s="1366"/>
      <c r="J3" s="1366"/>
      <c r="K3" s="1595"/>
      <c r="L3" s="1366"/>
      <c r="M3" s="1366"/>
    </row>
    <row r="4" spans="1:33" ht="18" customHeight="1">
      <c r="A4" s="780" t="s">
        <v>631</v>
      </c>
      <c r="B4" s="781" t="s">
        <v>632</v>
      </c>
      <c r="C4" s="781" t="s">
        <v>633</v>
      </c>
      <c r="D4" s="781" t="s">
        <v>634</v>
      </c>
      <c r="E4" s="782" t="s">
        <v>635</v>
      </c>
      <c r="F4" s="783"/>
      <c r="G4" s="1596"/>
      <c r="H4" s="780" t="s">
        <v>631</v>
      </c>
      <c r="I4" s="781" t="s">
        <v>632</v>
      </c>
      <c r="J4" s="781" t="s">
        <v>633</v>
      </c>
      <c r="K4" s="781" t="s">
        <v>634</v>
      </c>
      <c r="L4" s="782" t="s">
        <v>635</v>
      </c>
      <c r="M4" s="783"/>
    </row>
    <row r="5" spans="1:33" ht="18" customHeight="1">
      <c r="A5" s="784">
        <v>1</v>
      </c>
      <c r="B5" s="785" t="s">
        <v>2462</v>
      </c>
      <c r="C5" s="55">
        <f ca="1">C6+C10+C12</f>
        <v>108</v>
      </c>
      <c r="D5" s="2525" t="s">
        <v>2465</v>
      </c>
      <c r="E5" s="2519"/>
      <c r="F5" s="2520"/>
      <c r="G5" s="1596"/>
      <c r="H5" s="784">
        <v>1</v>
      </c>
      <c r="I5" s="785" t="s">
        <v>2462</v>
      </c>
      <c r="J5" s="55">
        <f ca="1">J6+J10+J12</f>
        <v>0</v>
      </c>
      <c r="K5" s="2525" t="s">
        <v>2465</v>
      </c>
      <c r="L5" s="2519"/>
      <c r="M5" s="2520"/>
    </row>
    <row r="6" spans="1:33" ht="18" customHeight="1">
      <c r="A6" s="1835" t="s">
        <v>1825</v>
      </c>
      <c r="B6" s="3450" t="s">
        <v>2467</v>
      </c>
      <c r="C6" s="786">
        <f ca="1">ROUND(F6*F8*F7*(1-F9)/10000,0)</f>
        <v>108</v>
      </c>
      <c r="D6" s="2526" t="s">
        <v>2466</v>
      </c>
      <c r="E6" s="787" t="s">
        <v>638</v>
      </c>
      <c r="F6" s="788">
        <f ca="1">INDIRECT("'数据-取费表'!u"&amp;$G$1)</f>
        <v>2.8</v>
      </c>
      <c r="G6" s="1596"/>
      <c r="H6" s="2533" t="s">
        <v>1825</v>
      </c>
      <c r="I6" s="3450" t="s">
        <v>2467</v>
      </c>
      <c r="J6" s="786">
        <f ca="1">ROUND(M6*M8*M7*(1-M9)/10000,0)</f>
        <v>0</v>
      </c>
      <c r="K6" s="344" t="s">
        <v>637</v>
      </c>
      <c r="L6" s="787" t="s">
        <v>638</v>
      </c>
      <c r="M6" s="788">
        <f ca="1">INDIRECT("'数据-取费表'!z"&amp;$G$1)</f>
        <v>0</v>
      </c>
    </row>
    <row r="7" spans="1:33" ht="18" customHeight="1">
      <c r="A7" s="2529"/>
      <c r="B7" s="3451"/>
      <c r="C7" s="791"/>
      <c r="D7" s="792"/>
      <c r="E7" s="787" t="s">
        <v>639</v>
      </c>
      <c r="F7" s="788">
        <f ca="1">IF(INDIRECT("'数据-取费表'!ah"&amp;$G$1)="",INDIRECT("'数据-取费表'!k"&amp;$G$1),INDIRECT("'数据-取费表'!ah"&amp;$G$1))</f>
        <v>1173.6600000000001</v>
      </c>
      <c r="G7" s="1596"/>
      <c r="H7" s="2518"/>
      <c r="I7" s="3451"/>
      <c r="J7" s="791"/>
      <c r="K7" s="792"/>
      <c r="L7" s="787" t="s">
        <v>639</v>
      </c>
      <c r="M7" s="788">
        <f ca="1">F7</f>
        <v>1173.6600000000001</v>
      </c>
    </row>
    <row r="8" spans="1:33" ht="18" customHeight="1">
      <c r="A8" s="2522"/>
      <c r="B8" s="3452"/>
      <c r="C8" s="791"/>
      <c r="D8" s="792"/>
      <c r="E8" s="787" t="s">
        <v>640</v>
      </c>
      <c r="F8" s="788">
        <f ca="1">INDIRECT("'数据-取费表'!ai"&amp;$G$1)</f>
        <v>365</v>
      </c>
      <c r="G8" s="1596"/>
      <c r="H8" s="2518"/>
      <c r="I8" s="3452"/>
      <c r="J8" s="791"/>
      <c r="K8" s="792"/>
      <c r="L8" s="787" t="s">
        <v>640</v>
      </c>
      <c r="M8" s="788">
        <f ca="1">INDIRECT("'数据-取费表'!ai"&amp;$G$1)</f>
        <v>365</v>
      </c>
    </row>
    <row r="9" spans="1:33" ht="18" customHeight="1">
      <c r="A9" s="789"/>
      <c r="B9" s="3453"/>
      <c r="C9" s="791"/>
      <c r="D9" s="792"/>
      <c r="E9" s="787" t="s">
        <v>641</v>
      </c>
      <c r="F9" s="797">
        <f ca="1">INDIRECT("'数据-取费表'!w"&amp;$G$1)</f>
        <v>0.1</v>
      </c>
      <c r="G9" s="1596"/>
      <c r="H9" s="2534"/>
      <c r="I9" s="3452"/>
      <c r="J9" s="791"/>
      <c r="K9" s="792"/>
      <c r="L9" s="798" t="s">
        <v>641</v>
      </c>
      <c r="M9" s="799">
        <f ca="1">INDIRECT("'数据-取费表'!ab"&amp;$G$1)</f>
        <v>0</v>
      </c>
    </row>
    <row r="10" spans="1:33" ht="18" customHeight="1">
      <c r="A10" s="1835" t="s">
        <v>1826</v>
      </c>
      <c r="B10" s="2523" t="s">
        <v>2463</v>
      </c>
      <c r="C10" s="802">
        <f ca="1">ROUND(IF(F10="押一",F6*F8*F7/12*F11,IF(F10="押二",F6*F8*F7/12*2*F11,IF(F10="押三",F6*F8*F7/12*3*F11,C11*F11)))/10000,0)</f>
        <v>0</v>
      </c>
      <c r="D10" s="2530" t="s">
        <v>2470</v>
      </c>
      <c r="E10" s="2527" t="s">
        <v>2468</v>
      </c>
      <c r="F10" s="2650" t="s">
        <v>3055</v>
      </c>
      <c r="G10" s="1596"/>
      <c r="H10" s="2590" t="s">
        <v>1826</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2460</v>
      </c>
      <c r="F11" s="799">
        <f ca="1">'数据-取费表'!B39</f>
        <v>1.4999999999999999E-2</v>
      </c>
      <c r="G11" s="1596"/>
      <c r="H11" s="2591"/>
      <c r="I11" s="2524" t="s">
        <v>2578</v>
      </c>
      <c r="J11" s="2528"/>
      <c r="K11" s="2592"/>
      <c r="L11" s="2527" t="s">
        <v>2460</v>
      </c>
      <c r="M11" s="2521">
        <f ca="1">'数据-取费表'!B39</f>
        <v>1.4999999999999999E-2</v>
      </c>
    </row>
    <row r="12" spans="1:33" ht="18" customHeight="1" thickBot="1">
      <c r="A12" s="2566" t="s">
        <v>2472</v>
      </c>
      <c r="B12" s="2567" t="s">
        <v>2464</v>
      </c>
      <c r="C12" s="2568"/>
      <c r="D12" s="2569"/>
      <c r="E12" s="2570"/>
      <c r="F12" s="2571"/>
      <c r="G12" s="1596"/>
      <c r="H12" s="2580" t="s">
        <v>2472</v>
      </c>
      <c r="I12" s="2593" t="s">
        <v>2464</v>
      </c>
      <c r="J12" s="2594"/>
      <c r="K12" s="2569"/>
      <c r="L12" s="2570"/>
      <c r="M12" s="2583"/>
    </row>
    <row r="13" spans="1:33" ht="18" customHeight="1" thickTop="1">
      <c r="A13" s="1834">
        <v>2</v>
      </c>
      <c r="B13" s="1832" t="s">
        <v>645</v>
      </c>
      <c r="C13" s="795">
        <f ca="1">ROUND(C29*F13,0)</f>
        <v>489</v>
      </c>
      <c r="D13" s="1839" t="s">
        <v>2299</v>
      </c>
      <c r="E13" s="1839" t="s">
        <v>644</v>
      </c>
      <c r="F13" s="2565">
        <f ca="1">INDIRECT("'数据-取费表'!y"&amp;$G$1)</f>
        <v>1</v>
      </c>
      <c r="G13" s="1596"/>
      <c r="H13" s="1834">
        <v>2</v>
      </c>
      <c r="I13" s="1832" t="s">
        <v>645</v>
      </c>
      <c r="J13" s="1824">
        <f ca="1">ROUND(J14*J15,0)</f>
        <v>0</v>
      </c>
      <c r="K13" s="1826" t="s">
        <v>643</v>
      </c>
      <c r="L13" s="2581"/>
      <c r="M13" s="2582"/>
    </row>
    <row r="14" spans="1:33" ht="18" customHeight="1">
      <c r="A14" s="1652" t="s">
        <v>1832</v>
      </c>
      <c r="B14" s="787" t="s">
        <v>646</v>
      </c>
      <c r="C14" s="807">
        <f ca="1">INDIRECT("'数据-取费表'!m"&amp;$G$1)+INDIRECT("'数据-取费表'!t"&amp;$G$1)</f>
        <v>293</v>
      </c>
      <c r="D14" s="3200" t="s">
        <v>647</v>
      </c>
      <c r="E14" s="3199"/>
      <c r="F14" s="808"/>
      <c r="G14" s="1596"/>
      <c r="H14" s="1653" t="s">
        <v>1825</v>
      </c>
      <c r="I14" s="2236" t="s">
        <v>2831</v>
      </c>
      <c r="J14" s="53">
        <f ca="1">C29</f>
        <v>489</v>
      </c>
      <c r="K14" s="26"/>
      <c r="L14" s="804"/>
      <c r="M14" s="805"/>
    </row>
    <row r="15" spans="1:33" s="2069" customFormat="1" ht="18" customHeight="1" thickBot="1">
      <c r="A15" s="1652" t="s">
        <v>1833</v>
      </c>
      <c r="B15" s="787" t="s">
        <v>648</v>
      </c>
      <c r="C15" s="53">
        <f ca="1">ROUND(C14*F15,0)</f>
        <v>12</v>
      </c>
      <c r="D15" s="809" t="s">
        <v>649</v>
      </c>
      <c r="E15" s="809" t="s">
        <v>650</v>
      </c>
      <c r="F15" s="810">
        <f>'数据-取费表'!B33</f>
        <v>0.04</v>
      </c>
      <c r="G15" s="1597"/>
      <c r="H15" s="2580" t="s">
        <v>1890</v>
      </c>
      <c r="I15" s="2575" t="s">
        <v>644</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1834</v>
      </c>
      <c r="B16" s="787" t="s">
        <v>651</v>
      </c>
      <c r="C16" s="53">
        <f ca="1">ROUND(INDIRECT("'数据-取费表'!m"&amp;$G$1)*F16,0)</f>
        <v>0</v>
      </c>
      <c r="D16" s="787" t="s">
        <v>649</v>
      </c>
      <c r="E16" s="787" t="s">
        <v>650</v>
      </c>
      <c r="F16" s="812">
        <f ca="1">IF(INDIRECT("'数据-取费表'!c"&amp;$G$1)="住宅",'数据-取费表'!B34,0)</f>
        <v>0</v>
      </c>
      <c r="G16" s="1596"/>
      <c r="H16" s="1834" t="s">
        <v>1749</v>
      </c>
      <c r="I16" s="1832" t="s">
        <v>652</v>
      </c>
      <c r="J16" s="795">
        <f ca="1">ROUND(J17+J22+J23+J24,0)</f>
        <v>12</v>
      </c>
      <c r="K16" s="1826" t="s">
        <v>653</v>
      </c>
      <c r="L16" s="3202"/>
      <c r="M16" s="2520"/>
    </row>
    <row r="17" spans="1:33" s="2069" customFormat="1" ht="18" customHeight="1">
      <c r="A17" s="1652" t="s">
        <v>1888</v>
      </c>
      <c r="B17" s="787" t="s">
        <v>654</v>
      </c>
      <c r="C17" s="53">
        <f ca="1">ROUND(F17*(F43+INDIRECT("'数据-取费表'!S"&amp;$G$1))/10000,0)</f>
        <v>23</v>
      </c>
      <c r="D17" s="787" t="s">
        <v>655</v>
      </c>
      <c r="E17" s="787" t="s">
        <v>656</v>
      </c>
      <c r="F17" s="56">
        <f>'数据-取费表'!B35</f>
        <v>200</v>
      </c>
      <c r="G17" s="1597"/>
      <c r="H17" s="1653" t="s">
        <v>1825</v>
      </c>
      <c r="I17" s="787" t="s">
        <v>657</v>
      </c>
      <c r="J17" s="53">
        <f ca="1">ROUND(IF(项目基本情况!B11="自然人",J5*M17,J18+J19+J20),0)</f>
        <v>5</v>
      </c>
      <c r="K17" s="3200" t="s">
        <v>658</v>
      </c>
      <c r="L17" s="3201" t="s">
        <v>659</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4</v>
      </c>
      <c r="D18" s="787" t="s">
        <v>649</v>
      </c>
      <c r="E18" s="787" t="s">
        <v>650</v>
      </c>
      <c r="F18" s="812">
        <f>'数据-取费表'!B36</f>
        <v>1.4999999999999999E-2</v>
      </c>
      <c r="G18" s="1597"/>
      <c r="H18" s="1652" t="s">
        <v>1832</v>
      </c>
      <c r="I18" s="787" t="s">
        <v>661</v>
      </c>
      <c r="J18" s="53">
        <f ca="1">ROUND(J5*M18/1.05,1)</f>
        <v>0</v>
      </c>
      <c r="K18" s="3201" t="s">
        <v>662</v>
      </c>
      <c r="L18" s="787" t="s">
        <v>650</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1825</v>
      </c>
      <c r="B19" s="787" t="s">
        <v>663</v>
      </c>
      <c r="C19" s="53">
        <f ca="1">SUM(C14:C18)</f>
        <v>332</v>
      </c>
      <c r="D19" s="261" t="s">
        <v>664</v>
      </c>
      <c r="E19" s="3203"/>
      <c r="F19" s="56"/>
      <c r="G19" s="1596"/>
      <c r="H19" s="1652" t="s">
        <v>1833</v>
      </c>
      <c r="I19" s="787" t="s">
        <v>665</v>
      </c>
      <c r="J19" s="53">
        <f ca="1">IF(K19="按租金收入计税",ROUND(J5*M19,1),ROUND(C29*F33*0.7,1))</f>
        <v>4.0999999999999996</v>
      </c>
      <c r="K19" s="814" t="s">
        <v>666</v>
      </c>
      <c r="L19" s="787" t="s">
        <v>650</v>
      </c>
      <c r="M19" s="812">
        <f>IF(K19="按租金收入计税",'数据-取费表'!B51,'数据-取费表'!B50)</f>
        <v>1.2E-2</v>
      </c>
    </row>
    <row r="20" spans="1:33" s="2069" customFormat="1" ht="18" customHeight="1">
      <c r="A20" s="1653" t="s">
        <v>1890</v>
      </c>
      <c r="B20" s="787" t="s">
        <v>667</v>
      </c>
      <c r="C20" s="53">
        <f ca="1">ROUND(C19*F20,0)</f>
        <v>10</v>
      </c>
      <c r="D20" s="815" t="s">
        <v>668</v>
      </c>
      <c r="E20" s="787" t="s">
        <v>650</v>
      </c>
      <c r="F20" s="812">
        <f>'数据-取费表'!B37</f>
        <v>0.03</v>
      </c>
      <c r="G20" s="1597"/>
      <c r="H20" s="1655" t="s">
        <v>1834</v>
      </c>
      <c r="I20" s="344" t="s">
        <v>669</v>
      </c>
      <c r="J20" s="54">
        <f ca="1">ROUND(M20*M21/10000,0)</f>
        <v>1</v>
      </c>
      <c r="K20" s="817" t="s">
        <v>670</v>
      </c>
      <c r="L20" s="787" t="s">
        <v>671</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672</v>
      </c>
      <c r="C21" s="53" t="s">
        <v>1765</v>
      </c>
      <c r="D21" s="815" t="s">
        <v>2300</v>
      </c>
      <c r="E21" s="787" t="s">
        <v>674</v>
      </c>
      <c r="F21" s="812">
        <f>'数据-取费表'!B38</f>
        <v>0.03</v>
      </c>
      <c r="G21" s="1597"/>
      <c r="H21" s="2535"/>
      <c r="I21" s="796"/>
      <c r="J21" s="69"/>
      <c r="K21" s="819"/>
      <c r="L21" s="787" t="s">
        <v>675</v>
      </c>
      <c r="M21" s="788">
        <f ca="1">INDIRECT("'数据-取费表'!r"&amp;$G$1)</f>
        <v>508.72</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676</v>
      </c>
      <c r="C22" s="53"/>
      <c r="D22" s="2601" t="str">
        <f>IF(F23&lt;=1,"单利计息。","复利计息。")&amp;"建造成本、管理费用、销售费用产生的利息。"</f>
        <v>复利计息。建造成本、管理费用、销售费用产生的利息。</v>
      </c>
      <c r="E22" s="3203"/>
      <c r="F22" s="56"/>
      <c r="G22" s="1596"/>
      <c r="H22" s="1653" t="s">
        <v>1890</v>
      </c>
      <c r="I22" s="787" t="s">
        <v>677</v>
      </c>
      <c r="J22" s="53">
        <f ca="1">ROUND(J14*M22,0)</f>
        <v>7</v>
      </c>
      <c r="K22" s="3201" t="s">
        <v>678</v>
      </c>
      <c r="L22" s="787" t="s">
        <v>650</v>
      </c>
      <c r="M22" s="820">
        <f ca="1">INDIRECT("'数据-取费表'!Ak"&amp;$G$1)</f>
        <v>1.4999999999999999E-2</v>
      </c>
    </row>
    <row r="23" spans="1:33" s="2069" customFormat="1" ht="18" customHeight="1">
      <c r="A23" s="1652" t="s">
        <v>1832</v>
      </c>
      <c r="B23" s="787" t="s">
        <v>2440</v>
      </c>
      <c r="C23" s="53">
        <f ca="1">ROUND(IF('数据-取费表'!B22&lt;=1,(C19+C20)*F24*F23/2,(C19+C20)*(POWER((1+F24),F23/2)-1)),0)</f>
        <v>16</v>
      </c>
      <c r="D23" s="2600" t="str">
        <f>IF(F23&lt;=1,"(建造成本+管理费用)×利率×(建设周期÷2)","(建造成本+管理费用)×((1+利率)^(建设周期÷2)-1)")</f>
        <v>(建造成本+管理费用)×((1+利率)^(建设周期÷2)-1)</v>
      </c>
      <c r="E23" s="787" t="s">
        <v>679</v>
      </c>
      <c r="F23" s="643">
        <f>'数据-取费表'!B20</f>
        <v>2</v>
      </c>
      <c r="G23" s="1597"/>
      <c r="H23" s="1653" t="s">
        <v>1891</v>
      </c>
      <c r="I23" s="787" t="s">
        <v>680</v>
      </c>
      <c r="J23" s="53">
        <f ca="1">ROUND(J13*M23,0)</f>
        <v>0</v>
      </c>
      <c r="K23" s="3201" t="s">
        <v>681</v>
      </c>
      <c r="L23" s="787" t="s">
        <v>650</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682</v>
      </c>
      <c r="C24" s="53">
        <f ca="1">ROUND(IF('数据-取费表'!B22&lt;=1,F21*F24*F23/2,F21*(POWER((1+F24),F23/2)-1)),4)</f>
        <v>1.4E-3</v>
      </c>
      <c r="D24" s="2600" t="str">
        <f>IF(F23&lt;=1,"销售费用×利率×(建设周期÷2)","销售费用×((1+利率)^(建设周期÷2)-1)")</f>
        <v>销售费用×((1+利率)^(建设周期÷2)-1)</v>
      </c>
      <c r="E24" s="787" t="s">
        <v>683</v>
      </c>
      <c r="F24" s="822">
        <f ca="1">'数据-取费表'!B40</f>
        <v>4.7500000000000001E-2</v>
      </c>
      <c r="G24" s="1597"/>
      <c r="H24" s="2580" t="s">
        <v>1892</v>
      </c>
      <c r="I24" s="2575" t="s">
        <v>667</v>
      </c>
      <c r="J24" s="2573">
        <f ca="1">ROUND(J5*M24,0)</f>
        <v>0</v>
      </c>
      <c r="K24" s="2574" t="s">
        <v>684</v>
      </c>
      <c r="L24" s="2575" t="s">
        <v>650</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686</v>
      </c>
      <c r="E25" s="3203"/>
      <c r="F25" s="56"/>
      <c r="G25" s="1596"/>
      <c r="H25" s="1834" t="s">
        <v>1777</v>
      </c>
      <c r="I25" s="3041" t="s">
        <v>2828</v>
      </c>
      <c r="J25" s="795">
        <f ca="1">J5-J16</f>
        <v>-12</v>
      </c>
      <c r="K25" s="2577" t="s">
        <v>701</v>
      </c>
      <c r="L25" s="2578"/>
      <c r="M25" s="2579"/>
    </row>
    <row r="26" spans="1:33" ht="18" customHeight="1">
      <c r="A26" s="1652" t="s">
        <v>1832</v>
      </c>
      <c r="B26" s="787" t="s">
        <v>2441</v>
      </c>
      <c r="C26" s="53">
        <f ca="1">ROUND((C19+C20)*F26,0)</f>
        <v>86</v>
      </c>
      <c r="D26" s="815" t="s">
        <v>702</v>
      </c>
      <c r="E26" s="798" t="s">
        <v>703</v>
      </c>
      <c r="F26" s="797">
        <f ca="1">INDIRECT("'数据-取费表'!q"&amp;$G$1)</f>
        <v>0.25</v>
      </c>
      <c r="G26" s="1596"/>
      <c r="H26" s="2531" t="s">
        <v>1781</v>
      </c>
      <c r="I26" s="2237" t="s">
        <v>2833</v>
      </c>
      <c r="J26" s="786">
        <f ca="1">IF(J5&lt;&gt;0,ROUND(J25*(1-((1+M28)/(1+M26))^M27)/(M26-M28),0),0)</f>
        <v>0</v>
      </c>
      <c r="K26" s="817" t="s">
        <v>705</v>
      </c>
      <c r="L26" s="787" t="s">
        <v>2422</v>
      </c>
      <c r="M26" s="797">
        <f ca="1">INDIRECT("'数据-取费表'!I"&amp;$G$1)</f>
        <v>0.06</v>
      </c>
    </row>
    <row r="27" spans="1:33" ht="18" customHeight="1">
      <c r="A27" s="1652" t="s">
        <v>1833</v>
      </c>
      <c r="B27" s="787" t="s">
        <v>687</v>
      </c>
      <c r="C27" s="53">
        <f ca="1">ROUND(F21*F26,4)</f>
        <v>7.4999999999999997E-3</v>
      </c>
      <c r="D27" s="815" t="s">
        <v>707</v>
      </c>
      <c r="E27" s="809"/>
      <c r="F27" s="810"/>
      <c r="G27" s="1596"/>
      <c r="H27" s="2532"/>
      <c r="I27" s="790"/>
      <c r="J27" s="791"/>
      <c r="K27" s="824" t="s">
        <v>708</v>
      </c>
      <c r="L27" s="787" t="s">
        <v>709</v>
      </c>
      <c r="M27" s="825">
        <f ca="1">INDIRECT("'数据-取费表'!ag"&amp;$G$1)</f>
        <v>0</v>
      </c>
    </row>
    <row r="28" spans="1:33" s="2069" customFormat="1" ht="18" customHeight="1">
      <c r="A28" s="1654" t="s">
        <v>1842</v>
      </c>
      <c r="B28" s="787" t="s">
        <v>688</v>
      </c>
      <c r="C28" s="53">
        <f>ROUND(F28/(1+'数据-取费表'!C42),4)</f>
        <v>5.33E-2</v>
      </c>
      <c r="D28" s="815" t="s">
        <v>2301</v>
      </c>
      <c r="E28" s="787" t="s">
        <v>650</v>
      </c>
      <c r="F28" s="812">
        <f>'数据-取费表'!B41</f>
        <v>5.6000000000000001E-2</v>
      </c>
      <c r="G28" s="1597"/>
      <c r="H28" s="1834"/>
      <c r="I28" s="794"/>
      <c r="J28" s="795"/>
      <c r="K28" s="819"/>
      <c r="L28" s="787" t="s">
        <v>711</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489</v>
      </c>
      <c r="D29" s="2574"/>
      <c r="E29" s="2575"/>
      <c r="F29" s="2576"/>
      <c r="G29" s="1597"/>
      <c r="H29" s="826" t="s">
        <v>1788</v>
      </c>
      <c r="I29" s="827" t="s">
        <v>1789</v>
      </c>
      <c r="J29" s="828">
        <f ca="1">ROUND(J26/(1+F40)^F41,0)</f>
        <v>0</v>
      </c>
      <c r="K29" s="829" t="s">
        <v>689</v>
      </c>
      <c r="L29" s="830"/>
      <c r="M29" s="831">
        <f ca="1">INDIRECT("'数据-取费表'!k"&amp;$G$1)</f>
        <v>1173.6600000000001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1749</v>
      </c>
      <c r="B30" s="1832" t="s">
        <v>652</v>
      </c>
      <c r="C30" s="795">
        <f ca="1">ROUND(C31+C36+C37+C38,0)</f>
        <v>21</v>
      </c>
      <c r="D30" s="1826" t="s">
        <v>653</v>
      </c>
      <c r="E30" s="3202"/>
      <c r="F30" s="2520"/>
      <c r="G30" s="2067"/>
      <c r="H30" s="2070"/>
      <c r="I30" s="2071"/>
      <c r="J30" s="2072"/>
      <c r="K30" s="2073"/>
      <c r="L30" s="2074"/>
      <c r="M30" s="2075"/>
    </row>
    <row r="31" spans="1:33" ht="18" customHeight="1">
      <c r="A31" s="1653" t="s">
        <v>1825</v>
      </c>
      <c r="B31" s="787" t="s">
        <v>657</v>
      </c>
      <c r="C31" s="53">
        <f ca="1">ROUND(IF(项目基本情况!B11="自然人",C5*F31,C32+C33+C34),1)</f>
        <v>10.7</v>
      </c>
      <c r="D31" s="3200" t="s">
        <v>658</v>
      </c>
      <c r="E31" s="3201" t="s">
        <v>691</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661</v>
      </c>
      <c r="C32" s="53">
        <f ca="1">ROUND(C5*F32/1.05,1)</f>
        <v>5.8</v>
      </c>
      <c r="D32" s="3201" t="s">
        <v>662</v>
      </c>
      <c r="E32" s="787" t="s">
        <v>650</v>
      </c>
      <c r="F32" s="812">
        <f>'数据-取费表'!B41</f>
        <v>5.6000000000000001E-2</v>
      </c>
      <c r="G32" s="2067"/>
      <c r="H32" s="2076"/>
      <c r="I32" s="2077"/>
      <c r="J32" s="2078"/>
      <c r="K32" s="2079"/>
      <c r="L32" s="2080"/>
      <c r="M32" s="2081"/>
    </row>
    <row r="33" spans="1:18" ht="18" customHeight="1">
      <c r="A33" s="1652" t="s">
        <v>1833</v>
      </c>
      <c r="B33" s="787" t="s">
        <v>665</v>
      </c>
      <c r="C33" s="53">
        <f ca="1">IF(D33="按租金收入计税",ROUND(C5*F33,1),IF(D33="按房产原值计税",ROUND(C29*F33*0.7,1),INDIRECT("'数据-取费表'!Aj"&amp;$G$1)))</f>
        <v>4.0999999999999996</v>
      </c>
      <c r="D33" s="814" t="s">
        <v>1681</v>
      </c>
      <c r="E33" s="787" t="s">
        <v>650</v>
      </c>
      <c r="F33" s="812">
        <f>IF(D33="按租金收入计税",'数据-取费表'!B51,'数据-取费表'!B50)</f>
        <v>1.2E-2</v>
      </c>
      <c r="G33" s="2067"/>
      <c r="H33" s="2082"/>
      <c r="I33" s="2082"/>
      <c r="J33" s="2082"/>
      <c r="K33" s="2083"/>
      <c r="L33" s="2082"/>
      <c r="M33" s="2082"/>
    </row>
    <row r="34" spans="1:18" ht="18" customHeight="1">
      <c r="A34" s="1655" t="s">
        <v>1834</v>
      </c>
      <c r="B34" s="344" t="s">
        <v>669</v>
      </c>
      <c r="C34" s="54">
        <f ca="1">ROUND(F34*F35/10000,1)</f>
        <v>0.8</v>
      </c>
      <c r="D34" s="817" t="s">
        <v>670</v>
      </c>
      <c r="E34" s="787" t="s">
        <v>671</v>
      </c>
      <c r="F34" s="643">
        <f>'数据-取费表'!B52</f>
        <v>15</v>
      </c>
      <c r="G34" s="2067"/>
      <c r="H34" s="2070"/>
      <c r="I34" s="838" t="s">
        <v>1814</v>
      </c>
      <c r="J34" s="839"/>
      <c r="K34" s="2085"/>
      <c r="L34" s="2084"/>
      <c r="M34" s="2084"/>
    </row>
    <row r="35" spans="1:18" ht="18" customHeight="1">
      <c r="A35" s="818"/>
      <c r="B35" s="796"/>
      <c r="C35" s="69"/>
      <c r="D35" s="819"/>
      <c r="E35" s="787" t="s">
        <v>675</v>
      </c>
      <c r="F35" s="788">
        <f ca="1">INDIRECT("'数据-取费表'!r"&amp;$G$1)</f>
        <v>508.72</v>
      </c>
      <c r="G35" s="2067"/>
      <c r="H35" s="2070"/>
      <c r="I35" s="840" t="s">
        <v>1815</v>
      </c>
      <c r="J35" s="841">
        <f ca="1">ROUND(C13*J36,0)</f>
        <v>39</v>
      </c>
      <c r="K35" s="2083"/>
      <c r="L35" s="2082"/>
      <c r="M35" s="2082"/>
    </row>
    <row r="36" spans="1:18" ht="18" customHeight="1">
      <c r="A36" s="1653" t="s">
        <v>1890</v>
      </c>
      <c r="B36" s="787" t="s">
        <v>677</v>
      </c>
      <c r="C36" s="53">
        <f ca="1">ROUND(C29*F36,1)</f>
        <v>7.3</v>
      </c>
      <c r="D36" s="3201" t="s">
        <v>692</v>
      </c>
      <c r="E36" s="787" t="s">
        <v>650</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0.7</v>
      </c>
      <c r="D37" s="3201" t="s">
        <v>681</v>
      </c>
      <c r="E37" s="787" t="s">
        <v>650</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2.2000000000000002</v>
      </c>
      <c r="D38" s="2574" t="s">
        <v>684</v>
      </c>
      <c r="E38" s="2575" t="s">
        <v>650</v>
      </c>
      <c r="F38" s="2571">
        <f ca="1">INDIRECT("'数据-取费表'!Am"&amp;$G$1)</f>
        <v>0.02</v>
      </c>
      <c r="G38" s="2067"/>
      <c r="H38" s="2082"/>
      <c r="I38" s="846" t="s">
        <v>1818</v>
      </c>
      <c r="J38" s="847"/>
      <c r="K38" s="2088"/>
      <c r="L38" s="2082"/>
      <c r="M38" s="2082"/>
    </row>
    <row r="39" spans="1:18" ht="24.6" customHeight="1" thickTop="1">
      <c r="A39" s="1834" t="s">
        <v>1777</v>
      </c>
      <c r="B39" s="3041" t="s">
        <v>2828</v>
      </c>
      <c r="C39" s="795">
        <f ca="1">C5-C30</f>
        <v>87</v>
      </c>
      <c r="D39" s="2577" t="s">
        <v>701</v>
      </c>
      <c r="E39" s="2578"/>
      <c r="F39" s="2579"/>
      <c r="G39" s="2067"/>
      <c r="H39" s="2082"/>
      <c r="I39" s="840" t="s">
        <v>1819</v>
      </c>
      <c r="J39" s="848">
        <f ca="1">ROUND(J35/C39,3)</f>
        <v>0.44800000000000001</v>
      </c>
      <c r="K39" s="2088"/>
      <c r="L39" s="2082"/>
      <c r="M39" s="2082"/>
    </row>
    <row r="40" spans="1:18" ht="18" customHeight="1">
      <c r="A40" s="784" t="s">
        <v>1781</v>
      </c>
      <c r="B40" s="2237" t="s">
        <v>2303</v>
      </c>
      <c r="C40" s="786">
        <f ca="1">ROUND(C39*(1-((1+F42)/(1+F40))^F41)/(F40-F42),0)</f>
        <v>1918</v>
      </c>
      <c r="D40" s="817" t="s">
        <v>705</v>
      </c>
      <c r="E40" s="787" t="s">
        <v>2422</v>
      </c>
      <c r="F40" s="797">
        <f ca="1">INDIRECT("'数据-取费表'!I"&amp;$G$1)</f>
        <v>0.06</v>
      </c>
      <c r="G40" s="2067"/>
      <c r="H40" s="2067"/>
      <c r="I40" s="840" t="s">
        <v>1820</v>
      </c>
      <c r="J40" s="848">
        <f ca="1">1-J39</f>
        <v>0.55200000000000005</v>
      </c>
      <c r="K40" s="2088"/>
      <c r="L40" s="2067"/>
      <c r="M40" s="2067"/>
    </row>
    <row r="41" spans="1:18" ht="18" customHeight="1">
      <c r="A41" s="789"/>
      <c r="B41" s="790"/>
      <c r="C41" s="791"/>
      <c r="D41" s="824" t="s">
        <v>1809</v>
      </c>
      <c r="E41" s="787" t="s">
        <v>709</v>
      </c>
      <c r="F41" s="825">
        <f ca="1">IF(INDIRECT("'数据-取费表'!af"&amp;$G$1)=0,INDIRECT("'数据-取费表'!ae"&amp;$G$1),INDIRECT("'数据-取费表'!af"&amp;$G$1))</f>
        <v>37.72</v>
      </c>
      <c r="G41" s="2067"/>
      <c r="H41" s="1993"/>
      <c r="I41" s="846" t="s">
        <v>1821</v>
      </c>
      <c r="J41" s="849"/>
      <c r="K41" s="2087"/>
      <c r="L41" s="1993"/>
      <c r="M41" s="1993"/>
    </row>
    <row r="42" spans="1:18" ht="18" customHeight="1">
      <c r="A42" s="793"/>
      <c r="B42" s="794"/>
      <c r="C42" s="795"/>
      <c r="D42" s="819"/>
      <c r="E42" s="787" t="s">
        <v>711</v>
      </c>
      <c r="F42" s="797">
        <f ca="1">INDIRECT("'数据-取费表'!v"&amp;$G$1)</f>
        <v>0.03</v>
      </c>
      <c r="G42" s="2067"/>
      <c r="H42" s="1993"/>
      <c r="I42" s="850" t="s">
        <v>1822</v>
      </c>
      <c r="J42" s="848">
        <f ca="1">ROUND(C13/C40,3)</f>
        <v>0.255</v>
      </c>
      <c r="K42" s="2087"/>
      <c r="L42" s="1993"/>
      <c r="M42" s="1993"/>
    </row>
    <row r="43" spans="1:18" ht="18" customHeight="1" thickBot="1">
      <c r="A43" s="826" t="s">
        <v>1788</v>
      </c>
      <c r="B43" s="827" t="s">
        <v>1811</v>
      </c>
      <c r="C43" s="828">
        <f ca="1">ROUND(C40*10000/F43,0)</f>
        <v>16342</v>
      </c>
      <c r="D43" s="829" t="s">
        <v>1812</v>
      </c>
      <c r="E43" s="830" t="s">
        <v>1813</v>
      </c>
      <c r="F43" s="831">
        <f ca="1">INDIRECT("'数据-取费表'!k"&amp;$G$1)</f>
        <v>1173.6600000000001</v>
      </c>
      <c r="G43" s="2067"/>
      <c r="H43" s="1993"/>
      <c r="I43" s="850" t="s">
        <v>1823</v>
      </c>
      <c r="J43" s="851">
        <f ca="1">1-J42</f>
        <v>0.745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-2111</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3022</v>
      </c>
      <c r="K47" s="2393" t="s">
        <v>2352</v>
      </c>
      <c r="L47" s="2394">
        <f ca="1">INDIRECT("'数据-取费表'!d"&amp;$G$1)</f>
        <v>40</v>
      </c>
      <c r="M47" s="1608" t="str">
        <f>IF(ISNUMBER(FIND("住宅",C1)),"住宅","非住宅")</f>
        <v>非住宅</v>
      </c>
      <c r="O47" s="2424" t="s">
        <v>2378</v>
      </c>
      <c r="P47" s="2425" t="s">
        <v>2379</v>
      </c>
      <c r="Q47" s="2426" t="s">
        <v>2380</v>
      </c>
      <c r="R47" s="2425" t="s">
        <v>2381</v>
      </c>
    </row>
    <row r="48" spans="1:18" s="2064" customFormat="1" ht="18" customHeight="1" thickBot="1">
      <c r="A48" s="2672" t="s">
        <v>1871</v>
      </c>
      <c r="B48" s="2673" t="s">
        <v>2543</v>
      </c>
      <c r="C48" s="2379">
        <f ca="1">ROUND(F48*F50*F49*(1-F51)/10000,0)</f>
        <v>0</v>
      </c>
      <c r="D48" s="2380" t="s">
        <v>637</v>
      </c>
      <c r="E48" s="2381" t="s">
        <v>2298</v>
      </c>
      <c r="F48" s="2382"/>
      <c r="G48" s="2095"/>
      <c r="I48" s="2388" t="s">
        <v>2347</v>
      </c>
      <c r="J48" s="2395" t="s">
        <v>2353</v>
      </c>
      <c r="K48" s="2396" t="s">
        <v>2354</v>
      </c>
      <c r="L48" s="2397">
        <f ca="1">INDIRECT("'数据-取费表'!f"&amp;$G$1)</f>
        <v>37.72</v>
      </c>
      <c r="O48" s="2427" t="s">
        <v>2382</v>
      </c>
      <c r="P48" s="2428" t="s">
        <v>2408</v>
      </c>
      <c r="Q48" s="2429">
        <f ca="1">C40+J29</f>
        <v>1918</v>
      </c>
      <c r="R48" s="2428" t="s">
        <v>2383</v>
      </c>
    </row>
    <row r="49" spans="1:18" s="2064" customFormat="1" ht="18" customHeight="1" thickBot="1">
      <c r="A49" s="789"/>
      <c r="B49" s="790"/>
      <c r="C49" s="791"/>
      <c r="D49" s="792"/>
      <c r="E49" s="787" t="s">
        <v>639</v>
      </c>
      <c r="F49" s="788">
        <f ca="1">F7</f>
        <v>1173.6600000000001</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640</v>
      </c>
      <c r="F50" s="788">
        <f ca="1">F8</f>
        <v>365</v>
      </c>
      <c r="G50" s="2100"/>
      <c r="H50" s="2098"/>
      <c r="I50" s="2388" t="s">
        <v>2349</v>
      </c>
      <c r="J50" s="2401">
        <f>SUMPRODUCT((I63:I65=J47)*(J62:L62=J48)*(J63:L65))</f>
        <v>60</v>
      </c>
      <c r="K50" s="2399" t="s">
        <v>2356</v>
      </c>
      <c r="L50" s="2400"/>
      <c r="O50" s="2430" t="s">
        <v>2386</v>
      </c>
      <c r="P50" s="2428" t="s">
        <v>2410</v>
      </c>
      <c r="Q50" s="2429">
        <f ca="1">C29</f>
        <v>489</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755</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37.72</v>
      </c>
      <c r="K53" s="3466" t="s">
        <v>2972</v>
      </c>
      <c r="L53" s="3467"/>
      <c r="O53" s="2430" t="s">
        <v>2391</v>
      </c>
      <c r="P53" s="2428" t="s">
        <v>2392</v>
      </c>
      <c r="Q53" s="2429">
        <f ca="1">J53</f>
        <v>37.72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1918</v>
      </c>
      <c r="R54" s="2432" t="s">
        <v>2395</v>
      </c>
    </row>
    <row r="55" spans="1:18" s="2064" customFormat="1" ht="18" customHeight="1" thickTop="1" thickBot="1">
      <c r="A55" s="800">
        <v>2</v>
      </c>
      <c r="B55" s="801" t="s">
        <v>645</v>
      </c>
      <c r="C55" s="802">
        <f ca="1">C13</f>
        <v>489</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2302</v>
      </c>
      <c r="C56" s="53">
        <f ca="1">C29</f>
        <v>489</v>
      </c>
      <c r="D56" s="3201"/>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13</v>
      </c>
      <c r="D57" s="26" t="s">
        <v>653</v>
      </c>
      <c r="E57" s="3203"/>
      <c r="F57" s="56"/>
      <c r="I57" s="2409" t="s">
        <v>2361</v>
      </c>
      <c r="J57" s="2411" t="str">
        <f ca="1">IF(OR(M47="住宅",J51&lt;L48,J56="是"),"——",J51-L48)</f>
        <v>——</v>
      </c>
      <c r="K57" s="2388" t="s">
        <v>2366</v>
      </c>
      <c r="L57" s="2397" t="str">
        <f ca="1">IF(L48&lt;J51,"——",IF(L55="比较法",L49,IF(L55="基准地价",L50,L51)))</f>
        <v>——</v>
      </c>
      <c r="O57" s="2427" t="s">
        <v>2382</v>
      </c>
      <c r="P57" s="2428" t="s">
        <v>2408</v>
      </c>
      <c r="Q57" s="2429">
        <f ca="1">C40+J29</f>
        <v>1918</v>
      </c>
      <c r="R57" s="2428" t="s">
        <v>2383</v>
      </c>
    </row>
    <row r="58" spans="1:18" s="2064" customFormat="1" ht="28.5" customHeight="1" thickBot="1">
      <c r="A58" s="1653" t="s">
        <v>1825</v>
      </c>
      <c r="B58" s="787" t="s">
        <v>657</v>
      </c>
      <c r="C58" s="53">
        <f ca="1">ROUND(IF(项目基本情况!B11="自然人",C47*F58,C59+C60+C61),1)</f>
        <v>4.9000000000000004</v>
      </c>
      <c r="D58" s="3200" t="s">
        <v>658</v>
      </c>
      <c r="E58" s="3201"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3201" t="s">
        <v>662</v>
      </c>
      <c r="E59" s="787" t="s">
        <v>650</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665</v>
      </c>
      <c r="C60" s="53">
        <f ca="1">IF(D60="按租金收入计税",ROUND(C47*F60,1),IF(D60="按房产原值计税",ROUND(C56*F60*0.7,1),INDIRECT("'数据-取费表'!Aj"&amp;$G$1)))</f>
        <v>4.0999999999999996</v>
      </c>
      <c r="D60" s="3201" t="str">
        <f>D33</f>
        <v>按房产原值计税</v>
      </c>
      <c r="E60" s="787" t="s">
        <v>650</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0.8</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508.72</v>
      </c>
      <c r="I62" s="2414" t="s">
        <v>2370</v>
      </c>
      <c r="J62" s="2415" t="s">
        <v>2371</v>
      </c>
      <c r="K62" s="2415" t="s">
        <v>2372</v>
      </c>
      <c r="L62" s="2415" t="s">
        <v>2353</v>
      </c>
      <c r="M62" s="3135" t="s">
        <v>2947</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7.3</v>
      </c>
      <c r="D63" s="3201" t="s">
        <v>692</v>
      </c>
      <c r="E63" s="787" t="s">
        <v>650</v>
      </c>
      <c r="F63" s="820">
        <f t="shared" ca="1" si="0"/>
        <v>1.4999999999999999E-2</v>
      </c>
      <c r="I63" s="2414" t="s">
        <v>2373</v>
      </c>
      <c r="J63" s="2415">
        <v>70</v>
      </c>
      <c r="K63" s="2415">
        <v>50</v>
      </c>
      <c r="L63" s="2415">
        <v>80</v>
      </c>
      <c r="M63" s="3136">
        <v>0.02</v>
      </c>
      <c r="O63" s="2427" t="s">
        <v>2394</v>
      </c>
      <c r="P63" s="2428" t="s">
        <v>2411</v>
      </c>
      <c r="Q63" s="2429">
        <f ca="1">Q57+Q58</f>
        <v>1918</v>
      </c>
      <c r="R63" s="2432" t="s">
        <v>2395</v>
      </c>
    </row>
    <row r="64" spans="1:18" s="2064" customFormat="1" ht="16.5" thickBot="1">
      <c r="A64" s="1653" t="s">
        <v>1891</v>
      </c>
      <c r="B64" s="787" t="s">
        <v>680</v>
      </c>
      <c r="C64" s="53">
        <f ca="1">ROUND(C55*F64,1)</f>
        <v>0.7</v>
      </c>
      <c r="D64" s="3201" t="s">
        <v>681</v>
      </c>
      <c r="E64" s="787" t="s">
        <v>650</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3201" t="s">
        <v>684</v>
      </c>
      <c r="E65" s="787" t="s">
        <v>650</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2828</v>
      </c>
      <c r="C66" s="802">
        <f ca="1">C47-C57</f>
        <v>-13</v>
      </c>
      <c r="D66" s="3200" t="s">
        <v>701</v>
      </c>
      <c r="E66" s="3198"/>
      <c r="F66" s="823"/>
      <c r="K66" s="2091"/>
      <c r="O66" s="2427" t="s">
        <v>2382</v>
      </c>
      <c r="P66" s="2428" t="s">
        <v>2408</v>
      </c>
      <c r="Q66" s="2429">
        <f ca="1">C40+J29</f>
        <v>1918</v>
      </c>
      <c r="R66" s="2428" t="s">
        <v>2383</v>
      </c>
    </row>
    <row r="67" spans="1:18" s="2064" customFormat="1" ht="20.25" thickBot="1">
      <c r="A67" s="784" t="s">
        <v>1781</v>
      </c>
      <c r="B67" s="2237" t="s">
        <v>2303</v>
      </c>
      <c r="C67" s="786">
        <f ca="1">ROUND(C66*(1-((1+F69)/(1+F67))^F68)/(F67-F69),0)</f>
        <v>-193</v>
      </c>
      <c r="D67" s="817" t="s">
        <v>705</v>
      </c>
      <c r="E67" s="787" t="s">
        <v>706</v>
      </c>
      <c r="F67" s="797">
        <f ca="1">F40</f>
        <v>0.06</v>
      </c>
      <c r="K67" s="2091"/>
      <c r="O67" s="2427" t="s">
        <v>2384</v>
      </c>
      <c r="P67" s="2428" t="s">
        <v>2415</v>
      </c>
      <c r="Q67" s="2429">
        <f ca="1">L60</f>
        <v>0</v>
      </c>
      <c r="R67" s="2432" t="s">
        <v>2417</v>
      </c>
    </row>
    <row r="68" spans="1:18" ht="21.75" thickBot="1">
      <c r="A68" s="789"/>
      <c r="B68" s="790"/>
      <c r="C68" s="791"/>
      <c r="D68" s="824" t="s">
        <v>1809</v>
      </c>
      <c r="E68" s="787" t="s">
        <v>709</v>
      </c>
      <c r="F68" s="825">
        <f ca="1">F41</f>
        <v>37.72</v>
      </c>
      <c r="O68" s="2430" t="s">
        <v>2386</v>
      </c>
      <c r="P68" s="2428" t="s">
        <v>2416</v>
      </c>
      <c r="Q68" s="2434">
        <f ca="1">L51</f>
        <v>755</v>
      </c>
      <c r="R68" s="2435" t="s">
        <v>2419</v>
      </c>
    </row>
    <row r="69" spans="1:18" ht="20.25" thickBot="1">
      <c r="A69" s="793"/>
      <c r="B69" s="794"/>
      <c r="C69" s="795"/>
      <c r="D69" s="819"/>
      <c r="E69" s="787" t="s">
        <v>711</v>
      </c>
      <c r="F69" s="2376"/>
      <c r="O69" s="2430" t="s">
        <v>2387</v>
      </c>
      <c r="P69" s="2436" t="s">
        <v>2401</v>
      </c>
      <c r="Q69" s="2429">
        <f ca="1">ROUND(Q70-Q71*Q72,0)</f>
        <v>48</v>
      </c>
      <c r="R69" s="2432"/>
    </row>
    <row r="70" spans="1:18" ht="15.75" thickBot="1">
      <c r="A70" s="826" t="s">
        <v>1788</v>
      </c>
      <c r="B70" s="827" t="s">
        <v>1811</v>
      </c>
      <c r="C70" s="828">
        <f ca="1">ROUND(C67*10000/F70,0)</f>
        <v>-1644</v>
      </c>
      <c r="D70" s="829" t="s">
        <v>1812</v>
      </c>
      <c r="E70" s="830" t="s">
        <v>1813</v>
      </c>
      <c r="F70" s="831">
        <f ca="1">F43</f>
        <v>1173.6600000000001</v>
      </c>
      <c r="O70" s="2430" t="s">
        <v>2402</v>
      </c>
      <c r="P70" s="2436" t="s">
        <v>2403</v>
      </c>
      <c r="Q70" s="2429">
        <f ca="1">C39</f>
        <v>87</v>
      </c>
      <c r="R70" s="2428" t="s">
        <v>2383</v>
      </c>
    </row>
    <row r="71" spans="1:18" ht="15.75" thickBot="1">
      <c r="O71" s="2430" t="s">
        <v>2404</v>
      </c>
      <c r="P71" s="2436" t="s">
        <v>2405</v>
      </c>
      <c r="Q71" s="2429">
        <f ca="1">C13</f>
        <v>489</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1918</v>
      </c>
      <c r="R76" s="2432"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7">
      <formula>$L$48&gt;$J$51</formula>
    </cfRule>
  </conditionalFormatting>
  <conditionalFormatting sqref="I55">
    <cfRule type="expression" dxfId="95" priority="6">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Q33" sqref="Q33"/>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3000</v>
      </c>
      <c r="E1" s="2655"/>
      <c r="F1" s="2838" t="s">
        <v>3041</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23836</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16657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95" t="s">
        <v>523</v>
      </c>
      <c r="D4" s="3396"/>
      <c r="E4" s="3420" t="s">
        <v>524</v>
      </c>
      <c r="F4" s="3421"/>
      <c r="G4" s="3395" t="s">
        <v>525</v>
      </c>
      <c r="H4" s="3396"/>
      <c r="I4" s="3395" t="s">
        <v>526</v>
      </c>
      <c r="J4" s="3396"/>
      <c r="K4" s="856" t="s">
        <v>527</v>
      </c>
      <c r="L4" s="2138"/>
      <c r="M4" s="2139"/>
      <c r="N4" s="2139"/>
      <c r="O4" s="2139"/>
      <c r="P4" s="3397" t="s">
        <v>528</v>
      </c>
      <c r="Q4" s="3398"/>
      <c r="R4" s="3383" t="s">
        <v>524</v>
      </c>
      <c r="S4" s="3384"/>
      <c r="T4" s="3383" t="s">
        <v>525</v>
      </c>
      <c r="U4" s="3384"/>
      <c r="V4" s="3403" t="s">
        <v>526</v>
      </c>
      <c r="W4" s="3403"/>
      <c r="X4" s="1571"/>
      <c r="Y4" s="3383" t="s">
        <v>528</v>
      </c>
      <c r="Z4" s="3384"/>
      <c r="AA4" s="3378" t="s">
        <v>524</v>
      </c>
      <c r="AB4" s="3378" t="s">
        <v>525</v>
      </c>
      <c r="AC4" s="3378" t="s">
        <v>526</v>
      </c>
    </row>
    <row r="5" spans="1:29" ht="15">
      <c r="A5" s="518"/>
      <c r="B5" s="519"/>
      <c r="C5" s="3406" t="s">
        <v>3017</v>
      </c>
      <c r="D5" s="3407"/>
      <c r="E5" s="3489" t="s">
        <v>3175</v>
      </c>
      <c r="F5" s="3423"/>
      <c r="G5" s="3406" t="s">
        <v>3176</v>
      </c>
      <c r="H5" s="3407"/>
      <c r="I5" s="3406" t="s">
        <v>3010</v>
      </c>
      <c r="J5" s="3407"/>
      <c r="K5" s="857"/>
      <c r="L5" s="2138"/>
      <c r="M5" s="2139"/>
      <c r="N5" s="2139"/>
      <c r="O5" s="2139"/>
      <c r="P5" s="3399"/>
      <c r="Q5" s="3400"/>
      <c r="R5" s="3385"/>
      <c r="S5" s="3386"/>
      <c r="T5" s="3385"/>
      <c r="U5" s="3386"/>
      <c r="V5" s="3403"/>
      <c r="W5" s="3403"/>
      <c r="X5" s="1571"/>
      <c r="Y5" s="3385"/>
      <c r="Z5" s="3386"/>
      <c r="AA5" s="3379"/>
      <c r="AB5" s="3379"/>
      <c r="AC5" s="3379"/>
    </row>
    <row r="6" spans="1:29" ht="15.75" thickBot="1">
      <c r="A6" s="520"/>
      <c r="B6" s="521"/>
      <c r="C6" s="3490" t="str">
        <f>项目基本情况!F10</f>
        <v>海口市椰海大道南侧、丘海大道延长线西侧</v>
      </c>
      <c r="D6" s="3405"/>
      <c r="E6" s="3491" t="s">
        <v>3015</v>
      </c>
      <c r="F6" s="3425"/>
      <c r="G6" s="3492" t="s">
        <v>3014</v>
      </c>
      <c r="H6" s="3405"/>
      <c r="I6" s="3492" t="s">
        <v>3016</v>
      </c>
      <c r="J6" s="3405"/>
      <c r="K6" s="857" t="s">
        <v>529</v>
      </c>
      <c r="L6" s="2138"/>
      <c r="M6" s="2139"/>
      <c r="N6" s="2139"/>
      <c r="O6" s="2139"/>
      <c r="P6" s="3401"/>
      <c r="Q6" s="3402"/>
      <c r="R6" s="3385"/>
      <c r="S6" s="3386"/>
      <c r="T6" s="3387"/>
      <c r="U6" s="3388"/>
      <c r="V6" s="3403"/>
      <c r="W6" s="3403"/>
      <c r="X6" s="1571"/>
      <c r="Y6" s="3387"/>
      <c r="Z6" s="3388"/>
      <c r="AA6" s="3380"/>
      <c r="AB6" s="3380"/>
      <c r="AC6" s="3380"/>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381" t="s">
        <v>531</v>
      </c>
      <c r="Q7" s="3390"/>
      <c r="R7" s="1572" t="s">
        <v>13</v>
      </c>
      <c r="S7" s="1573">
        <f t="shared" ref="S7:S15" si="0">F7</f>
        <v>100</v>
      </c>
      <c r="T7" s="1572" t="s">
        <v>13</v>
      </c>
      <c r="U7" s="1573">
        <f t="shared" ref="U7:U15" si="1">H7</f>
        <v>100</v>
      </c>
      <c r="V7" s="1572" t="s">
        <v>13</v>
      </c>
      <c r="W7" s="1573">
        <f t="shared" ref="W7:W15" si="2">J7</f>
        <v>100</v>
      </c>
      <c r="X7" s="1574"/>
      <c r="Y7" s="3381" t="s">
        <v>531</v>
      </c>
      <c r="Z7" s="3382"/>
      <c r="AA7" s="1575">
        <f>D7/F7</f>
        <v>1</v>
      </c>
      <c r="AB7" s="1575">
        <f>D7/H7</f>
        <v>1</v>
      </c>
      <c r="AC7" s="1575">
        <f>D7/J7</f>
        <v>1</v>
      </c>
    </row>
    <row r="8" spans="1:29" s="1223" customFormat="1" ht="15.75" thickBot="1">
      <c r="A8" s="2944"/>
      <c r="B8" s="2951" t="s">
        <v>532</v>
      </c>
      <c r="C8" s="528" t="s">
        <v>577</v>
      </c>
      <c r="D8" s="523">
        <v>100</v>
      </c>
      <c r="E8" s="859" t="s">
        <v>3011</v>
      </c>
      <c r="F8" s="525">
        <f>SUMIF(61:61,E8,62:62)-SUMIF(61:61,C8,62:62)+100</f>
        <v>100</v>
      </c>
      <c r="G8" s="528" t="s">
        <v>3011</v>
      </c>
      <c r="H8" s="523">
        <f>SUMIF(61:61,G8,62:62)-SUMIF(61:61,C8,62:62)+100</f>
        <v>100</v>
      </c>
      <c r="I8" s="859" t="s">
        <v>3011</v>
      </c>
      <c r="J8" s="523">
        <f>SUMIF(61:61,I8,62:62)-SUMIF(61:61,C8,62:62)+100</f>
        <v>100</v>
      </c>
      <c r="K8" s="858"/>
      <c r="L8" s="2140"/>
      <c r="M8" s="2141"/>
      <c r="N8" s="2141"/>
      <c r="O8" s="2141"/>
      <c r="P8" s="3381" t="s">
        <v>534</v>
      </c>
      <c r="Q8" s="3382"/>
      <c r="R8" s="1572" t="s">
        <v>13</v>
      </c>
      <c r="S8" s="1573">
        <f t="shared" si="0"/>
        <v>100</v>
      </c>
      <c r="T8" s="1572" t="s">
        <v>13</v>
      </c>
      <c r="U8" s="1573">
        <f t="shared" si="1"/>
        <v>100</v>
      </c>
      <c r="V8" s="1572" t="s">
        <v>13</v>
      </c>
      <c r="W8" s="1573">
        <f t="shared" si="2"/>
        <v>100</v>
      </c>
      <c r="X8" s="1574"/>
      <c r="Y8" s="3381" t="s">
        <v>534</v>
      </c>
      <c r="Z8" s="3382"/>
      <c r="AA8" s="1575">
        <f t="shared" ref="AA8:AA46" si="3">D8/F8</f>
        <v>1</v>
      </c>
      <c r="AB8" s="1575">
        <f t="shared" ref="AB8:AB46" si="4">D8/H8</f>
        <v>1</v>
      </c>
      <c r="AC8" s="1575">
        <f t="shared" ref="AC8:AC46" si="5">D8/J8</f>
        <v>1</v>
      </c>
    </row>
    <row r="9" spans="1:29" s="1223" customFormat="1" ht="15">
      <c r="A9" s="2945"/>
      <c r="B9" s="2952" t="s">
        <v>2762</v>
      </c>
      <c r="C9" s="3171" t="s">
        <v>3012</v>
      </c>
      <c r="D9" s="254">
        <v>100</v>
      </c>
      <c r="E9" s="3172" t="s">
        <v>3012</v>
      </c>
      <c r="F9" s="862">
        <f>SUMIF(63:63,E9,64:64)-SUMIF(63:63,C9,64:64)+100</f>
        <v>100</v>
      </c>
      <c r="G9" s="3173" t="s">
        <v>3012</v>
      </c>
      <c r="H9" s="254">
        <f>SUMIF(63:63,G9,64:64)-SUMIF(63:63,C9,64:64)+100</f>
        <v>100</v>
      </c>
      <c r="I9" s="3173" t="s">
        <v>3012</v>
      </c>
      <c r="J9" s="254">
        <f>SUMIF(63:63,I9,64:64)-SUMIF(63:63,C9,64:64)+100</f>
        <v>100</v>
      </c>
      <c r="K9" s="858"/>
      <c r="L9" s="2140"/>
      <c r="M9" s="2141"/>
      <c r="N9" s="2141"/>
      <c r="O9" s="2142"/>
      <c r="P9" s="3389" t="s">
        <v>536</v>
      </c>
      <c r="Q9" s="1154" t="str">
        <f t="shared" ref="Q9:Q15" si="6">B9</f>
        <v>用途</v>
      </c>
      <c r="R9" s="1572" t="s">
        <v>8</v>
      </c>
      <c r="S9" s="1573">
        <f t="shared" si="0"/>
        <v>100</v>
      </c>
      <c r="T9" s="1572" t="s">
        <v>8</v>
      </c>
      <c r="U9" s="1573">
        <f t="shared" si="1"/>
        <v>100</v>
      </c>
      <c r="V9" s="1572" t="s">
        <v>8</v>
      </c>
      <c r="W9" s="1573">
        <f t="shared" si="2"/>
        <v>100</v>
      </c>
      <c r="X9" s="1574"/>
      <c r="Y9" s="3346" t="s">
        <v>537</v>
      </c>
      <c r="Z9" s="1153" t="str">
        <f t="shared" ref="Z9:Z15" si="7">Q9</f>
        <v>用途</v>
      </c>
      <c r="AA9" s="1575">
        <f t="shared" si="3"/>
        <v>1</v>
      </c>
      <c r="AB9" s="1575">
        <f t="shared" si="4"/>
        <v>1</v>
      </c>
      <c r="AC9" s="1575">
        <f t="shared" si="5"/>
        <v>1</v>
      </c>
    </row>
    <row r="10" spans="1:29" s="1341" customFormat="1" ht="27">
      <c r="A10" s="2946"/>
      <c r="B10" s="2951" t="s">
        <v>2763</v>
      </c>
      <c r="C10" s="864" t="s">
        <v>3013</v>
      </c>
      <c r="D10" s="255">
        <v>100</v>
      </c>
      <c r="E10" s="865" t="s">
        <v>3013</v>
      </c>
      <c r="F10" s="866">
        <f>SUMIF(65:65,E10,66:66)-SUMIF(65:65,C10,66:66)+100</f>
        <v>100</v>
      </c>
      <c r="G10" s="864" t="s">
        <v>3013</v>
      </c>
      <c r="H10" s="255">
        <f>SUMIF(65:65,G10,66:66)-SUMIF(65:65,C10,66:66)+100</f>
        <v>100</v>
      </c>
      <c r="I10" s="864" t="s">
        <v>3013</v>
      </c>
      <c r="J10" s="255">
        <f>SUMIF(65:65,I10,66:66)-SUMIF(65:65,C10,66:66)+100</f>
        <v>100</v>
      </c>
      <c r="K10" s="867"/>
      <c r="L10" s="2143"/>
      <c r="M10" s="2183"/>
      <c r="N10" s="2183"/>
      <c r="O10" s="2144"/>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75" thickBot="1">
      <c r="A11" s="2947"/>
      <c r="B11" s="2951" t="s">
        <v>2764</v>
      </c>
      <c r="C11" s="536">
        <f>'数据-汇总表'!I6</f>
        <v>2</v>
      </c>
      <c r="D11" s="255">
        <v>100</v>
      </c>
      <c r="E11" s="537">
        <v>2.5</v>
      </c>
      <c r="F11" s="866">
        <f>LOOKUP(E11,68:68,69:69)-LOOKUP(C11,68:68,69:69)+100</f>
        <v>100</v>
      </c>
      <c r="G11" s="536">
        <v>2.4900000000000002</v>
      </c>
      <c r="H11" s="255">
        <f>LOOKUP(G11,68:68,69:69)-LOOKUP(C11,68:68,69:69)+100</f>
        <v>100</v>
      </c>
      <c r="I11" s="536">
        <v>2.8</v>
      </c>
      <c r="J11" s="255">
        <f>LOOKUP(I11,68:68,69:69)-LOOKUP(C11,68:68,69:69)+100</f>
        <v>100</v>
      </c>
      <c r="K11" s="867">
        <v>2</v>
      </c>
      <c r="L11" s="2145"/>
      <c r="M11" s="2139"/>
      <c r="N11" s="2139"/>
      <c r="O11" s="2146"/>
      <c r="P11" s="3389"/>
      <c r="Q11" s="1154" t="str">
        <f t="shared" si="6"/>
        <v>容积率</v>
      </c>
      <c r="R11" s="1572" t="s">
        <v>11</v>
      </c>
      <c r="S11" s="1573">
        <f t="shared" si="0"/>
        <v>100</v>
      </c>
      <c r="T11" s="1572" t="s">
        <v>11</v>
      </c>
      <c r="U11" s="1573">
        <f t="shared" si="1"/>
        <v>100</v>
      </c>
      <c r="V11" s="1572" t="s">
        <v>11</v>
      </c>
      <c r="W11" s="1573">
        <f t="shared" si="2"/>
        <v>100</v>
      </c>
      <c r="X11" s="1574"/>
      <c r="Y11" s="3346"/>
      <c r="Z11" s="1153" t="str">
        <f t="shared" si="7"/>
        <v>容积率</v>
      </c>
      <c r="AA11" s="1575">
        <f t="shared" si="3"/>
        <v>1</v>
      </c>
      <c r="AB11" s="1575">
        <f t="shared" si="4"/>
        <v>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89"/>
      <c r="Q12" s="1154">
        <f t="shared" si="6"/>
        <v>111</v>
      </c>
      <c r="R12" s="1572" t="s">
        <v>11</v>
      </c>
      <c r="S12" s="1573">
        <f t="shared" si="0"/>
        <v>100</v>
      </c>
      <c r="T12" s="1572" t="s">
        <v>11</v>
      </c>
      <c r="U12" s="1573">
        <f t="shared" si="1"/>
        <v>100</v>
      </c>
      <c r="V12" s="1572" t="s">
        <v>11</v>
      </c>
      <c r="W12" s="1573">
        <f t="shared" si="2"/>
        <v>100</v>
      </c>
      <c r="X12" s="1574"/>
      <c r="Y12" s="3346"/>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89"/>
      <c r="Q13" s="1154">
        <f t="shared" si="6"/>
        <v>111</v>
      </c>
      <c r="R13" s="1572" t="s">
        <v>11</v>
      </c>
      <c r="S13" s="1573">
        <f t="shared" si="0"/>
        <v>100</v>
      </c>
      <c r="T13" s="1572" t="s">
        <v>11</v>
      </c>
      <c r="U13" s="1573">
        <f t="shared" si="1"/>
        <v>100</v>
      </c>
      <c r="V13" s="1572" t="s">
        <v>11</v>
      </c>
      <c r="W13" s="1573">
        <f t="shared" si="2"/>
        <v>100</v>
      </c>
      <c r="X13" s="1574"/>
      <c r="Y13" s="3346"/>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89"/>
      <c r="Q14" s="1154">
        <f t="shared" si="6"/>
        <v>111</v>
      </c>
      <c r="R14" s="1572" t="s">
        <v>11</v>
      </c>
      <c r="S14" s="1573">
        <f t="shared" si="0"/>
        <v>100</v>
      </c>
      <c r="T14" s="1572" t="s">
        <v>11</v>
      </c>
      <c r="U14" s="1573">
        <f t="shared" si="1"/>
        <v>100</v>
      </c>
      <c r="V14" s="1572" t="s">
        <v>11</v>
      </c>
      <c r="W14" s="1573">
        <f t="shared" si="2"/>
        <v>100</v>
      </c>
      <c r="X14" s="1574"/>
      <c r="Y14" s="3346"/>
      <c r="Z14" s="1153">
        <f t="shared" si="7"/>
        <v>111</v>
      </c>
      <c r="AA14" s="1575">
        <f t="shared" si="3"/>
        <v>1</v>
      </c>
      <c r="AB14" s="1575">
        <f t="shared" si="4"/>
        <v>1</v>
      </c>
      <c r="AC14" s="1575">
        <f t="shared" si="5"/>
        <v>1</v>
      </c>
    </row>
    <row r="15" spans="1:29" ht="114">
      <c r="A15" s="2941" t="s">
        <v>2760</v>
      </c>
      <c r="B15" s="166" t="s">
        <v>295</v>
      </c>
      <c r="C15" s="870" t="str">
        <f>估价对象房地状况!C3</f>
        <v>估价对象周边周边有紫竹园、伟业致青春、海口碧桂园等住宅小区均正在待开发项目，综合评价居住社区成熟度一般</v>
      </c>
      <c r="D15" s="552">
        <v>100</v>
      </c>
      <c r="E15" s="3187" t="s">
        <v>3177</v>
      </c>
      <c r="F15" s="554">
        <f>SUMIF(76:76,E16,77:77)-SUMIF(76:76,C16,77:77)+100</f>
        <v>100</v>
      </c>
      <c r="G15" s="3186" t="s">
        <v>3067</v>
      </c>
      <c r="H15" s="552">
        <f>SUMIF(76:76,G16,77:77)-SUMIF(76:76,C16,77:77)+100</f>
        <v>100</v>
      </c>
      <c r="I15" s="3187" t="s">
        <v>3068</v>
      </c>
      <c r="J15" s="552">
        <f>SUMIF(76:76,I16,77:77)-SUMIF(76:76,C16,77:77)+100</f>
        <v>100</v>
      </c>
      <c r="K15" s="871"/>
      <c r="L15" s="2147"/>
      <c r="M15" s="2139"/>
      <c r="N15" s="2139"/>
      <c r="O15" s="2146"/>
      <c r="P15" s="3391" t="s">
        <v>541</v>
      </c>
      <c r="Q15" s="1576" t="str">
        <f t="shared" si="6"/>
        <v>居住社区成熟度</v>
      </c>
      <c r="R15" s="1577" t="s">
        <v>11</v>
      </c>
      <c r="S15" s="1578">
        <f t="shared" si="0"/>
        <v>100</v>
      </c>
      <c r="T15" s="1577" t="s">
        <v>11</v>
      </c>
      <c r="U15" s="1578">
        <f t="shared" si="1"/>
        <v>100</v>
      </c>
      <c r="V15" s="1577" t="s">
        <v>11</v>
      </c>
      <c r="W15" s="1578">
        <f t="shared" si="2"/>
        <v>100</v>
      </c>
      <c r="X15" s="1571"/>
      <c r="Y15" s="3391" t="s">
        <v>541</v>
      </c>
      <c r="Z15" s="1579" t="str">
        <f t="shared" si="7"/>
        <v>居住社区成熟度</v>
      </c>
      <c r="AA15" s="1580">
        <f t="shared" si="3"/>
        <v>1</v>
      </c>
      <c r="AB15" s="1580">
        <f t="shared" si="4"/>
        <v>1</v>
      </c>
      <c r="AC15" s="1580">
        <f t="shared" si="5"/>
        <v>1</v>
      </c>
    </row>
    <row r="16" spans="1:29" ht="15">
      <c r="A16" s="535"/>
      <c r="B16" s="872"/>
      <c r="C16" s="579" t="s">
        <v>3028</v>
      </c>
      <c r="D16" s="558"/>
      <c r="E16" s="559" t="s">
        <v>3028</v>
      </c>
      <c r="F16" s="560"/>
      <c r="G16" s="561" t="s">
        <v>3028</v>
      </c>
      <c r="H16" s="562"/>
      <c r="I16" s="559" t="s">
        <v>3028</v>
      </c>
      <c r="J16" s="558"/>
      <c r="K16" s="873"/>
      <c r="L16" s="2147"/>
      <c r="M16" s="2139"/>
      <c r="N16" s="2139"/>
      <c r="O16" s="2146"/>
      <c r="P16" s="3392"/>
      <c r="Q16" s="1576"/>
      <c r="R16" s="1577"/>
      <c r="S16" s="1578"/>
      <c r="T16" s="1577"/>
      <c r="U16" s="1578"/>
      <c r="V16" s="1577"/>
      <c r="W16" s="1578"/>
      <c r="X16" s="1571"/>
      <c r="Y16" s="339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3178</v>
      </c>
      <c r="F17" s="566">
        <f>SUMIF(78:78,E18,79:79)-SUMIF(78:78,C18,79:79)+100</f>
        <v>100</v>
      </c>
      <c r="G17" s="567" t="s">
        <v>3069</v>
      </c>
      <c r="H17" s="568">
        <f>SUMIF(78:78,G18,79:79)-SUMIF(78:78,C18,79:79)+100</f>
        <v>100</v>
      </c>
      <c r="I17" s="565" t="s">
        <v>3069</v>
      </c>
      <c r="J17" s="568">
        <f>SUMIF(78:78,I18,79:79)-SUMIF(78:78,C18,79:79)+100</f>
        <v>100</v>
      </c>
      <c r="K17" s="871"/>
      <c r="L17" s="2147"/>
      <c r="M17" s="2139"/>
      <c r="N17" s="2139"/>
      <c r="O17" s="2146"/>
      <c r="P17" s="3392"/>
      <c r="Q17" s="1576" t="str">
        <f>B17</f>
        <v>交通便捷度</v>
      </c>
      <c r="R17" s="1577" t="s">
        <v>11</v>
      </c>
      <c r="S17" s="1578">
        <f>F17</f>
        <v>100</v>
      </c>
      <c r="T17" s="1577" t="s">
        <v>11</v>
      </c>
      <c r="U17" s="1578">
        <f>H17</f>
        <v>100</v>
      </c>
      <c r="V17" s="1577" t="s">
        <v>11</v>
      </c>
      <c r="W17" s="1578">
        <f>J17</f>
        <v>100</v>
      </c>
      <c r="X17" s="1571"/>
      <c r="Y17" s="3392"/>
      <c r="Z17" s="1579" t="str">
        <f>Q17</f>
        <v>交通便捷度</v>
      </c>
      <c r="AA17" s="1580">
        <f t="shared" si="3"/>
        <v>1</v>
      </c>
      <c r="AB17" s="1580">
        <f t="shared" si="4"/>
        <v>1</v>
      </c>
      <c r="AC17" s="1580">
        <f t="shared" si="5"/>
        <v>1</v>
      </c>
    </row>
    <row r="18" spans="1:29" ht="15">
      <c r="A18" s="535"/>
      <c r="B18" s="598"/>
      <c r="C18" s="876" t="s">
        <v>3026</v>
      </c>
      <c r="D18" s="562"/>
      <c r="E18" s="571" t="s">
        <v>3026</v>
      </c>
      <c r="F18" s="566"/>
      <c r="G18" s="572" t="s">
        <v>3026</v>
      </c>
      <c r="H18" s="558"/>
      <c r="I18" s="571" t="s">
        <v>3026</v>
      </c>
      <c r="J18" s="558"/>
      <c r="K18" s="873"/>
      <c r="L18" s="2147"/>
      <c r="M18" s="2139"/>
      <c r="N18" s="2139"/>
      <c r="O18" s="2146"/>
      <c r="P18" s="3392"/>
      <c r="Q18" s="1576"/>
      <c r="R18" s="1577"/>
      <c r="S18" s="1578"/>
      <c r="T18" s="1577"/>
      <c r="U18" s="1578"/>
      <c r="V18" s="1577"/>
      <c r="W18" s="1578"/>
      <c r="X18" s="1571"/>
      <c r="Y18" s="339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3179</v>
      </c>
      <c r="F19" s="574">
        <f>SUMIF(80:80,E20,81:81)-SUMIF(80:80,C20,81:81)+100</f>
        <v>100</v>
      </c>
      <c r="G19" s="3189" t="s">
        <v>3070</v>
      </c>
      <c r="H19" s="562">
        <f>SUMIF(80:80,G20,81:81)-SUMIF(80:80,C20,81:81)+100</f>
        <v>100</v>
      </c>
      <c r="I19" s="3188" t="s">
        <v>3070</v>
      </c>
      <c r="J19" s="562">
        <f>SUMIF(80:80,I20,81:81)-SUMIF(80:80,C20,81:81)+100</f>
        <v>100</v>
      </c>
      <c r="K19" s="871"/>
      <c r="L19" s="2147"/>
      <c r="M19" s="2139"/>
      <c r="N19" s="2139"/>
      <c r="O19" s="2146"/>
      <c r="P19" s="3392"/>
      <c r="Q19" s="1576" t="str">
        <f>B19</f>
        <v>公共配套设施</v>
      </c>
      <c r="R19" s="1577" t="s">
        <v>11</v>
      </c>
      <c r="S19" s="1578">
        <f>F19</f>
        <v>100</v>
      </c>
      <c r="T19" s="1577" t="s">
        <v>11</v>
      </c>
      <c r="U19" s="1578">
        <f>H19</f>
        <v>100</v>
      </c>
      <c r="V19" s="1577" t="s">
        <v>11</v>
      </c>
      <c r="W19" s="1578">
        <f>J19</f>
        <v>100</v>
      </c>
      <c r="X19" s="1571"/>
      <c r="Y19" s="3392"/>
      <c r="Z19" s="1579" t="str">
        <f>Q19</f>
        <v>公共配套设施</v>
      </c>
      <c r="AA19" s="1580">
        <f t="shared" si="3"/>
        <v>1</v>
      </c>
      <c r="AB19" s="1580">
        <f t="shared" si="4"/>
        <v>1</v>
      </c>
      <c r="AC19" s="1580">
        <f t="shared" si="5"/>
        <v>1</v>
      </c>
    </row>
    <row r="20" spans="1:29" ht="15">
      <c r="A20" s="535"/>
      <c r="B20" s="598"/>
      <c r="C20" s="579" t="s">
        <v>3028</v>
      </c>
      <c r="D20" s="558"/>
      <c r="E20" s="559" t="s">
        <v>3028</v>
      </c>
      <c r="F20" s="560"/>
      <c r="G20" s="561" t="s">
        <v>3028</v>
      </c>
      <c r="H20" s="558"/>
      <c r="I20" s="559" t="s">
        <v>3028</v>
      </c>
      <c r="J20" s="558"/>
      <c r="K20" s="873"/>
      <c r="L20" s="2147"/>
      <c r="M20" s="2139"/>
      <c r="N20" s="2139"/>
      <c r="O20" s="2146"/>
      <c r="P20" s="3392"/>
      <c r="Q20" s="1576"/>
      <c r="R20" s="1577"/>
      <c r="S20" s="1578"/>
      <c r="T20" s="1577"/>
      <c r="U20" s="1578"/>
      <c r="V20" s="1577"/>
      <c r="W20" s="1578"/>
      <c r="X20" s="1571"/>
      <c r="Y20" s="3392"/>
      <c r="Z20" s="1579"/>
      <c r="AA20" s="1580">
        <v>1</v>
      </c>
      <c r="AB20" s="1580">
        <v>1</v>
      </c>
      <c r="AC20" s="1580">
        <v>1</v>
      </c>
    </row>
    <row r="21" spans="1:29" ht="15">
      <c r="A21" s="535"/>
      <c r="B21" s="2622" t="s">
        <v>2563</v>
      </c>
      <c r="C21" s="875" t="str">
        <f>估价对象房地状况!C8</f>
        <v>六通一平</v>
      </c>
      <c r="D21" s="568">
        <v>100</v>
      </c>
      <c r="E21" s="3189" t="s">
        <v>3071</v>
      </c>
      <c r="F21" s="574">
        <f>SUMIF(82:82,E22,83:83)-SUMIF(82:82,C22,83:83)+100</f>
        <v>100</v>
      </c>
      <c r="G21" s="3189" t="s">
        <v>3071</v>
      </c>
      <c r="H21" s="568">
        <f>SUMIF(82:82,G22,83:83)-SUMIF(82:82,C22,83:83)+100</f>
        <v>100</v>
      </c>
      <c r="I21" s="3188" t="s">
        <v>3071</v>
      </c>
      <c r="J21" s="568">
        <f>SUMIF(82:82,I22,83:83)-SUMIF(82:82,C22,83:83)+100</f>
        <v>100</v>
      </c>
      <c r="K21" s="871"/>
      <c r="L21" s="2147"/>
      <c r="M21" s="2139"/>
      <c r="N21" s="2139"/>
      <c r="O21" s="2146"/>
      <c r="P21" s="3392"/>
      <c r="Q21" s="2608" t="str">
        <f>B21</f>
        <v>基础设施水平</v>
      </c>
      <c r="R21" s="1577" t="s">
        <v>11</v>
      </c>
      <c r="S21" s="1578">
        <f>F21</f>
        <v>100</v>
      </c>
      <c r="T21" s="1577" t="s">
        <v>11</v>
      </c>
      <c r="U21" s="1578">
        <f>H21</f>
        <v>100</v>
      </c>
      <c r="V21" s="1577" t="s">
        <v>11</v>
      </c>
      <c r="W21" s="1578">
        <f>J21</f>
        <v>100</v>
      </c>
      <c r="X21" s="2610"/>
      <c r="Y21" s="3392"/>
      <c r="Z21" s="2609" t="str">
        <f>Q21</f>
        <v>基础设施水平</v>
      </c>
      <c r="AA21" s="1580">
        <f t="shared" ref="AA21" si="8">D21/F21</f>
        <v>1</v>
      </c>
      <c r="AB21" s="1580">
        <f t="shared" ref="AB21" si="9">D21/H21</f>
        <v>1</v>
      </c>
      <c r="AC21" s="1580">
        <f t="shared" ref="AC21" si="10">D21/J21</f>
        <v>1</v>
      </c>
    </row>
    <row r="22" spans="1:29" ht="15">
      <c r="A22" s="535"/>
      <c r="B22" s="925"/>
      <c r="C22" s="876" t="s">
        <v>3072</v>
      </c>
      <c r="D22" s="558"/>
      <c r="E22" s="579" t="s">
        <v>3072</v>
      </c>
      <c r="F22" s="560"/>
      <c r="G22" s="579" t="s">
        <v>3072</v>
      </c>
      <c r="H22" s="558"/>
      <c r="I22" s="579" t="s">
        <v>3072</v>
      </c>
      <c r="J22" s="558"/>
      <c r="K22" s="2628"/>
      <c r="L22" s="2147"/>
      <c r="M22" s="2139"/>
      <c r="N22" s="2139"/>
      <c r="O22" s="2146"/>
      <c r="P22" s="3392"/>
      <c r="Q22" s="2608"/>
      <c r="R22" s="1577"/>
      <c r="S22" s="1578"/>
      <c r="T22" s="1577"/>
      <c r="U22" s="1578"/>
      <c r="V22" s="1577"/>
      <c r="W22" s="1578"/>
      <c r="X22" s="2610"/>
      <c r="Y22" s="3392"/>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3073</v>
      </c>
      <c r="F23" s="566">
        <f>SUMIF(84:84,E24,85:85)-SUMIF(84:84,C24,85:85)+100</f>
        <v>100</v>
      </c>
      <c r="G23" s="3191" t="s">
        <v>3073</v>
      </c>
      <c r="H23" s="562">
        <f>SUMIF(84:84,G24,85:85)-SUMIF(84:84,C24,85:85)+100</f>
        <v>100</v>
      </c>
      <c r="I23" s="3190" t="s">
        <v>3073</v>
      </c>
      <c r="J23" s="562">
        <f>SUMIF(84:84,I24,85:85)-SUMIF(84:84,C24,85:85)+100</f>
        <v>100</v>
      </c>
      <c r="K23" s="871"/>
      <c r="L23" s="2147"/>
      <c r="M23" s="2139"/>
      <c r="N23" s="2139"/>
      <c r="O23" s="2146"/>
      <c r="P23" s="3392"/>
      <c r="Q23" s="1576" t="str">
        <f>B23</f>
        <v>自然及人文环境</v>
      </c>
      <c r="R23" s="1577" t="s">
        <v>11</v>
      </c>
      <c r="S23" s="1578">
        <f>F23</f>
        <v>100</v>
      </c>
      <c r="T23" s="1577" t="s">
        <v>11</v>
      </c>
      <c r="U23" s="1578">
        <f>H23</f>
        <v>100</v>
      </c>
      <c r="V23" s="1577" t="s">
        <v>11</v>
      </c>
      <c r="W23" s="1578">
        <f>J23</f>
        <v>100</v>
      </c>
      <c r="X23" s="1571"/>
      <c r="Y23" s="3392"/>
      <c r="Z23" s="1579" t="str">
        <f>Q23</f>
        <v>自然及人文环境</v>
      </c>
      <c r="AA23" s="1580">
        <f t="shared" si="3"/>
        <v>1</v>
      </c>
      <c r="AB23" s="1580">
        <f t="shared" si="4"/>
        <v>1</v>
      </c>
      <c r="AC23" s="1580">
        <f t="shared" si="5"/>
        <v>1</v>
      </c>
    </row>
    <row r="24" spans="1:29" ht="15">
      <c r="A24" s="535"/>
      <c r="B24" s="598"/>
      <c r="C24" s="579" t="s">
        <v>3028</v>
      </c>
      <c r="D24" s="558"/>
      <c r="E24" s="559" t="s">
        <v>3028</v>
      </c>
      <c r="F24" s="560"/>
      <c r="G24" s="561" t="s">
        <v>3028</v>
      </c>
      <c r="H24" s="558"/>
      <c r="I24" s="559" t="s">
        <v>3028</v>
      </c>
      <c r="J24" s="558"/>
      <c r="K24" s="873"/>
      <c r="L24" s="2147"/>
      <c r="M24" s="2139"/>
      <c r="N24" s="2139"/>
      <c r="O24" s="2146"/>
      <c r="P24" s="3392"/>
      <c r="Q24" s="1576"/>
      <c r="R24" s="1577"/>
      <c r="S24" s="1578"/>
      <c r="T24" s="1577"/>
      <c r="U24" s="1578"/>
      <c r="V24" s="1577"/>
      <c r="W24" s="1578"/>
      <c r="X24" s="1571"/>
      <c r="Y24" s="3392"/>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92"/>
      <c r="Q25" s="1576" t="str">
        <f t="shared" ref="Q25:Q46" si="11">B25</f>
        <v>楼层-1</v>
      </c>
      <c r="R25" s="1577" t="s">
        <v>11</v>
      </c>
      <c r="S25" s="1578">
        <f>F25</f>
        <v>100</v>
      </c>
      <c r="T25" s="1577" t="s">
        <v>11</v>
      </c>
      <c r="U25" s="1578">
        <f>H25</f>
        <v>100</v>
      </c>
      <c r="V25" s="1577" t="s">
        <v>11</v>
      </c>
      <c r="W25" s="1578">
        <f>J25</f>
        <v>100</v>
      </c>
      <c r="X25" s="1571"/>
      <c r="Y25" s="3392"/>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92"/>
      <c r="Q26" s="1576" t="str">
        <f t="shared" si="11"/>
        <v>朝向</v>
      </c>
      <c r="R26" s="1577" t="s">
        <v>11</v>
      </c>
      <c r="S26" s="1578">
        <f>F26</f>
        <v>100</v>
      </c>
      <c r="T26" s="1577" t="s">
        <v>11</v>
      </c>
      <c r="U26" s="1578">
        <f>H26</f>
        <v>100</v>
      </c>
      <c r="V26" s="1577" t="s">
        <v>11</v>
      </c>
      <c r="W26" s="1578">
        <f>J26</f>
        <v>100</v>
      </c>
      <c r="X26" s="1571"/>
      <c r="Y26" s="3392"/>
      <c r="Z26" s="1579" t="str">
        <f>Q26</f>
        <v>朝向</v>
      </c>
      <c r="AA26" s="1580">
        <f t="shared" si="3"/>
        <v>1</v>
      </c>
      <c r="AB26" s="1580">
        <f t="shared" si="4"/>
        <v>1</v>
      </c>
      <c r="AC26" s="1580">
        <f t="shared" si="5"/>
        <v>1</v>
      </c>
    </row>
    <row r="27" spans="1:29" s="1223" customFormat="1" ht="15.75" thickBot="1">
      <c r="A27" s="539"/>
      <c r="B27" s="540" t="s">
        <v>725</v>
      </c>
      <c r="C27" s="531" t="s">
        <v>3040</v>
      </c>
      <c r="D27" s="878">
        <v>100</v>
      </c>
      <c r="E27" s="531" t="s">
        <v>3040</v>
      </c>
      <c r="F27" s="879">
        <f>SUMIF(90:90,E27,91:91)-SUMIF(90:90,C27,91:91)+100</f>
        <v>100</v>
      </c>
      <c r="G27" s="531" t="s">
        <v>3040</v>
      </c>
      <c r="H27" s="878">
        <f>SUMIF(90:90,G27,91:91)-SUMIF(90:90,C27,91:91)+100</f>
        <v>100</v>
      </c>
      <c r="I27" s="531" t="s">
        <v>3040</v>
      </c>
      <c r="J27" s="878">
        <f>SUMIF(90:90,I27,91:91)-SUMIF(90:90,C27,91:91)+100</f>
        <v>100</v>
      </c>
      <c r="K27" s="868"/>
      <c r="L27" s="2140"/>
      <c r="M27" s="2141"/>
      <c r="N27" s="2141"/>
      <c r="O27" s="2142"/>
      <c r="P27" s="3392"/>
      <c r="Q27" s="1154" t="str">
        <f t="shared" si="11"/>
        <v>道路级别</v>
      </c>
      <c r="R27" s="1572" t="s">
        <v>11</v>
      </c>
      <c r="S27" s="1573">
        <f>F27</f>
        <v>100</v>
      </c>
      <c r="T27" s="1572" t="s">
        <v>11</v>
      </c>
      <c r="U27" s="1573">
        <f>H27</f>
        <v>100</v>
      </c>
      <c r="V27" s="1572" t="s">
        <v>11</v>
      </c>
      <c r="W27" s="1573">
        <f>J27</f>
        <v>100</v>
      </c>
      <c r="X27" s="1574"/>
      <c r="Y27" s="3392"/>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92"/>
      <c r="Q28" s="1576">
        <f t="shared" si="11"/>
        <v>111</v>
      </c>
      <c r="R28" s="1577" t="s">
        <v>11</v>
      </c>
      <c r="S28" s="1578">
        <f t="shared" ref="S28:S46" si="12">F28</f>
        <v>100</v>
      </c>
      <c r="T28" s="1577" t="s">
        <v>11</v>
      </c>
      <c r="U28" s="1578">
        <f t="shared" ref="U28:U46" si="13">H28</f>
        <v>100</v>
      </c>
      <c r="V28" s="1577" t="s">
        <v>11</v>
      </c>
      <c r="W28" s="1578">
        <f t="shared" ref="W28:W46" si="14">J28</f>
        <v>100</v>
      </c>
      <c r="X28" s="1571"/>
      <c r="Y28" s="3392"/>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92"/>
      <c r="Q29" s="1576">
        <f t="shared" si="11"/>
        <v>111</v>
      </c>
      <c r="R29" s="1577" t="s">
        <v>11</v>
      </c>
      <c r="S29" s="1578">
        <f t="shared" si="12"/>
        <v>100</v>
      </c>
      <c r="T29" s="1577" t="s">
        <v>11</v>
      </c>
      <c r="U29" s="1578">
        <f t="shared" si="13"/>
        <v>100</v>
      </c>
      <c r="V29" s="1577" t="s">
        <v>11</v>
      </c>
      <c r="W29" s="1578">
        <f t="shared" si="14"/>
        <v>100</v>
      </c>
      <c r="X29" s="1571"/>
      <c r="Y29" s="3392"/>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92"/>
      <c r="Q30" s="1576">
        <f t="shared" si="11"/>
        <v>111</v>
      </c>
      <c r="R30" s="1577" t="s">
        <v>11</v>
      </c>
      <c r="S30" s="1578">
        <f t="shared" si="12"/>
        <v>100</v>
      </c>
      <c r="T30" s="1577" t="s">
        <v>11</v>
      </c>
      <c r="U30" s="1578">
        <f t="shared" si="13"/>
        <v>100</v>
      </c>
      <c r="V30" s="1577" t="s">
        <v>11</v>
      </c>
      <c r="W30" s="1578">
        <f t="shared" si="14"/>
        <v>100</v>
      </c>
      <c r="X30" s="1571"/>
      <c r="Y30" s="3392"/>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92"/>
      <c r="Q31" s="1576">
        <f t="shared" si="11"/>
        <v>111</v>
      </c>
      <c r="R31" s="1577" t="s">
        <v>11</v>
      </c>
      <c r="S31" s="1578">
        <f t="shared" si="12"/>
        <v>100</v>
      </c>
      <c r="T31" s="1577" t="s">
        <v>11</v>
      </c>
      <c r="U31" s="1578">
        <f t="shared" si="13"/>
        <v>100</v>
      </c>
      <c r="V31" s="1577" t="s">
        <v>11</v>
      </c>
      <c r="W31" s="1578">
        <f t="shared" si="14"/>
        <v>100</v>
      </c>
      <c r="X31" s="1571"/>
      <c r="Y31" s="3392"/>
      <c r="Z31" s="1579">
        <f t="shared" si="15"/>
        <v>111</v>
      </c>
      <c r="AA31" s="1580">
        <f t="shared" si="3"/>
        <v>1</v>
      </c>
      <c r="AB31" s="1580">
        <f t="shared" si="4"/>
        <v>1</v>
      </c>
      <c r="AC31" s="1580">
        <f t="shared" si="5"/>
        <v>1</v>
      </c>
    </row>
    <row r="32" spans="1:29" ht="15">
      <c r="A32" s="2938" t="s">
        <v>2761</v>
      </c>
      <c r="B32" s="172" t="s">
        <v>726</v>
      </c>
      <c r="C32" s="881" t="s">
        <v>3038</v>
      </c>
      <c r="D32" s="600">
        <v>100</v>
      </c>
      <c r="E32" s="882" t="s">
        <v>3038</v>
      </c>
      <c r="F32" s="578">
        <f>SUMIF(100:100,E32,101:101)-SUMIF(100:100,C32,101:101)+100</f>
        <v>100</v>
      </c>
      <c r="G32" s="881" t="s">
        <v>3038</v>
      </c>
      <c r="H32" s="600">
        <f>SUMIF(100:100,G32,101:101)-SUMIF(100:100,C32,101:101)+100</f>
        <v>100</v>
      </c>
      <c r="I32" s="882" t="s">
        <v>3038</v>
      </c>
      <c r="J32" s="543">
        <f>SUMIF(100:100,I32,101:101)-SUMIF(100:100,C32,101:101)+100</f>
        <v>100</v>
      </c>
      <c r="K32" s="867">
        <v>2</v>
      </c>
      <c r="L32" s="2147"/>
      <c r="M32" s="2139"/>
      <c r="N32" s="2139"/>
      <c r="O32" s="2146"/>
      <c r="P32" s="3393" t="s">
        <v>551</v>
      </c>
      <c r="Q32" s="1576" t="str">
        <f t="shared" si="11"/>
        <v>建筑类型</v>
      </c>
      <c r="R32" s="1577" t="s">
        <v>11</v>
      </c>
      <c r="S32" s="1578">
        <f t="shared" si="12"/>
        <v>100</v>
      </c>
      <c r="T32" s="1577" t="s">
        <v>11</v>
      </c>
      <c r="U32" s="1578">
        <f t="shared" si="13"/>
        <v>100</v>
      </c>
      <c r="V32" s="1577" t="s">
        <v>11</v>
      </c>
      <c r="W32" s="1578">
        <f t="shared" si="14"/>
        <v>100</v>
      </c>
      <c r="X32" s="1571"/>
      <c r="Y32" s="3394"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394"/>
      <c r="Q33" s="1609" t="str">
        <f t="shared" si="11"/>
        <v>项目建筑规模</v>
      </c>
      <c r="R33" s="1581" t="s">
        <v>11</v>
      </c>
      <c r="S33" s="1582">
        <f t="shared" si="12"/>
        <v>98</v>
      </c>
      <c r="T33" s="1581" t="s">
        <v>11</v>
      </c>
      <c r="U33" s="1582">
        <f t="shared" si="13"/>
        <v>94</v>
      </c>
      <c r="V33" s="1581" t="s">
        <v>11</v>
      </c>
      <c r="W33" s="1582">
        <f t="shared" si="14"/>
        <v>96</v>
      </c>
      <c r="X33" s="1583"/>
      <c r="Y33" s="3394"/>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3022</v>
      </c>
      <c r="D34" s="543">
        <v>100</v>
      </c>
      <c r="E34" s="885" t="s">
        <v>3022</v>
      </c>
      <c r="F34" s="578">
        <f>SUMIF(105:105,E34,106:106)-SUMIF(105:105,C34,106:106)+100</f>
        <v>100</v>
      </c>
      <c r="G34" s="884" t="s">
        <v>3022</v>
      </c>
      <c r="H34" s="543">
        <f>SUMIF(105:105,G34,106:106)-SUMIF(105:105,C34,106:106)+100</f>
        <v>100</v>
      </c>
      <c r="I34" s="885" t="s">
        <v>3022</v>
      </c>
      <c r="J34" s="543">
        <f>SUMIF(105:105,I34,106:106)-SUMIF(105:105,C34,106:106)+100</f>
        <v>100</v>
      </c>
      <c r="K34" s="867">
        <v>2</v>
      </c>
      <c r="L34" s="2147"/>
      <c r="M34" s="2139"/>
      <c r="N34" s="2139"/>
      <c r="O34" s="2146"/>
      <c r="P34" s="3394"/>
      <c r="Q34" s="1576" t="str">
        <f t="shared" si="11"/>
        <v>建筑结构</v>
      </c>
      <c r="R34" s="1577" t="s">
        <v>11</v>
      </c>
      <c r="S34" s="1578">
        <f t="shared" si="12"/>
        <v>100</v>
      </c>
      <c r="T34" s="1577" t="s">
        <v>11</v>
      </c>
      <c r="U34" s="1578">
        <f t="shared" si="13"/>
        <v>100</v>
      </c>
      <c r="V34" s="1577" t="s">
        <v>11</v>
      </c>
      <c r="W34" s="1578">
        <f t="shared" si="14"/>
        <v>100</v>
      </c>
      <c r="X34" s="1571"/>
      <c r="Y34" s="3394"/>
      <c r="Z34" s="1579" t="str">
        <f t="shared" si="15"/>
        <v>建筑结构</v>
      </c>
      <c r="AA34" s="1580">
        <f t="shared" si="3"/>
        <v>1</v>
      </c>
      <c r="AB34" s="1580">
        <f t="shared" si="4"/>
        <v>1</v>
      </c>
      <c r="AC34" s="1580">
        <f t="shared" si="5"/>
        <v>1</v>
      </c>
    </row>
    <row r="35" spans="1:29" ht="15">
      <c r="A35" s="597"/>
      <c r="B35" s="530" t="s">
        <v>729</v>
      </c>
      <c r="C35" s="602" t="s">
        <v>3026</v>
      </c>
      <c r="D35" s="543">
        <v>100</v>
      </c>
      <c r="E35" s="877" t="s">
        <v>3026</v>
      </c>
      <c r="F35" s="578">
        <f>SUMIF(107:107,E35,108:108)-SUMIF(107:107,C35,108:108)+100</f>
        <v>100</v>
      </c>
      <c r="G35" s="602" t="s">
        <v>3026</v>
      </c>
      <c r="H35" s="543">
        <f>SUMIF(107:107,G35,108:108)-SUMIF(107:107,C35,108:108)+100</f>
        <v>100</v>
      </c>
      <c r="I35" s="877" t="s">
        <v>3026</v>
      </c>
      <c r="J35" s="543">
        <f>SUMIF(107:107,I35,108:108)-SUMIF(107:107,C35,108:108)+100</f>
        <v>100</v>
      </c>
      <c r="K35" s="867">
        <v>2</v>
      </c>
      <c r="L35" s="2147"/>
      <c r="M35" s="2139"/>
      <c r="N35" s="2139"/>
      <c r="O35" s="2146"/>
      <c r="P35" s="3394"/>
      <c r="Q35" s="1576" t="str">
        <f t="shared" si="11"/>
        <v>建筑品质</v>
      </c>
      <c r="R35" s="1577" t="s">
        <v>11</v>
      </c>
      <c r="S35" s="1578">
        <f t="shared" si="12"/>
        <v>100</v>
      </c>
      <c r="T35" s="1577" t="s">
        <v>11</v>
      </c>
      <c r="U35" s="1578">
        <f t="shared" si="13"/>
        <v>100</v>
      </c>
      <c r="V35" s="1577" t="s">
        <v>11</v>
      </c>
      <c r="W35" s="1578">
        <f t="shared" si="14"/>
        <v>100</v>
      </c>
      <c r="X35" s="1571"/>
      <c r="Y35" s="3394"/>
      <c r="Z35" s="1579" t="str">
        <f t="shared" si="15"/>
        <v>建筑品质</v>
      </c>
      <c r="AA35" s="1580">
        <f t="shared" si="3"/>
        <v>1</v>
      </c>
      <c r="AB35" s="1580">
        <f t="shared" si="4"/>
        <v>1</v>
      </c>
      <c r="AC35" s="1580">
        <f t="shared" si="5"/>
        <v>1</v>
      </c>
    </row>
    <row r="36" spans="1:29" ht="15">
      <c r="A36" s="597"/>
      <c r="B36" s="530" t="s">
        <v>730</v>
      </c>
      <c r="C36" s="602" t="s">
        <v>3032</v>
      </c>
      <c r="D36" s="543">
        <v>100</v>
      </c>
      <c r="E36" s="877" t="s">
        <v>3032</v>
      </c>
      <c r="F36" s="578">
        <f>SUMIF(109:109,E36,110:110)-SUMIF(109:109,C36,110:110)+100</f>
        <v>100</v>
      </c>
      <c r="G36" s="602" t="s">
        <v>3032</v>
      </c>
      <c r="H36" s="543">
        <f>SUMIF(109:109,G36,110:110)-SUMIF(109:109,C36,110:110)+100</f>
        <v>100</v>
      </c>
      <c r="I36" s="877" t="s">
        <v>3032</v>
      </c>
      <c r="J36" s="543">
        <f>SUMIF(109:109,I36,110:110)-SUMIF(109:109,C36,110:110)+100</f>
        <v>100</v>
      </c>
      <c r="K36" s="867">
        <v>2</v>
      </c>
      <c r="L36" s="2147"/>
      <c r="M36" s="2139"/>
      <c r="N36" s="2139"/>
      <c r="O36" s="2146"/>
      <c r="P36" s="3394"/>
      <c r="Q36" s="1576" t="str">
        <f t="shared" si="11"/>
        <v>公共部分装修</v>
      </c>
      <c r="R36" s="1577" t="s">
        <v>11</v>
      </c>
      <c r="S36" s="1578">
        <f t="shared" si="12"/>
        <v>100</v>
      </c>
      <c r="T36" s="1577" t="s">
        <v>11</v>
      </c>
      <c r="U36" s="1578">
        <f t="shared" si="13"/>
        <v>100</v>
      </c>
      <c r="V36" s="1577" t="s">
        <v>11</v>
      </c>
      <c r="W36" s="1578">
        <f t="shared" si="14"/>
        <v>100</v>
      </c>
      <c r="X36" s="1571"/>
      <c r="Y36" s="3394"/>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394"/>
      <c r="Q37" s="1154" t="str">
        <f t="shared" si="11"/>
        <v>成新度</v>
      </c>
      <c r="R37" s="1572" t="s">
        <v>11</v>
      </c>
      <c r="S37" s="1573">
        <f t="shared" si="12"/>
        <v>100</v>
      </c>
      <c r="T37" s="1572" t="s">
        <v>11</v>
      </c>
      <c r="U37" s="1573">
        <f t="shared" si="13"/>
        <v>100</v>
      </c>
      <c r="V37" s="1572" t="s">
        <v>11</v>
      </c>
      <c r="W37" s="1573">
        <f t="shared" si="14"/>
        <v>100</v>
      </c>
      <c r="X37" s="1574"/>
      <c r="Y37" s="3394"/>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94" t="s">
        <v>551</v>
      </c>
      <c r="Q38" s="1576" t="str">
        <f t="shared" si="11"/>
        <v>物业管理</v>
      </c>
      <c r="R38" s="1577" t="s">
        <v>11</v>
      </c>
      <c r="S38" s="1578">
        <f t="shared" si="12"/>
        <v>100</v>
      </c>
      <c r="T38" s="1577" t="s">
        <v>11</v>
      </c>
      <c r="U38" s="1578">
        <f t="shared" si="13"/>
        <v>100</v>
      </c>
      <c r="V38" s="1577" t="s">
        <v>11</v>
      </c>
      <c r="W38" s="1578">
        <f t="shared" si="14"/>
        <v>100</v>
      </c>
      <c r="X38" s="1571"/>
      <c r="Y38" s="3394" t="s">
        <v>551</v>
      </c>
      <c r="Z38" s="1579" t="str">
        <f t="shared" si="15"/>
        <v>物业管理</v>
      </c>
      <c r="AA38" s="1580">
        <f t="shared" si="3"/>
        <v>1</v>
      </c>
      <c r="AB38" s="1580">
        <f t="shared" si="4"/>
        <v>1</v>
      </c>
      <c r="AC38" s="1580">
        <f t="shared" si="5"/>
        <v>1</v>
      </c>
    </row>
    <row r="39" spans="1:29" ht="15">
      <c r="A39" s="597"/>
      <c r="B39" s="1900" t="s">
        <v>2569</v>
      </c>
      <c r="C39" s="3196" t="s">
        <v>3111</v>
      </c>
      <c r="D39" s="543">
        <v>100</v>
      </c>
      <c r="E39" s="3197" t="s">
        <v>3111</v>
      </c>
      <c r="F39" s="578">
        <f>SUMIF(116:116,E39,117:117)-SUMIF(116:116,C39,117:117)+100</f>
        <v>100</v>
      </c>
      <c r="G39" s="3196" t="s">
        <v>3111</v>
      </c>
      <c r="H39" s="543">
        <f>SUMIF(116:116,G39,117:117)-SUMIF(116:116,C39,117:117)+100</f>
        <v>100</v>
      </c>
      <c r="I39" s="3197" t="s">
        <v>3111</v>
      </c>
      <c r="J39" s="543">
        <f>SUMIF(116:116,I39,117:117)-SUMIF(116:116,C39,117:117)+100</f>
        <v>100</v>
      </c>
      <c r="K39" s="867">
        <v>2</v>
      </c>
      <c r="L39" s="2147"/>
      <c r="M39" s="2139"/>
      <c r="N39" s="2139"/>
      <c r="O39" s="2146"/>
      <c r="P39" s="3394"/>
      <c r="Q39" s="1576" t="str">
        <f t="shared" si="11"/>
        <v>市政基础设施</v>
      </c>
      <c r="R39" s="1577" t="s">
        <v>11</v>
      </c>
      <c r="S39" s="1578">
        <f t="shared" si="12"/>
        <v>100</v>
      </c>
      <c r="T39" s="1577" t="s">
        <v>11</v>
      </c>
      <c r="U39" s="1578">
        <f t="shared" si="13"/>
        <v>100</v>
      </c>
      <c r="V39" s="1577" t="s">
        <v>11</v>
      </c>
      <c r="W39" s="1578">
        <f t="shared" si="14"/>
        <v>100</v>
      </c>
      <c r="X39" s="1571"/>
      <c r="Y39" s="3394"/>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94"/>
      <c r="Q40" s="1576" t="str">
        <f t="shared" si="11"/>
        <v>房型</v>
      </c>
      <c r="R40" s="1577" t="s">
        <v>11</v>
      </c>
      <c r="S40" s="1578">
        <f t="shared" si="12"/>
        <v>100</v>
      </c>
      <c r="T40" s="1577" t="s">
        <v>11</v>
      </c>
      <c r="U40" s="1578">
        <f t="shared" si="13"/>
        <v>100</v>
      </c>
      <c r="V40" s="1577" t="s">
        <v>11</v>
      </c>
      <c r="W40" s="1578">
        <f t="shared" si="14"/>
        <v>100</v>
      </c>
      <c r="X40" s="1571"/>
      <c r="Y40" s="3394"/>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94"/>
      <c r="Q41" s="1609" t="str">
        <f t="shared" si="11"/>
        <v>单套/主力户型建筑面积</v>
      </c>
      <c r="R41" s="1581" t="s">
        <v>11</v>
      </c>
      <c r="S41" s="1582">
        <f t="shared" si="12"/>
        <v>100</v>
      </c>
      <c r="T41" s="1581" t="s">
        <v>11</v>
      </c>
      <c r="U41" s="1582">
        <f t="shared" si="13"/>
        <v>100</v>
      </c>
      <c r="V41" s="1581" t="s">
        <v>11</v>
      </c>
      <c r="W41" s="1582">
        <f t="shared" si="14"/>
        <v>100</v>
      </c>
      <c r="X41" s="1583"/>
      <c r="Y41" s="3394"/>
      <c r="Z41" s="1584" t="str">
        <f t="shared" si="15"/>
        <v>单套/主力户型建筑面积</v>
      </c>
      <c r="AA41" s="1580">
        <f t="shared" si="3"/>
        <v>1</v>
      </c>
      <c r="AB41" s="1580">
        <f t="shared" si="4"/>
        <v>1</v>
      </c>
      <c r="AC41" s="1580">
        <f t="shared" si="5"/>
        <v>1</v>
      </c>
    </row>
    <row r="42" spans="1:29" ht="15">
      <c r="A42" s="597"/>
      <c r="B42" s="530" t="s">
        <v>735</v>
      </c>
      <c r="C42" s="602" t="s">
        <v>3032</v>
      </c>
      <c r="D42" s="543">
        <v>100</v>
      </c>
      <c r="E42" s="877" t="s">
        <v>3032</v>
      </c>
      <c r="F42" s="578">
        <f>SUMIF(122:122,E42,123:123)-SUMIF(122:122,C42,123:123)+100</f>
        <v>100</v>
      </c>
      <c r="G42" s="602" t="s">
        <v>3036</v>
      </c>
      <c r="H42" s="543">
        <f>SUMIF(122:122,G42,123:123)-SUMIF(122:122,C42,123:123)+100</f>
        <v>97</v>
      </c>
      <c r="I42" s="877" t="s">
        <v>3036</v>
      </c>
      <c r="J42" s="543">
        <f>SUMIF(122:122,I42,123:123)-SUMIF(122:122,C42,123:123)+100</f>
        <v>97</v>
      </c>
      <c r="K42" s="867">
        <v>1</v>
      </c>
      <c r="L42" s="2147"/>
      <c r="M42" s="2139"/>
      <c r="N42" s="2139"/>
      <c r="O42" s="2146"/>
      <c r="P42" s="3394"/>
      <c r="Q42" s="1576" t="str">
        <f t="shared" si="11"/>
        <v>内部装修</v>
      </c>
      <c r="R42" s="1577" t="s">
        <v>11</v>
      </c>
      <c r="S42" s="1578">
        <f t="shared" si="12"/>
        <v>100</v>
      </c>
      <c r="T42" s="1577" t="s">
        <v>11</v>
      </c>
      <c r="U42" s="1578">
        <f t="shared" si="13"/>
        <v>97</v>
      </c>
      <c r="V42" s="1577" t="s">
        <v>11</v>
      </c>
      <c r="W42" s="1578">
        <f t="shared" si="14"/>
        <v>97</v>
      </c>
      <c r="X42" s="1571"/>
      <c r="Y42" s="3394"/>
      <c r="Z42" s="1579" t="str">
        <f t="shared" si="15"/>
        <v>内部装修</v>
      </c>
      <c r="AA42" s="1580">
        <f t="shared" si="3"/>
        <v>1</v>
      </c>
      <c r="AB42" s="1580">
        <f t="shared" si="4"/>
        <v>1.0309278350515463</v>
      </c>
      <c r="AC42" s="1580">
        <f t="shared" si="5"/>
        <v>1.0309278350515463</v>
      </c>
    </row>
    <row r="43" spans="1:29" ht="27.75" thickBot="1">
      <c r="A43" s="597"/>
      <c r="B43" s="530" t="s">
        <v>736</v>
      </c>
      <c r="C43" s="602" t="s">
        <v>3026</v>
      </c>
      <c r="D43" s="543">
        <v>100</v>
      </c>
      <c r="E43" s="877" t="s">
        <v>3026</v>
      </c>
      <c r="F43" s="578">
        <f>SUMIF(124:124,E43,125:125)-SUMIF(124:124,C43,125:125)+100</f>
        <v>100</v>
      </c>
      <c r="G43" s="602" t="s">
        <v>3026</v>
      </c>
      <c r="H43" s="543">
        <f>SUMIF(124:124,G43,125:125)-SUMIF(124:124,C43,125:125)+100</f>
        <v>100</v>
      </c>
      <c r="I43" s="877" t="s">
        <v>3026</v>
      </c>
      <c r="J43" s="543">
        <f>SUMIF(124:124,I43,125:125)-SUMIF(124:124,C43,125:125)+100</f>
        <v>100</v>
      </c>
      <c r="K43" s="867"/>
      <c r="L43" s="2147"/>
      <c r="M43" s="2139"/>
      <c r="N43" s="2139"/>
      <c r="O43" s="2146"/>
      <c r="P43" s="3394"/>
      <c r="Q43" s="1576" t="str">
        <f t="shared" si="11"/>
        <v>内部装修维护情况</v>
      </c>
      <c r="R43" s="1577" t="s">
        <v>11</v>
      </c>
      <c r="S43" s="1578">
        <f t="shared" si="12"/>
        <v>100</v>
      </c>
      <c r="T43" s="1577" t="s">
        <v>11</v>
      </c>
      <c r="U43" s="1578">
        <f t="shared" si="13"/>
        <v>100</v>
      </c>
      <c r="V43" s="1577" t="s">
        <v>11</v>
      </c>
      <c r="W43" s="1578">
        <f t="shared" si="14"/>
        <v>100</v>
      </c>
      <c r="X43" s="1571"/>
      <c r="Y43" s="3394"/>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94"/>
      <c r="Q44" s="1154">
        <f t="shared" si="11"/>
        <v>111</v>
      </c>
      <c r="R44" s="1572" t="s">
        <v>11</v>
      </c>
      <c r="S44" s="1573">
        <f t="shared" si="12"/>
        <v>100</v>
      </c>
      <c r="T44" s="1572" t="s">
        <v>11</v>
      </c>
      <c r="U44" s="1573">
        <f t="shared" si="13"/>
        <v>100</v>
      </c>
      <c r="V44" s="1572" t="s">
        <v>11</v>
      </c>
      <c r="W44" s="1573">
        <f t="shared" si="14"/>
        <v>100</v>
      </c>
      <c r="X44" s="1574"/>
      <c r="Y44" s="3394"/>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94"/>
      <c r="Q45" s="1576">
        <f t="shared" si="11"/>
        <v>111</v>
      </c>
      <c r="R45" s="1577" t="s">
        <v>11</v>
      </c>
      <c r="S45" s="1578">
        <f t="shared" si="12"/>
        <v>100</v>
      </c>
      <c r="T45" s="1577" t="s">
        <v>11</v>
      </c>
      <c r="U45" s="1578">
        <f t="shared" si="13"/>
        <v>100</v>
      </c>
      <c r="V45" s="1577" t="s">
        <v>11</v>
      </c>
      <c r="W45" s="1578">
        <f t="shared" si="14"/>
        <v>100</v>
      </c>
      <c r="X45" s="1571"/>
      <c r="Y45" s="3394"/>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95"/>
      <c r="Q46" s="1576">
        <f t="shared" si="11"/>
        <v>111</v>
      </c>
      <c r="R46" s="1577" t="s">
        <v>10</v>
      </c>
      <c r="S46" s="1578">
        <f t="shared" si="12"/>
        <v>100</v>
      </c>
      <c r="T46" s="1577" t="s">
        <v>10</v>
      </c>
      <c r="U46" s="1578">
        <f t="shared" si="13"/>
        <v>100</v>
      </c>
      <c r="V46" s="1577" t="s">
        <v>10</v>
      </c>
      <c r="W46" s="1578">
        <f t="shared" si="14"/>
        <v>100</v>
      </c>
      <c r="X46" s="1571"/>
      <c r="Y46" s="3495"/>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89" t="str">
        <f>A47</f>
        <v>成交单价（元/平方米）</v>
      </c>
      <c r="Q47" s="3389"/>
      <c r="R47" s="3494">
        <f>E47</f>
        <v>16000</v>
      </c>
      <c r="S47" s="3494"/>
      <c r="T47" s="3494">
        <f>G47</f>
        <v>15500</v>
      </c>
      <c r="U47" s="3494"/>
      <c r="V47" s="3494">
        <f>I47</f>
        <v>15500</v>
      </c>
      <c r="W47" s="3494"/>
      <c r="X47" s="1563"/>
      <c r="Y47" s="1585"/>
      <c r="Z47" s="1563"/>
      <c r="AA47" s="1563"/>
      <c r="AB47" s="1563"/>
      <c r="AC47" s="1563"/>
    </row>
    <row r="48" spans="1:29" ht="15.75" thickBot="1">
      <c r="A48" s="618" t="s">
        <v>2766</v>
      </c>
      <c r="B48" s="891"/>
      <c r="C48" s="2662">
        <f>R49</f>
        <v>16657</v>
      </c>
      <c r="D48" s="2663"/>
      <c r="E48" s="2664">
        <f>R48</f>
        <v>16327</v>
      </c>
      <c r="F48" s="2664"/>
      <c r="G48" s="2662">
        <f>T48</f>
        <v>16999</v>
      </c>
      <c r="H48" s="2663"/>
      <c r="I48" s="2664">
        <f>V48</f>
        <v>16645</v>
      </c>
      <c r="J48" s="2663"/>
      <c r="K48" s="1611"/>
      <c r="L48" s="2149"/>
      <c r="M48" s="2150"/>
      <c r="N48" s="2150"/>
      <c r="O48" s="2150"/>
      <c r="P48" s="3389" t="str">
        <f>A48</f>
        <v>比较价格（元/平方米）</v>
      </c>
      <c r="Q48" s="3389"/>
      <c r="R48" s="3494">
        <f>IF(F1="售价",ROUND(PRODUCT(R47,AA7:AA46),0),ROUND(PRODUCT(R47,AA7:AA46),1))</f>
        <v>16327</v>
      </c>
      <c r="S48" s="3494"/>
      <c r="T48" s="3494">
        <f>IF(F1="售价",ROUND(PRODUCT(T47,AB7:AB46),0),ROUND(PRODUCT(T47,AB7:AB46),1))</f>
        <v>16999</v>
      </c>
      <c r="U48" s="3494"/>
      <c r="V48" s="3494">
        <f>IF(F1="售价",ROUND(PRODUCT(V47,AC7:AC46),0),ROUND(PRODUCT(V47,AC7:AC46),1))</f>
        <v>16645</v>
      </c>
      <c r="W48" s="3494"/>
      <c r="X48" s="1563"/>
      <c r="Y48" s="1563"/>
      <c r="Z48" s="1563"/>
      <c r="AA48" s="1563"/>
      <c r="AB48" s="1563"/>
      <c r="AC48" s="1563"/>
    </row>
    <row r="49" spans="1:29" ht="15.75" thickBot="1">
      <c r="A49" s="624" t="s">
        <v>2938</v>
      </c>
      <c r="B49" s="625"/>
      <c r="C49" s="2665">
        <f>R49</f>
        <v>16657</v>
      </c>
      <c r="D49" s="2665"/>
      <c r="E49" s="2665"/>
      <c r="F49" s="2665"/>
      <c r="G49" s="2665"/>
      <c r="H49" s="2665"/>
      <c r="I49" s="2665"/>
      <c r="J49" s="2665"/>
      <c r="K49" s="1612"/>
      <c r="L49" s="2149"/>
      <c r="M49" s="2150"/>
      <c r="N49" s="2150"/>
      <c r="O49" s="2150"/>
      <c r="P49" s="3411" t="str">
        <f>A49</f>
        <v>估价对象XX用房的比较价格（楼面单价，元/平方米）</v>
      </c>
      <c r="Q49" s="3412"/>
      <c r="R49" s="3493">
        <f>IF(F1="售价",ROUND(AVERAGE(R48:V48),0),ROUND(AVERAGE(R48:V48),1))</f>
        <v>16657</v>
      </c>
      <c r="S49" s="3493"/>
      <c r="T49" s="3493"/>
      <c r="U49" s="3493"/>
      <c r="V49" s="3493"/>
      <c r="W49" s="349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2.0437500000000108E-2</v>
      </c>
      <c r="F52" s="630" t="str">
        <f>IF(OR(E52&gt;=0.3,E52&lt;=-0.3),"超过30%","")</f>
        <v/>
      </c>
      <c r="G52" s="629">
        <f>IF(G47&lt;G48,G48/G47-1,G47/G48-1)</f>
        <v>9.6709677419354767E-2</v>
      </c>
      <c r="H52" s="630" t="str">
        <f>IF(OR(G52&gt;=0.3,G52&lt;=-0.3),"超过30%","")</f>
        <v/>
      </c>
      <c r="I52" s="629">
        <f>IF(I47&lt;I48,I48/I47-1,I47/I48-1)</f>
        <v>7.3870967741935578E-2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4.1158816684020438E-2</v>
      </c>
      <c r="F53" s="630" t="str">
        <f>IF(OR(E53&gt;=0.2,E53&lt;=-0.2),"超过20%","")</f>
        <v/>
      </c>
      <c r="G53" s="629">
        <f>IF(G48&lt;I48,I48/G48-1,G48/I48-1)</f>
        <v>2.1267647942325052E-2</v>
      </c>
      <c r="H53" s="630" t="str">
        <f>IF(OR(G53&gt;=0.2,G53&lt;=-0.2),"超过20%","")</f>
        <v/>
      </c>
      <c r="I53" s="629">
        <f>IF(I48&lt;E48,E48/I48-1,I48/E48-1)</f>
        <v>1.9476940037973955E-2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3039</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3023</v>
      </c>
      <c r="D105" s="3174" t="s">
        <v>3024</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3025</v>
      </c>
      <c r="D107" s="3175" t="s">
        <v>3027</v>
      </c>
      <c r="E107" s="3175" t="s">
        <v>3029</v>
      </c>
      <c r="F107" s="3175" t="s">
        <v>3030</v>
      </c>
      <c r="G107" s="3175" t="s">
        <v>3031</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3033</v>
      </c>
      <c r="D109" s="3174" t="s">
        <v>3034</v>
      </c>
      <c r="E109" s="3174" t="s">
        <v>3035</v>
      </c>
      <c r="F109" s="3175" t="s">
        <v>3037</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3074</v>
      </c>
      <c r="D116" s="3174" t="s">
        <v>3076</v>
      </c>
      <c r="E116" s="3174" t="s">
        <v>3077</v>
      </c>
      <c r="F116" s="3174" t="s">
        <v>3079</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3033</v>
      </c>
      <c r="D122" s="3174" t="s">
        <v>3034</v>
      </c>
      <c r="E122" s="3174" t="s">
        <v>3035</v>
      </c>
      <c r="F122" s="3175" t="s">
        <v>3037</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95" t="s">
        <v>523</v>
      </c>
      <c r="D4" s="3396"/>
      <c r="E4" s="3420" t="s">
        <v>524</v>
      </c>
      <c r="F4" s="3421"/>
      <c r="G4" s="3395" t="s">
        <v>525</v>
      </c>
      <c r="H4" s="3396"/>
      <c r="I4" s="3395" t="s">
        <v>526</v>
      </c>
      <c r="J4" s="3396"/>
      <c r="K4" s="517" t="s">
        <v>527</v>
      </c>
      <c r="L4" s="2138"/>
      <c r="M4" s="2139"/>
      <c r="N4" s="2139"/>
      <c r="O4" s="2139"/>
      <c r="P4" s="3397" t="s">
        <v>528</v>
      </c>
      <c r="Q4" s="3398"/>
      <c r="R4" s="3383" t="s">
        <v>524</v>
      </c>
      <c r="S4" s="3384"/>
      <c r="T4" s="3383" t="s">
        <v>525</v>
      </c>
      <c r="U4" s="3384"/>
      <c r="V4" s="3403" t="s">
        <v>526</v>
      </c>
      <c r="W4" s="3403"/>
      <c r="X4" s="1571"/>
      <c r="Y4" s="3383" t="s">
        <v>528</v>
      </c>
      <c r="Z4" s="3384"/>
      <c r="AA4" s="3378" t="s">
        <v>524</v>
      </c>
      <c r="AB4" s="3403" t="s">
        <v>525</v>
      </c>
      <c r="AC4" s="3378" t="s">
        <v>526</v>
      </c>
    </row>
    <row r="5" spans="1:29" ht="15">
      <c r="A5" s="518"/>
      <c r="B5" s="519"/>
      <c r="C5" s="3408" t="s">
        <v>2932</v>
      </c>
      <c r="D5" s="3407"/>
      <c r="E5" s="3422" t="s">
        <v>2933</v>
      </c>
      <c r="F5" s="3423"/>
      <c r="G5" s="3408" t="s">
        <v>2934</v>
      </c>
      <c r="H5" s="3407"/>
      <c r="I5" s="3408" t="s">
        <v>2935</v>
      </c>
      <c r="J5" s="3407"/>
      <c r="K5" s="517"/>
      <c r="L5" s="2138"/>
      <c r="M5" s="2139"/>
      <c r="N5" s="2139"/>
      <c r="O5" s="2139"/>
      <c r="P5" s="3399"/>
      <c r="Q5" s="3400"/>
      <c r="R5" s="3385"/>
      <c r="S5" s="3386"/>
      <c r="T5" s="3385"/>
      <c r="U5" s="3386"/>
      <c r="V5" s="3403"/>
      <c r="W5" s="3403"/>
      <c r="X5" s="1571"/>
      <c r="Y5" s="3385"/>
      <c r="Z5" s="3386"/>
      <c r="AA5" s="3379"/>
      <c r="AB5" s="3403"/>
      <c r="AC5" s="3379"/>
    </row>
    <row r="6" spans="1:29" ht="15.75" thickBot="1">
      <c r="A6" s="520"/>
      <c r="B6" s="521"/>
      <c r="C6" s="3404" t="s">
        <v>2936</v>
      </c>
      <c r="D6" s="3405"/>
      <c r="E6" s="3424" t="s">
        <v>2936</v>
      </c>
      <c r="F6" s="3425"/>
      <c r="G6" s="3404" t="s">
        <v>2936</v>
      </c>
      <c r="H6" s="3405"/>
      <c r="I6" s="3404" t="s">
        <v>2936</v>
      </c>
      <c r="J6" s="3405"/>
      <c r="K6" s="517" t="s">
        <v>529</v>
      </c>
      <c r="L6" s="2138"/>
      <c r="M6" s="2139"/>
      <c r="N6" s="2139"/>
      <c r="O6" s="2139"/>
      <c r="P6" s="3401"/>
      <c r="Q6" s="3402"/>
      <c r="R6" s="3385"/>
      <c r="S6" s="3386"/>
      <c r="T6" s="3387"/>
      <c r="U6" s="3388"/>
      <c r="V6" s="3403"/>
      <c r="W6" s="3403"/>
      <c r="X6" s="1571"/>
      <c r="Y6" s="3387"/>
      <c r="Z6" s="3388"/>
      <c r="AA6" s="3380"/>
      <c r="AB6" s="3403"/>
      <c r="AC6" s="3380"/>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81" t="s">
        <v>531</v>
      </c>
      <c r="Q7" s="3390"/>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81" t="s">
        <v>534</v>
      </c>
      <c r="Q8" s="3382"/>
      <c r="R8" s="1572" t="s">
        <v>8</v>
      </c>
      <c r="S8" s="1573">
        <f t="shared" si="0"/>
        <v>0</v>
      </c>
      <c r="T8" s="1572" t="s">
        <v>8</v>
      </c>
      <c r="U8" s="1573">
        <f t="shared" si="1"/>
        <v>0</v>
      </c>
      <c r="V8" s="1572" t="s">
        <v>8</v>
      </c>
      <c r="W8" s="1573">
        <f t="shared" si="2"/>
        <v>0</v>
      </c>
      <c r="X8" s="1574"/>
      <c r="Y8" s="3381" t="s">
        <v>534</v>
      </c>
      <c r="Z8" s="3382"/>
      <c r="AA8" s="1575" t="e">
        <f t="shared" ref="AA8:AA46" si="3">D8/F8</f>
        <v>#DIV/0!</v>
      </c>
      <c r="AB8" s="1575" t="e">
        <f t="shared" ref="AB8:AB46" si="4">D8/H8</f>
        <v>#DIV/0!</v>
      </c>
      <c r="AC8" s="1575" t="e">
        <f t="shared" ref="AC8:AC46" si="5">D8/J8</f>
        <v>#DIV/0!</v>
      </c>
    </row>
    <row r="9" spans="1:29" s="1223" customFormat="1" ht="15">
      <c r="A9" s="2945"/>
      <c r="B9" s="2952" t="s">
        <v>2762</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89" t="s">
        <v>536</v>
      </c>
      <c r="Q9" s="1154" t="str">
        <f t="shared" ref="Q9:Q15" si="6">B9</f>
        <v>用途</v>
      </c>
      <c r="R9" s="1572" t="s">
        <v>8</v>
      </c>
      <c r="S9" s="1573">
        <f t="shared" si="0"/>
        <v>100</v>
      </c>
      <c r="T9" s="1572" t="s">
        <v>8</v>
      </c>
      <c r="U9" s="1573">
        <f t="shared" si="1"/>
        <v>100</v>
      </c>
      <c r="V9" s="1572" t="s">
        <v>8</v>
      </c>
      <c r="W9" s="1573">
        <f t="shared" si="2"/>
        <v>100</v>
      </c>
      <c r="X9" s="1574"/>
      <c r="Y9" s="334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89"/>
      <c r="Q11" s="1154" t="str">
        <f t="shared" si="6"/>
        <v>容积率</v>
      </c>
      <c r="R11" s="1572" t="s">
        <v>8</v>
      </c>
      <c r="S11" s="1573" t="e">
        <f t="shared" si="0"/>
        <v>#N/A</v>
      </c>
      <c r="T11" s="1572" t="s">
        <v>8</v>
      </c>
      <c r="U11" s="1573" t="e">
        <f t="shared" si="1"/>
        <v>#N/A</v>
      </c>
      <c r="V11" s="1572" t="s">
        <v>8</v>
      </c>
      <c r="W11" s="1573" t="e">
        <f t="shared" si="2"/>
        <v>#N/A</v>
      </c>
      <c r="X11" s="1574"/>
      <c r="Y11" s="334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89"/>
      <c r="Q12" s="1154">
        <f t="shared" si="6"/>
        <v>111</v>
      </c>
      <c r="R12" s="1572" t="s">
        <v>8</v>
      </c>
      <c r="S12" s="1573">
        <f t="shared" si="0"/>
        <v>100</v>
      </c>
      <c r="T12" s="1572" t="s">
        <v>8</v>
      </c>
      <c r="U12" s="1573">
        <f t="shared" si="1"/>
        <v>100</v>
      </c>
      <c r="V12" s="1572" t="s">
        <v>8</v>
      </c>
      <c r="W12" s="1573">
        <f t="shared" si="2"/>
        <v>100</v>
      </c>
      <c r="X12" s="1574"/>
      <c r="Y12" s="334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89"/>
      <c r="Q13" s="1154">
        <f t="shared" si="6"/>
        <v>111</v>
      </c>
      <c r="R13" s="1572" t="s">
        <v>8</v>
      </c>
      <c r="S13" s="1573">
        <f t="shared" si="0"/>
        <v>100</v>
      </c>
      <c r="T13" s="1572" t="s">
        <v>8</v>
      </c>
      <c r="U13" s="1573">
        <f t="shared" si="1"/>
        <v>100</v>
      </c>
      <c r="V13" s="1572" t="s">
        <v>8</v>
      </c>
      <c r="W13" s="1573">
        <f t="shared" si="2"/>
        <v>100</v>
      </c>
      <c r="X13" s="1574"/>
      <c r="Y13" s="334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89"/>
      <c r="Q14" s="1154">
        <f t="shared" si="6"/>
        <v>111</v>
      </c>
      <c r="R14" s="1572" t="s">
        <v>8</v>
      </c>
      <c r="S14" s="1573">
        <f t="shared" si="0"/>
        <v>100</v>
      </c>
      <c r="T14" s="1572" t="s">
        <v>8</v>
      </c>
      <c r="U14" s="1573">
        <f t="shared" si="1"/>
        <v>100</v>
      </c>
      <c r="V14" s="1572" t="s">
        <v>8</v>
      </c>
      <c r="W14" s="1573">
        <f t="shared" si="2"/>
        <v>100</v>
      </c>
      <c r="X14" s="1574"/>
      <c r="Y14" s="3346"/>
      <c r="Z14" s="1153">
        <f t="shared" si="7"/>
        <v>111</v>
      </c>
      <c r="AA14" s="1575">
        <f t="shared" si="3"/>
        <v>1</v>
      </c>
      <c r="AB14" s="1575">
        <f t="shared" si="4"/>
        <v>1</v>
      </c>
      <c r="AC14" s="1575">
        <f t="shared" si="5"/>
        <v>1</v>
      </c>
    </row>
    <row r="15" spans="1:29" ht="71.25">
      <c r="A15" s="2941" t="s">
        <v>2760</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91" t="s">
        <v>541</v>
      </c>
      <c r="Q15" s="1576" t="str">
        <f t="shared" si="6"/>
        <v>商业繁华度</v>
      </c>
      <c r="R15" s="1577" t="s">
        <v>8</v>
      </c>
      <c r="S15" s="1578">
        <f t="shared" si="0"/>
        <v>100</v>
      </c>
      <c r="T15" s="1577" t="s">
        <v>8</v>
      </c>
      <c r="U15" s="1578">
        <f t="shared" si="1"/>
        <v>100</v>
      </c>
      <c r="V15" s="1577" t="s">
        <v>8</v>
      </c>
      <c r="W15" s="1578">
        <f t="shared" si="2"/>
        <v>100</v>
      </c>
      <c r="X15" s="1571"/>
      <c r="Y15" s="3391"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92"/>
      <c r="Q16" s="1576"/>
      <c r="R16" s="1577"/>
      <c r="S16" s="1578"/>
      <c r="T16" s="1577"/>
      <c r="U16" s="1578"/>
      <c r="V16" s="1577"/>
      <c r="W16" s="1578"/>
      <c r="X16" s="1571"/>
      <c r="Y16" s="339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92"/>
      <c r="Q17" s="1576" t="str">
        <f>B17</f>
        <v>交通便捷度</v>
      </c>
      <c r="R17" s="1577" t="s">
        <v>8</v>
      </c>
      <c r="S17" s="1578">
        <f>F17</f>
        <v>100</v>
      </c>
      <c r="T17" s="1577" t="s">
        <v>8</v>
      </c>
      <c r="U17" s="1578">
        <f>H17</f>
        <v>100</v>
      </c>
      <c r="V17" s="1577" t="s">
        <v>8</v>
      </c>
      <c r="W17" s="1578">
        <f>J17</f>
        <v>100</v>
      </c>
      <c r="X17" s="1571"/>
      <c r="Y17" s="339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92"/>
      <c r="Q18" s="1576"/>
      <c r="R18" s="1577"/>
      <c r="S18" s="1578"/>
      <c r="T18" s="1577"/>
      <c r="U18" s="1578"/>
      <c r="V18" s="1577"/>
      <c r="W18" s="1578"/>
      <c r="X18" s="1571"/>
      <c r="Y18" s="339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92"/>
      <c r="Q19" s="1576" t="str">
        <f>B19</f>
        <v>公共配套设施</v>
      </c>
      <c r="R19" s="1577" t="s">
        <v>8</v>
      </c>
      <c r="S19" s="1578">
        <f>F19</f>
        <v>100</v>
      </c>
      <c r="T19" s="1577" t="s">
        <v>8</v>
      </c>
      <c r="U19" s="1578">
        <f>H19</f>
        <v>100</v>
      </c>
      <c r="V19" s="1577" t="s">
        <v>8</v>
      </c>
      <c r="W19" s="1578">
        <f>J19</f>
        <v>100</v>
      </c>
      <c r="X19" s="1571"/>
      <c r="Y19" s="3392"/>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92"/>
      <c r="Q20" s="1576"/>
      <c r="R20" s="1577"/>
      <c r="S20" s="1578"/>
      <c r="T20" s="1577"/>
      <c r="U20" s="1578"/>
      <c r="V20" s="1577"/>
      <c r="W20" s="1578"/>
      <c r="X20" s="1571"/>
      <c r="Y20" s="3392"/>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92"/>
      <c r="Q21" s="2608" t="str">
        <f>B21</f>
        <v>基础设施水平</v>
      </c>
      <c r="R21" s="1577" t="s">
        <v>8</v>
      </c>
      <c r="S21" s="1578">
        <f>F21</f>
        <v>100</v>
      </c>
      <c r="T21" s="1577" t="s">
        <v>8</v>
      </c>
      <c r="U21" s="1578">
        <f>H21</f>
        <v>100</v>
      </c>
      <c r="V21" s="1577" t="s">
        <v>8</v>
      </c>
      <c r="W21" s="1578">
        <f>J21</f>
        <v>100</v>
      </c>
      <c r="X21" s="2610"/>
      <c r="Y21" s="3392"/>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92"/>
      <c r="Q22" s="2608"/>
      <c r="R22" s="1577"/>
      <c r="S22" s="1578"/>
      <c r="T22" s="1577"/>
      <c r="U22" s="1578"/>
      <c r="V22" s="1577"/>
      <c r="W22" s="1578"/>
      <c r="X22" s="2610"/>
      <c r="Y22" s="3392"/>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92"/>
      <c r="Q23" s="1576" t="str">
        <f>B23</f>
        <v>自然及人文环境</v>
      </c>
      <c r="R23" s="1577" t="s">
        <v>8</v>
      </c>
      <c r="S23" s="1578">
        <f>F23</f>
        <v>100</v>
      </c>
      <c r="T23" s="1577" t="s">
        <v>8</v>
      </c>
      <c r="U23" s="1578">
        <f>H23</f>
        <v>100</v>
      </c>
      <c r="V23" s="1577" t="s">
        <v>8</v>
      </c>
      <c r="W23" s="1578">
        <f>J23</f>
        <v>100</v>
      </c>
      <c r="X23" s="1571"/>
      <c r="Y23" s="3392"/>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92"/>
      <c r="Q24" s="1576"/>
      <c r="R24" s="1577"/>
      <c r="S24" s="1578"/>
      <c r="T24" s="1577"/>
      <c r="U24" s="1578"/>
      <c r="V24" s="1577"/>
      <c r="W24" s="1578"/>
      <c r="X24" s="1571"/>
      <c r="Y24" s="3392"/>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92"/>
      <c r="Q25" s="1576" t="str">
        <f t="shared" ref="Q25:Q46" si="11">B25</f>
        <v>临街状况</v>
      </c>
      <c r="R25" s="1577" t="s">
        <v>8</v>
      </c>
      <c r="S25" s="1578">
        <f>F25</f>
        <v>100</v>
      </c>
      <c r="T25" s="1577" t="s">
        <v>8</v>
      </c>
      <c r="U25" s="1578">
        <f>H25</f>
        <v>100</v>
      </c>
      <c r="V25" s="1577" t="s">
        <v>8</v>
      </c>
      <c r="W25" s="1578">
        <f>J25</f>
        <v>100</v>
      </c>
      <c r="X25" s="1571"/>
      <c r="Y25" s="3392"/>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92"/>
      <c r="Q26" s="1576" t="str">
        <f t="shared" si="11"/>
        <v>平面位置/可视性</v>
      </c>
      <c r="R26" s="1577" t="s">
        <v>8</v>
      </c>
      <c r="S26" s="1578">
        <f>F26</f>
        <v>100</v>
      </c>
      <c r="T26" s="1577" t="s">
        <v>8</v>
      </c>
      <c r="U26" s="1578">
        <f>H26</f>
        <v>100</v>
      </c>
      <c r="V26" s="1577" t="s">
        <v>8</v>
      </c>
      <c r="W26" s="1578">
        <f>J26</f>
        <v>100</v>
      </c>
      <c r="X26" s="1571"/>
      <c r="Y26" s="3392"/>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92"/>
      <c r="Q27" s="1154" t="str">
        <f t="shared" si="11"/>
        <v>人流量</v>
      </c>
      <c r="R27" s="1572" t="s">
        <v>8</v>
      </c>
      <c r="S27" s="1573">
        <f>F27</f>
        <v>100</v>
      </c>
      <c r="T27" s="1572" t="s">
        <v>8</v>
      </c>
      <c r="U27" s="1573">
        <f>H27</f>
        <v>100</v>
      </c>
      <c r="V27" s="1572" t="s">
        <v>8</v>
      </c>
      <c r="W27" s="1573">
        <f>J27</f>
        <v>100</v>
      </c>
      <c r="X27" s="1574"/>
      <c r="Y27" s="3392"/>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92"/>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2"/>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92"/>
      <c r="Q29" s="1576">
        <f t="shared" si="11"/>
        <v>111</v>
      </c>
      <c r="R29" s="1577" t="s">
        <v>8</v>
      </c>
      <c r="S29" s="1578">
        <f t="shared" si="12"/>
        <v>100</v>
      </c>
      <c r="T29" s="1577" t="s">
        <v>8</v>
      </c>
      <c r="U29" s="1578">
        <f t="shared" si="13"/>
        <v>100</v>
      </c>
      <c r="V29" s="1577" t="s">
        <v>8</v>
      </c>
      <c r="W29" s="1578">
        <f t="shared" si="14"/>
        <v>100</v>
      </c>
      <c r="X29" s="1571"/>
      <c r="Y29" s="3392"/>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92"/>
      <c r="Q30" s="1576">
        <f t="shared" si="11"/>
        <v>111</v>
      </c>
      <c r="R30" s="1577" t="s">
        <v>8</v>
      </c>
      <c r="S30" s="1578">
        <f t="shared" si="12"/>
        <v>100</v>
      </c>
      <c r="T30" s="1577" t="s">
        <v>8</v>
      </c>
      <c r="U30" s="1578">
        <f t="shared" si="13"/>
        <v>100</v>
      </c>
      <c r="V30" s="1577" t="s">
        <v>8</v>
      </c>
      <c r="W30" s="1578">
        <f t="shared" si="14"/>
        <v>100</v>
      </c>
      <c r="X30" s="1571"/>
      <c r="Y30" s="3392"/>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92"/>
      <c r="Q31" s="1576">
        <f t="shared" si="11"/>
        <v>111</v>
      </c>
      <c r="R31" s="1577" t="s">
        <v>8</v>
      </c>
      <c r="S31" s="1578">
        <f t="shared" si="12"/>
        <v>100</v>
      </c>
      <c r="T31" s="1577" t="s">
        <v>8</v>
      </c>
      <c r="U31" s="1578">
        <f t="shared" si="13"/>
        <v>100</v>
      </c>
      <c r="V31" s="1577" t="s">
        <v>8</v>
      </c>
      <c r="W31" s="1578">
        <f t="shared" si="14"/>
        <v>100</v>
      </c>
      <c r="X31" s="1571"/>
      <c r="Y31" s="3392"/>
      <c r="Z31" s="1579">
        <f t="shared" si="15"/>
        <v>111</v>
      </c>
      <c r="AA31" s="1580">
        <f t="shared" si="3"/>
        <v>1</v>
      </c>
      <c r="AB31" s="1580">
        <f t="shared" si="4"/>
        <v>1</v>
      </c>
      <c r="AC31" s="1580">
        <f t="shared" si="5"/>
        <v>1</v>
      </c>
    </row>
    <row r="32" spans="1:29" ht="15">
      <c r="A32" s="2938" t="s">
        <v>2761</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93" t="s">
        <v>551</v>
      </c>
      <c r="Q32" s="1576" t="str">
        <f t="shared" si="11"/>
        <v>商业类型</v>
      </c>
      <c r="R32" s="1577" t="s">
        <v>8</v>
      </c>
      <c r="S32" s="1578">
        <f t="shared" si="12"/>
        <v>100</v>
      </c>
      <c r="T32" s="1577" t="s">
        <v>8</v>
      </c>
      <c r="U32" s="1578">
        <f t="shared" si="13"/>
        <v>100</v>
      </c>
      <c r="V32" s="1577" t="s">
        <v>8</v>
      </c>
      <c r="W32" s="1578">
        <f t="shared" si="14"/>
        <v>100</v>
      </c>
      <c r="X32" s="1571"/>
      <c r="Y32" s="3394"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94"/>
      <c r="Q33" s="1609" t="str">
        <f t="shared" si="11"/>
        <v>项目建筑规模</v>
      </c>
      <c r="R33" s="1581" t="s">
        <v>8</v>
      </c>
      <c r="S33" s="1582" t="e">
        <f t="shared" si="12"/>
        <v>#N/A</v>
      </c>
      <c r="T33" s="1581" t="s">
        <v>8</v>
      </c>
      <c r="U33" s="1582" t="e">
        <f t="shared" si="13"/>
        <v>#N/A</v>
      </c>
      <c r="V33" s="1581" t="s">
        <v>8</v>
      </c>
      <c r="W33" s="1582" t="e">
        <f t="shared" si="14"/>
        <v>#N/A</v>
      </c>
      <c r="X33" s="1583"/>
      <c r="Y33" s="3394"/>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94"/>
      <c r="Q34" s="1576" t="str">
        <f t="shared" si="11"/>
        <v>建筑结构</v>
      </c>
      <c r="R34" s="1577" t="s">
        <v>8</v>
      </c>
      <c r="S34" s="1578">
        <f t="shared" si="12"/>
        <v>100</v>
      </c>
      <c r="T34" s="1577" t="s">
        <v>8</v>
      </c>
      <c r="U34" s="1578">
        <f t="shared" si="13"/>
        <v>100</v>
      </c>
      <c r="V34" s="1577" t="s">
        <v>8</v>
      </c>
      <c r="W34" s="1578">
        <f t="shared" si="14"/>
        <v>100</v>
      </c>
      <c r="X34" s="1571"/>
      <c r="Y34" s="3394"/>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94"/>
      <c r="Q35" s="1576" t="str">
        <f t="shared" si="11"/>
        <v>公共部分装修</v>
      </c>
      <c r="R35" s="1577" t="s">
        <v>8</v>
      </c>
      <c r="S35" s="1578">
        <f t="shared" si="12"/>
        <v>100</v>
      </c>
      <c r="T35" s="1577" t="s">
        <v>8</v>
      </c>
      <c r="U35" s="1578">
        <f t="shared" si="13"/>
        <v>100</v>
      </c>
      <c r="V35" s="1577" t="s">
        <v>8</v>
      </c>
      <c r="W35" s="1578">
        <f t="shared" si="14"/>
        <v>100</v>
      </c>
      <c r="X35" s="1571"/>
      <c r="Y35" s="3394"/>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94"/>
      <c r="Q36" s="1576" t="str">
        <f t="shared" si="11"/>
        <v>成新度</v>
      </c>
      <c r="R36" s="1577" t="s">
        <v>8</v>
      </c>
      <c r="S36" s="1578" t="e">
        <f t="shared" si="12"/>
        <v>#N/A</v>
      </c>
      <c r="T36" s="1577" t="s">
        <v>8</v>
      </c>
      <c r="U36" s="1578" t="e">
        <f t="shared" si="13"/>
        <v>#N/A</v>
      </c>
      <c r="V36" s="1577" t="s">
        <v>8</v>
      </c>
      <c r="W36" s="1578" t="e">
        <f t="shared" si="14"/>
        <v>#N/A</v>
      </c>
      <c r="X36" s="1571"/>
      <c r="Y36" s="3394"/>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94"/>
      <c r="Q37" s="1154" t="str">
        <f t="shared" si="11"/>
        <v>市政基础设施</v>
      </c>
      <c r="R37" s="1572" t="s">
        <v>8</v>
      </c>
      <c r="S37" s="1573">
        <f t="shared" si="12"/>
        <v>100</v>
      </c>
      <c r="T37" s="1572" t="s">
        <v>8</v>
      </c>
      <c r="U37" s="1573">
        <f t="shared" si="13"/>
        <v>100</v>
      </c>
      <c r="V37" s="1572" t="s">
        <v>8</v>
      </c>
      <c r="W37" s="1573">
        <f t="shared" si="14"/>
        <v>100</v>
      </c>
      <c r="X37" s="1574"/>
      <c r="Y37" s="3394"/>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94" t="s">
        <v>767</v>
      </c>
      <c r="Q38" s="1576" t="str">
        <f t="shared" si="11"/>
        <v>业态</v>
      </c>
      <c r="R38" s="1577" t="s">
        <v>8</v>
      </c>
      <c r="S38" s="1578">
        <f t="shared" si="12"/>
        <v>100</v>
      </c>
      <c r="T38" s="1577" t="s">
        <v>8</v>
      </c>
      <c r="U38" s="1578">
        <f t="shared" si="13"/>
        <v>100</v>
      </c>
      <c r="V38" s="1577" t="s">
        <v>8</v>
      </c>
      <c r="W38" s="1578">
        <f t="shared" si="14"/>
        <v>100</v>
      </c>
      <c r="X38" s="1571"/>
      <c r="Y38" s="3394"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94"/>
      <c r="Q39" s="1576" t="str">
        <f t="shared" si="11"/>
        <v>层高</v>
      </c>
      <c r="R39" s="1577" t="s">
        <v>8</v>
      </c>
      <c r="S39" s="1578">
        <f t="shared" si="12"/>
        <v>100</v>
      </c>
      <c r="T39" s="1577" t="s">
        <v>8</v>
      </c>
      <c r="U39" s="1578">
        <f t="shared" si="13"/>
        <v>100</v>
      </c>
      <c r="V39" s="1577" t="s">
        <v>8</v>
      </c>
      <c r="W39" s="1578">
        <f t="shared" si="14"/>
        <v>100</v>
      </c>
      <c r="X39" s="1571"/>
      <c r="Y39" s="3394"/>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94"/>
      <c r="Q40" s="1576" t="str">
        <f t="shared" si="11"/>
        <v>单套建筑面积</v>
      </c>
      <c r="R40" s="1577" t="s">
        <v>8</v>
      </c>
      <c r="S40" s="1578">
        <f t="shared" si="12"/>
        <v>100</v>
      </c>
      <c r="T40" s="1577" t="s">
        <v>8</v>
      </c>
      <c r="U40" s="1578">
        <f t="shared" si="13"/>
        <v>100</v>
      </c>
      <c r="V40" s="1577" t="s">
        <v>8</v>
      </c>
      <c r="W40" s="1578">
        <f t="shared" si="14"/>
        <v>100</v>
      </c>
      <c r="X40" s="1571"/>
      <c r="Y40" s="3394"/>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94"/>
      <c r="Q41" s="1609" t="str">
        <f t="shared" si="11"/>
        <v>进深比</v>
      </c>
      <c r="R41" s="1581" t="s">
        <v>8</v>
      </c>
      <c r="S41" s="1582">
        <f t="shared" si="12"/>
        <v>100</v>
      </c>
      <c r="T41" s="1581" t="s">
        <v>8</v>
      </c>
      <c r="U41" s="1582">
        <f t="shared" si="13"/>
        <v>100</v>
      </c>
      <c r="V41" s="1581" t="s">
        <v>8</v>
      </c>
      <c r="W41" s="1582">
        <f t="shared" si="14"/>
        <v>100</v>
      </c>
      <c r="X41" s="1583"/>
      <c r="Y41" s="3394"/>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94"/>
      <c r="Q42" s="1576" t="str">
        <f t="shared" si="11"/>
        <v>内部装修</v>
      </c>
      <c r="R42" s="1577" t="s">
        <v>8</v>
      </c>
      <c r="S42" s="1578">
        <f t="shared" si="12"/>
        <v>100</v>
      </c>
      <c r="T42" s="1577" t="s">
        <v>8</v>
      </c>
      <c r="U42" s="1578">
        <f t="shared" si="13"/>
        <v>100</v>
      </c>
      <c r="V42" s="1577" t="s">
        <v>8</v>
      </c>
      <c r="W42" s="1578">
        <f t="shared" si="14"/>
        <v>100</v>
      </c>
      <c r="X42" s="1571"/>
      <c r="Y42" s="3394"/>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94"/>
      <c r="Q43" s="1576" t="str">
        <f t="shared" si="11"/>
        <v>内部装修维护情况</v>
      </c>
      <c r="R43" s="1577" t="s">
        <v>8</v>
      </c>
      <c r="S43" s="1578">
        <f t="shared" si="12"/>
        <v>100</v>
      </c>
      <c r="T43" s="1577" t="s">
        <v>8</v>
      </c>
      <c r="U43" s="1578">
        <f t="shared" si="13"/>
        <v>100</v>
      </c>
      <c r="V43" s="1577" t="s">
        <v>8</v>
      </c>
      <c r="W43" s="1578">
        <f t="shared" si="14"/>
        <v>100</v>
      </c>
      <c r="X43" s="1571"/>
      <c r="Y43" s="3394"/>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94"/>
      <c r="Q44" s="1154">
        <f t="shared" si="11"/>
        <v>111</v>
      </c>
      <c r="R44" s="1572" t="s">
        <v>8</v>
      </c>
      <c r="S44" s="1573">
        <f t="shared" si="12"/>
        <v>100</v>
      </c>
      <c r="T44" s="1572" t="s">
        <v>8</v>
      </c>
      <c r="U44" s="1573">
        <f t="shared" si="13"/>
        <v>100</v>
      </c>
      <c r="V44" s="1572" t="s">
        <v>8</v>
      </c>
      <c r="W44" s="1573">
        <f t="shared" si="14"/>
        <v>100</v>
      </c>
      <c r="X44" s="1574"/>
      <c r="Y44" s="3394"/>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94"/>
      <c r="Q45" s="1576">
        <f t="shared" si="11"/>
        <v>111</v>
      </c>
      <c r="R45" s="1577" t="s">
        <v>8</v>
      </c>
      <c r="S45" s="1578">
        <f t="shared" si="12"/>
        <v>100</v>
      </c>
      <c r="T45" s="1577" t="s">
        <v>8</v>
      </c>
      <c r="U45" s="1578">
        <f t="shared" si="13"/>
        <v>100</v>
      </c>
      <c r="V45" s="1577" t="s">
        <v>8</v>
      </c>
      <c r="W45" s="1578">
        <f t="shared" si="14"/>
        <v>100</v>
      </c>
      <c r="X45" s="1571"/>
      <c r="Y45" s="3394"/>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95"/>
      <c r="Q46" s="1576">
        <f t="shared" si="11"/>
        <v>111</v>
      </c>
      <c r="R46" s="1577" t="s">
        <v>8</v>
      </c>
      <c r="S46" s="1578">
        <f t="shared" si="12"/>
        <v>100</v>
      </c>
      <c r="T46" s="1577" t="s">
        <v>8</v>
      </c>
      <c r="U46" s="1578">
        <f t="shared" si="13"/>
        <v>100</v>
      </c>
      <c r="V46" s="1577" t="s">
        <v>8</v>
      </c>
      <c r="W46" s="1578">
        <f t="shared" si="14"/>
        <v>100</v>
      </c>
      <c r="X46" s="1571"/>
      <c r="Y46" s="349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89" t="str">
        <f>A47</f>
        <v>成交单价（元/平方米）</v>
      </c>
      <c r="Q47" s="3389"/>
      <c r="R47" s="3494">
        <f>E47</f>
        <v>0</v>
      </c>
      <c r="S47" s="3494"/>
      <c r="T47" s="3494">
        <f>G47</f>
        <v>0</v>
      </c>
      <c r="U47" s="3494"/>
      <c r="V47" s="3494">
        <f>I47</f>
        <v>0</v>
      </c>
      <c r="W47" s="3494"/>
      <c r="X47" s="1563"/>
      <c r="Y47" s="1585"/>
      <c r="Z47" s="1563"/>
      <c r="AA47" s="1563"/>
      <c r="AB47" s="1563"/>
      <c r="AC47" s="1563"/>
    </row>
    <row r="48" spans="1:29" ht="15.75" thickBot="1">
      <c r="A48" s="618" t="s">
        <v>2766</v>
      </c>
      <c r="B48" s="891"/>
      <c r="C48" s="2662" t="e">
        <f>R49</f>
        <v>#DIV/0!</v>
      </c>
      <c r="D48" s="2663"/>
      <c r="E48" s="2664" t="e">
        <f>R48</f>
        <v>#DIV/0!</v>
      </c>
      <c r="F48" s="2664"/>
      <c r="G48" s="2662" t="e">
        <f>T48</f>
        <v>#DIV/0!</v>
      </c>
      <c r="H48" s="2663"/>
      <c r="I48" s="2664" t="e">
        <f>V48</f>
        <v>#DIV/0!</v>
      </c>
      <c r="J48" s="2663"/>
      <c r="K48" s="1616"/>
      <c r="L48" s="2149"/>
      <c r="M48" s="2150"/>
      <c r="N48" s="2139"/>
      <c r="O48" s="2150"/>
      <c r="P48" s="3389" t="str">
        <f>A48</f>
        <v>比较价格（元/平方米）</v>
      </c>
      <c r="Q48" s="3389"/>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63"/>
      <c r="Y48" s="1563"/>
      <c r="Z48" s="1563"/>
      <c r="AA48" s="1563"/>
      <c r="AB48" s="1563"/>
      <c r="AC48" s="1563"/>
    </row>
    <row r="49" spans="1:29" ht="15.75" thickBot="1">
      <c r="A49" s="624" t="s">
        <v>2938</v>
      </c>
      <c r="B49" s="625"/>
      <c r="C49" s="2665" t="e">
        <f>R49</f>
        <v>#DIV/0!</v>
      </c>
      <c r="D49" s="2665"/>
      <c r="E49" s="2665"/>
      <c r="F49" s="2665"/>
      <c r="G49" s="2665"/>
      <c r="H49" s="2665"/>
      <c r="I49" s="2665"/>
      <c r="J49" s="2665"/>
      <c r="K49" s="1617"/>
      <c r="L49" s="2149"/>
      <c r="M49" s="2150"/>
      <c r="N49" s="2139"/>
      <c r="O49" s="2150"/>
      <c r="P49" s="3411" t="str">
        <f>A49</f>
        <v>估价对象XX用房的比较价格（楼面单价，元/平方米）</v>
      </c>
      <c r="Q49" s="3412"/>
      <c r="R49" s="3493" t="e">
        <f>IF(F1="售价",ROUND(AVERAGE(R48:V48),0),ROUND(AVERAGE(R48:V48),1))</f>
        <v>#DIV/0!</v>
      </c>
      <c r="S49" s="3493"/>
      <c r="T49" s="3493"/>
      <c r="U49" s="3493"/>
      <c r="V49" s="3493"/>
      <c r="W49" s="349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95" t="s">
        <v>523</v>
      </c>
      <c r="D4" s="3396"/>
      <c r="E4" s="3420" t="s">
        <v>524</v>
      </c>
      <c r="F4" s="3421"/>
      <c r="G4" s="3395" t="s">
        <v>525</v>
      </c>
      <c r="H4" s="3396"/>
      <c r="I4" s="3395" t="s">
        <v>526</v>
      </c>
      <c r="J4" s="3396"/>
      <c r="K4" s="517" t="s">
        <v>527</v>
      </c>
      <c r="L4" s="2138"/>
      <c r="M4" s="2139"/>
      <c r="N4" s="2139"/>
      <c r="O4" s="2139"/>
      <c r="P4" s="3496" t="s">
        <v>528</v>
      </c>
      <c r="Q4" s="3398"/>
      <c r="R4" s="3383" t="s">
        <v>524</v>
      </c>
      <c r="S4" s="3384"/>
      <c r="T4" s="3383" t="s">
        <v>525</v>
      </c>
      <c r="U4" s="3384"/>
      <c r="V4" s="3403" t="s">
        <v>526</v>
      </c>
      <c r="W4" s="3403"/>
      <c r="X4" s="1571"/>
      <c r="Y4" s="3383" t="s">
        <v>528</v>
      </c>
      <c r="Z4" s="3384"/>
      <c r="AA4" s="3378" t="s">
        <v>524</v>
      </c>
      <c r="AB4" s="3378" t="s">
        <v>525</v>
      </c>
      <c r="AC4" s="3378" t="s">
        <v>526</v>
      </c>
    </row>
    <row r="5" spans="1:29" ht="15">
      <c r="A5" s="518"/>
      <c r="B5" s="519"/>
      <c r="C5" s="3408" t="s">
        <v>2932</v>
      </c>
      <c r="D5" s="3407"/>
      <c r="E5" s="3422" t="s">
        <v>2933</v>
      </c>
      <c r="F5" s="3423"/>
      <c r="G5" s="3408" t="s">
        <v>2934</v>
      </c>
      <c r="H5" s="3407"/>
      <c r="I5" s="3408" t="s">
        <v>2935</v>
      </c>
      <c r="J5" s="3407"/>
      <c r="K5" s="517"/>
      <c r="L5" s="2138"/>
      <c r="M5" s="2139"/>
      <c r="N5" s="2139"/>
      <c r="O5" s="2139"/>
      <c r="P5" s="3497"/>
      <c r="Q5" s="3400"/>
      <c r="R5" s="3385"/>
      <c r="S5" s="3386"/>
      <c r="T5" s="3385"/>
      <c r="U5" s="3386"/>
      <c r="V5" s="3403"/>
      <c r="W5" s="3403"/>
      <c r="X5" s="1571"/>
      <c r="Y5" s="3385"/>
      <c r="Z5" s="3386"/>
      <c r="AA5" s="3379"/>
      <c r="AB5" s="3379"/>
      <c r="AC5" s="3379"/>
    </row>
    <row r="6" spans="1:29" ht="15.75" thickBot="1">
      <c r="A6" s="520"/>
      <c r="B6" s="521"/>
      <c r="C6" s="3404" t="s">
        <v>2936</v>
      </c>
      <c r="D6" s="3405"/>
      <c r="E6" s="3424" t="s">
        <v>2936</v>
      </c>
      <c r="F6" s="3425"/>
      <c r="G6" s="3404" t="s">
        <v>2936</v>
      </c>
      <c r="H6" s="3405"/>
      <c r="I6" s="3404" t="s">
        <v>2936</v>
      </c>
      <c r="J6" s="3405"/>
      <c r="K6" s="517" t="s">
        <v>529</v>
      </c>
      <c r="L6" s="2138"/>
      <c r="M6" s="2139"/>
      <c r="N6" s="2139"/>
      <c r="O6" s="2139"/>
      <c r="P6" s="3498"/>
      <c r="Q6" s="3402"/>
      <c r="R6" s="3385"/>
      <c r="S6" s="3386"/>
      <c r="T6" s="3387"/>
      <c r="U6" s="3388"/>
      <c r="V6" s="3403"/>
      <c r="W6" s="3403"/>
      <c r="X6" s="1571"/>
      <c r="Y6" s="3387"/>
      <c r="Z6" s="3388"/>
      <c r="AA6" s="3380"/>
      <c r="AB6" s="3380"/>
      <c r="AC6" s="3380"/>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90" t="s">
        <v>531</v>
      </c>
      <c r="Q7" s="3390"/>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90" t="s">
        <v>534</v>
      </c>
      <c r="Q8" s="3382"/>
      <c r="R8" s="1572" t="s">
        <v>8</v>
      </c>
      <c r="S8" s="1573">
        <f t="shared" si="0"/>
        <v>0</v>
      </c>
      <c r="T8" s="1572" t="s">
        <v>8</v>
      </c>
      <c r="U8" s="1573">
        <f t="shared" si="1"/>
        <v>0</v>
      </c>
      <c r="V8" s="1572" t="s">
        <v>8</v>
      </c>
      <c r="W8" s="1573">
        <f t="shared" si="2"/>
        <v>0</v>
      </c>
      <c r="X8" s="1574"/>
      <c r="Y8" s="3381" t="s">
        <v>534</v>
      </c>
      <c r="Z8" s="3382"/>
      <c r="AA8" s="1575" t="e">
        <f t="shared" ref="AA8:AA47" si="3">D8/F8</f>
        <v>#DIV/0!</v>
      </c>
      <c r="AB8" s="1575" t="e">
        <f t="shared" ref="AB8:AB47" si="4">D8/H8</f>
        <v>#DIV/0!</v>
      </c>
      <c r="AC8" s="1575" t="e">
        <f t="shared" ref="AC8:AC47" si="5">D8/J8</f>
        <v>#DIV/0!</v>
      </c>
    </row>
    <row r="9" spans="1:29" s="1223" customFormat="1" ht="15">
      <c r="A9" s="2945"/>
      <c r="B9" s="2952" t="s">
        <v>2762</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89" t="s">
        <v>536</v>
      </c>
      <c r="Q9" s="1154" t="str">
        <f t="shared" ref="Q9:Q15" si="6">B9</f>
        <v>用途</v>
      </c>
      <c r="R9" s="1572" t="s">
        <v>8</v>
      </c>
      <c r="S9" s="1573">
        <f t="shared" si="0"/>
        <v>100</v>
      </c>
      <c r="T9" s="1572" t="s">
        <v>8</v>
      </c>
      <c r="U9" s="1573">
        <f t="shared" si="1"/>
        <v>100</v>
      </c>
      <c r="V9" s="1572" t="s">
        <v>8</v>
      </c>
      <c r="W9" s="1573">
        <f t="shared" si="2"/>
        <v>100</v>
      </c>
      <c r="X9" s="1574"/>
      <c r="Y9" s="334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89"/>
      <c r="Q11" s="1154" t="str">
        <f t="shared" si="6"/>
        <v>容积率</v>
      </c>
      <c r="R11" s="1572" t="s">
        <v>8</v>
      </c>
      <c r="S11" s="1573" t="e">
        <f t="shared" si="0"/>
        <v>#N/A</v>
      </c>
      <c r="T11" s="1572" t="s">
        <v>8</v>
      </c>
      <c r="U11" s="1573" t="e">
        <f t="shared" si="1"/>
        <v>#N/A</v>
      </c>
      <c r="V11" s="1572" t="s">
        <v>8</v>
      </c>
      <c r="W11" s="1573" t="e">
        <f t="shared" si="2"/>
        <v>#N/A</v>
      </c>
      <c r="X11" s="1574"/>
      <c r="Y11" s="334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89"/>
      <c r="Q12" s="1154">
        <f t="shared" si="6"/>
        <v>111</v>
      </c>
      <c r="R12" s="1572" t="s">
        <v>8</v>
      </c>
      <c r="S12" s="1573">
        <f t="shared" si="0"/>
        <v>100</v>
      </c>
      <c r="T12" s="1572" t="s">
        <v>8</v>
      </c>
      <c r="U12" s="1573">
        <f t="shared" si="1"/>
        <v>100</v>
      </c>
      <c r="V12" s="1572" t="s">
        <v>8</v>
      </c>
      <c r="W12" s="1573">
        <f t="shared" si="2"/>
        <v>100</v>
      </c>
      <c r="X12" s="1574"/>
      <c r="Y12" s="3346"/>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89"/>
      <c r="Q13" s="1154">
        <f t="shared" si="6"/>
        <v>111</v>
      </c>
      <c r="R13" s="1572" t="s">
        <v>8</v>
      </c>
      <c r="S13" s="1573">
        <f t="shared" si="0"/>
        <v>100</v>
      </c>
      <c r="T13" s="1572" t="s">
        <v>8</v>
      </c>
      <c r="U13" s="1573">
        <f t="shared" si="1"/>
        <v>100</v>
      </c>
      <c r="V13" s="1572" t="s">
        <v>8</v>
      </c>
      <c r="W13" s="1573">
        <f t="shared" si="2"/>
        <v>100</v>
      </c>
      <c r="X13" s="1574"/>
      <c r="Y13" s="3346"/>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89"/>
      <c r="Q14" s="1154">
        <f t="shared" si="6"/>
        <v>111</v>
      </c>
      <c r="R14" s="1572" t="s">
        <v>8</v>
      </c>
      <c r="S14" s="1573">
        <f t="shared" si="0"/>
        <v>100</v>
      </c>
      <c r="T14" s="1572" t="s">
        <v>8</v>
      </c>
      <c r="U14" s="1573">
        <f t="shared" si="1"/>
        <v>100</v>
      </c>
      <c r="V14" s="1572" t="s">
        <v>8</v>
      </c>
      <c r="W14" s="1573">
        <f t="shared" si="2"/>
        <v>100</v>
      </c>
      <c r="X14" s="1574"/>
      <c r="Y14" s="3346"/>
      <c r="Z14" s="1153">
        <f t="shared" si="7"/>
        <v>111</v>
      </c>
      <c r="AA14" s="1575">
        <f t="shared" si="3"/>
        <v>1</v>
      </c>
      <c r="AB14" s="1575">
        <f t="shared" si="4"/>
        <v>1</v>
      </c>
      <c r="AC14" s="1575">
        <f t="shared" si="5"/>
        <v>1</v>
      </c>
    </row>
    <row r="15" spans="1:29" ht="71.25">
      <c r="A15" s="2941" t="s">
        <v>2760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91" t="s">
        <v>541</v>
      </c>
      <c r="Q15" s="1576" t="str">
        <f t="shared" si="6"/>
        <v>办公集聚程度</v>
      </c>
      <c r="R15" s="1577" t="s">
        <v>8</v>
      </c>
      <c r="S15" s="1578">
        <f t="shared" si="0"/>
        <v>100</v>
      </c>
      <c r="T15" s="1577" t="s">
        <v>8</v>
      </c>
      <c r="U15" s="1578">
        <f t="shared" si="1"/>
        <v>100</v>
      </c>
      <c r="V15" s="1577" t="s">
        <v>8</v>
      </c>
      <c r="W15" s="1578">
        <f t="shared" si="2"/>
        <v>100</v>
      </c>
      <c r="X15" s="1571"/>
      <c r="Y15" s="3391"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92"/>
      <c r="Q16" s="1576"/>
      <c r="R16" s="1577"/>
      <c r="S16" s="1578"/>
      <c r="T16" s="1577"/>
      <c r="U16" s="1578"/>
      <c r="V16" s="1577"/>
      <c r="W16" s="1578"/>
      <c r="X16" s="1571"/>
      <c r="Y16" s="3392"/>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92"/>
      <c r="Q17" s="1576" t="str">
        <f>B17</f>
        <v>交通便捷度</v>
      </c>
      <c r="R17" s="1577" t="s">
        <v>8</v>
      </c>
      <c r="S17" s="1578">
        <f>F17</f>
        <v>100</v>
      </c>
      <c r="T17" s="1577" t="s">
        <v>8</v>
      </c>
      <c r="U17" s="1578">
        <f>H17</f>
        <v>100</v>
      </c>
      <c r="V17" s="1577" t="s">
        <v>8</v>
      </c>
      <c r="W17" s="1578">
        <f>J17</f>
        <v>100</v>
      </c>
      <c r="X17" s="1571"/>
      <c r="Y17" s="3392"/>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92"/>
      <c r="Q18" s="1576"/>
      <c r="R18" s="1577"/>
      <c r="S18" s="1578"/>
      <c r="T18" s="1577"/>
      <c r="U18" s="1578"/>
      <c r="V18" s="1577"/>
      <c r="W18" s="1578"/>
      <c r="X18" s="1571"/>
      <c r="Y18" s="3392"/>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92"/>
      <c r="Q19" s="1576" t="str">
        <f>B19</f>
        <v>公共配套设施</v>
      </c>
      <c r="R19" s="1577" t="s">
        <v>8</v>
      </c>
      <c r="S19" s="1578">
        <f>F19</f>
        <v>100</v>
      </c>
      <c r="T19" s="1577" t="s">
        <v>8</v>
      </c>
      <c r="U19" s="1578">
        <f>H19</f>
        <v>100</v>
      </c>
      <c r="V19" s="1577" t="s">
        <v>8</v>
      </c>
      <c r="W19" s="1578">
        <f>J19</f>
        <v>100</v>
      </c>
      <c r="X19" s="1571"/>
      <c r="Y19" s="3392"/>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92"/>
      <c r="Q20" s="1576"/>
      <c r="R20" s="1577"/>
      <c r="S20" s="1578"/>
      <c r="T20" s="1577"/>
      <c r="U20" s="1578"/>
      <c r="V20" s="1577"/>
      <c r="W20" s="1578"/>
      <c r="X20" s="1571"/>
      <c r="Y20" s="3392"/>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92"/>
      <c r="Q21" s="2608" t="str">
        <f>B21</f>
        <v>基础设施水平</v>
      </c>
      <c r="R21" s="1577" t="s">
        <v>8</v>
      </c>
      <c r="S21" s="1578">
        <f>F21</f>
        <v>100</v>
      </c>
      <c r="T21" s="1577" t="s">
        <v>8</v>
      </c>
      <c r="U21" s="1578">
        <f>H21</f>
        <v>100</v>
      </c>
      <c r="V21" s="1577" t="s">
        <v>8</v>
      </c>
      <c r="W21" s="1578">
        <f>J21</f>
        <v>100</v>
      </c>
      <c r="X21" s="2610"/>
      <c r="Y21" s="3392"/>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92"/>
      <c r="Q22" s="2608"/>
      <c r="R22" s="1577"/>
      <c r="S22" s="1578"/>
      <c r="T22" s="1577"/>
      <c r="U22" s="1578"/>
      <c r="V22" s="1577"/>
      <c r="W22" s="1578"/>
      <c r="X22" s="2610"/>
      <c r="Y22" s="3392"/>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92"/>
      <c r="Q23" s="1576" t="str">
        <f>B23</f>
        <v>环境质量</v>
      </c>
      <c r="R23" s="1577" t="s">
        <v>8</v>
      </c>
      <c r="S23" s="1578">
        <f>F23</f>
        <v>100</v>
      </c>
      <c r="T23" s="1577" t="s">
        <v>8</v>
      </c>
      <c r="U23" s="1578">
        <f>H23</f>
        <v>100</v>
      </c>
      <c r="V23" s="1577" t="s">
        <v>8</v>
      </c>
      <c r="W23" s="1578">
        <f>J23</f>
        <v>100</v>
      </c>
      <c r="X23" s="1571"/>
      <c r="Y23" s="3392"/>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92"/>
      <c r="Q24" s="1576"/>
      <c r="R24" s="1577"/>
      <c r="S24" s="1578"/>
      <c r="T24" s="1577"/>
      <c r="U24" s="1578"/>
      <c r="V24" s="1577"/>
      <c r="W24" s="1578"/>
      <c r="X24" s="1571"/>
      <c r="Y24" s="3392"/>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92"/>
      <c r="Q25" s="1576" t="str">
        <f>B25</f>
        <v>毗邻道路的类型与等级</v>
      </c>
      <c r="R25" s="1577" t="s">
        <v>8</v>
      </c>
      <c r="S25" s="1578">
        <f>F25</f>
        <v>100</v>
      </c>
      <c r="T25" s="1577" t="s">
        <v>8</v>
      </c>
      <c r="U25" s="1578">
        <f>H25</f>
        <v>100</v>
      </c>
      <c r="V25" s="1577" t="s">
        <v>8</v>
      </c>
      <c r="W25" s="1578">
        <f>J25</f>
        <v>100</v>
      </c>
      <c r="X25" s="1571"/>
      <c r="Y25" s="3392"/>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92"/>
      <c r="Q26" s="1576"/>
      <c r="R26" s="1577"/>
      <c r="S26" s="1578"/>
      <c r="T26" s="1577"/>
      <c r="U26" s="1578"/>
      <c r="V26" s="1577"/>
      <c r="W26" s="1578"/>
      <c r="X26" s="1571"/>
      <c r="Y26" s="3392"/>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92"/>
      <c r="Q27" s="1576" t="str">
        <f t="shared" ref="Q27:Q47" si="11">B27</f>
        <v>楼层</v>
      </c>
      <c r="R27" s="1577" t="s">
        <v>8</v>
      </c>
      <c r="S27" s="1578">
        <f>F27</f>
        <v>100</v>
      </c>
      <c r="T27" s="1577" t="s">
        <v>8</v>
      </c>
      <c r="U27" s="1578">
        <f>H27</f>
        <v>100</v>
      </c>
      <c r="V27" s="1577" t="s">
        <v>8</v>
      </c>
      <c r="W27" s="1578">
        <f>J27</f>
        <v>100</v>
      </c>
      <c r="X27" s="1571"/>
      <c r="Y27" s="3392"/>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92"/>
      <c r="Q28" s="1154" t="str">
        <f t="shared" si="11"/>
        <v>朝向</v>
      </c>
      <c r="R28" s="1572" t="s">
        <v>8</v>
      </c>
      <c r="S28" s="1573">
        <f>F28</f>
        <v>100</v>
      </c>
      <c r="T28" s="1572" t="s">
        <v>8</v>
      </c>
      <c r="U28" s="1573">
        <f>H28</f>
        <v>100</v>
      </c>
      <c r="V28" s="1572" t="s">
        <v>8</v>
      </c>
      <c r="W28" s="1573">
        <f>J28</f>
        <v>100</v>
      </c>
      <c r="X28" s="1574"/>
      <c r="Y28" s="3392"/>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92"/>
      <c r="Q29" s="1576">
        <f t="shared" si="11"/>
        <v>111</v>
      </c>
      <c r="R29" s="1577" t="s">
        <v>8</v>
      </c>
      <c r="S29" s="1578">
        <f t="shared" ref="S29:S47" si="12">F29</f>
        <v>100</v>
      </c>
      <c r="T29" s="1577" t="s">
        <v>8</v>
      </c>
      <c r="U29" s="1578">
        <f t="shared" ref="U29:U47" si="13">H29</f>
        <v>100</v>
      </c>
      <c r="V29" s="1577" t="s">
        <v>8</v>
      </c>
      <c r="W29" s="1578">
        <f t="shared" ref="W29:W47" si="14">J29</f>
        <v>100</v>
      </c>
      <c r="X29" s="1571"/>
      <c r="Y29" s="3392"/>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92"/>
      <c r="Q30" s="1576">
        <f t="shared" si="11"/>
        <v>111</v>
      </c>
      <c r="R30" s="1577" t="s">
        <v>8</v>
      </c>
      <c r="S30" s="1578">
        <f t="shared" si="12"/>
        <v>100</v>
      </c>
      <c r="T30" s="1577" t="s">
        <v>8</v>
      </c>
      <c r="U30" s="1578">
        <f t="shared" si="13"/>
        <v>100</v>
      </c>
      <c r="V30" s="1577" t="s">
        <v>8</v>
      </c>
      <c r="W30" s="1578">
        <f t="shared" si="14"/>
        <v>100</v>
      </c>
      <c r="X30" s="1571"/>
      <c r="Y30" s="3392"/>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92"/>
      <c r="Q31" s="1576">
        <f t="shared" si="11"/>
        <v>111</v>
      </c>
      <c r="R31" s="1577" t="s">
        <v>8</v>
      </c>
      <c r="S31" s="1578">
        <f t="shared" si="12"/>
        <v>100</v>
      </c>
      <c r="T31" s="1577" t="s">
        <v>8</v>
      </c>
      <c r="U31" s="1578">
        <f t="shared" si="13"/>
        <v>100</v>
      </c>
      <c r="V31" s="1577" t="s">
        <v>8</v>
      </c>
      <c r="W31" s="1578">
        <f t="shared" si="14"/>
        <v>100</v>
      </c>
      <c r="X31" s="1571"/>
      <c r="Y31" s="3392"/>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92"/>
      <c r="Q32" s="1576">
        <f t="shared" si="11"/>
        <v>111</v>
      </c>
      <c r="R32" s="1577" t="s">
        <v>8</v>
      </c>
      <c r="S32" s="1578">
        <f t="shared" si="12"/>
        <v>100</v>
      </c>
      <c r="T32" s="1577" t="s">
        <v>8</v>
      </c>
      <c r="U32" s="1578">
        <f t="shared" si="13"/>
        <v>100</v>
      </c>
      <c r="V32" s="1577" t="s">
        <v>8</v>
      </c>
      <c r="W32" s="1578">
        <f t="shared" si="14"/>
        <v>100</v>
      </c>
      <c r="X32" s="1571"/>
      <c r="Y32" s="3392"/>
      <c r="Z32" s="1579">
        <f t="shared" si="15"/>
        <v>111</v>
      </c>
      <c r="AA32" s="1580">
        <f t="shared" si="3"/>
        <v>1</v>
      </c>
      <c r="AB32" s="1580">
        <f t="shared" si="4"/>
        <v>1</v>
      </c>
      <c r="AC32" s="1580">
        <f t="shared" si="5"/>
        <v>1</v>
      </c>
    </row>
    <row r="33" spans="1:29" ht="15">
      <c r="A33" s="2938" t="s">
        <v>2761</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93" t="s">
        <v>551</v>
      </c>
      <c r="Q33" s="1576" t="str">
        <f t="shared" si="11"/>
        <v>建筑类型</v>
      </c>
      <c r="R33" s="1577" t="s">
        <v>8</v>
      </c>
      <c r="S33" s="1578">
        <f t="shared" si="12"/>
        <v>100</v>
      </c>
      <c r="T33" s="1577" t="s">
        <v>8</v>
      </c>
      <c r="U33" s="1578">
        <f t="shared" si="13"/>
        <v>100</v>
      </c>
      <c r="V33" s="1577" t="s">
        <v>8</v>
      </c>
      <c r="W33" s="1578">
        <f t="shared" si="14"/>
        <v>100</v>
      </c>
      <c r="X33" s="1571"/>
      <c r="Y33" s="3394"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94"/>
      <c r="Q34" s="1609" t="str">
        <f t="shared" si="11"/>
        <v>项目建筑规模</v>
      </c>
      <c r="R34" s="1581" t="s">
        <v>8</v>
      </c>
      <c r="S34" s="1582" t="e">
        <f t="shared" si="12"/>
        <v>#N/A</v>
      </c>
      <c r="T34" s="1581" t="s">
        <v>8</v>
      </c>
      <c r="U34" s="1582" t="e">
        <f t="shared" si="13"/>
        <v>#N/A</v>
      </c>
      <c r="V34" s="1581" t="s">
        <v>8</v>
      </c>
      <c r="W34" s="1582" t="e">
        <f t="shared" si="14"/>
        <v>#N/A</v>
      </c>
      <c r="X34" s="1583"/>
      <c r="Y34" s="3394"/>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94"/>
      <c r="Q35" s="1576" t="str">
        <f t="shared" si="11"/>
        <v>建筑结构</v>
      </c>
      <c r="R35" s="1577" t="s">
        <v>8</v>
      </c>
      <c r="S35" s="1578">
        <f t="shared" si="12"/>
        <v>100</v>
      </c>
      <c r="T35" s="1577" t="s">
        <v>8</v>
      </c>
      <c r="U35" s="1578">
        <f t="shared" si="13"/>
        <v>100</v>
      </c>
      <c r="V35" s="1577" t="s">
        <v>8</v>
      </c>
      <c r="W35" s="1578">
        <f t="shared" si="14"/>
        <v>100</v>
      </c>
      <c r="X35" s="1571"/>
      <c r="Y35" s="3394"/>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94"/>
      <c r="Q36" s="1576" t="str">
        <f t="shared" si="11"/>
        <v>公共部分装修</v>
      </c>
      <c r="R36" s="1577" t="s">
        <v>8</v>
      </c>
      <c r="S36" s="1578">
        <f t="shared" si="12"/>
        <v>100</v>
      </c>
      <c r="T36" s="1577" t="s">
        <v>8</v>
      </c>
      <c r="U36" s="1578">
        <f t="shared" si="13"/>
        <v>100</v>
      </c>
      <c r="V36" s="1577" t="s">
        <v>8</v>
      </c>
      <c r="W36" s="1578">
        <f t="shared" si="14"/>
        <v>100</v>
      </c>
      <c r="X36" s="1571"/>
      <c r="Y36" s="3394"/>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94"/>
      <c r="Q37" s="1576" t="str">
        <f t="shared" si="11"/>
        <v>成新度</v>
      </c>
      <c r="R37" s="1577" t="s">
        <v>8</v>
      </c>
      <c r="S37" s="1578" t="e">
        <f t="shared" si="12"/>
        <v>#N/A</v>
      </c>
      <c r="T37" s="1577" t="s">
        <v>8</v>
      </c>
      <c r="U37" s="1578" t="e">
        <f t="shared" si="13"/>
        <v>#N/A</v>
      </c>
      <c r="V37" s="1577" t="s">
        <v>8</v>
      </c>
      <c r="W37" s="1578" t="e">
        <f t="shared" si="14"/>
        <v>#N/A</v>
      </c>
      <c r="X37" s="1571"/>
      <c r="Y37" s="3394"/>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94"/>
      <c r="Q38" s="1154" t="str">
        <f t="shared" si="11"/>
        <v>写字楼等级</v>
      </c>
      <c r="R38" s="1572" t="s">
        <v>8</v>
      </c>
      <c r="S38" s="1573">
        <f t="shared" si="12"/>
        <v>100</v>
      </c>
      <c r="T38" s="1572" t="s">
        <v>8</v>
      </c>
      <c r="U38" s="1573">
        <f t="shared" si="13"/>
        <v>100</v>
      </c>
      <c r="V38" s="1572" t="s">
        <v>8</v>
      </c>
      <c r="W38" s="1573">
        <f t="shared" si="14"/>
        <v>100</v>
      </c>
      <c r="X38" s="1574"/>
      <c r="Y38" s="3394"/>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94" t="s">
        <v>551</v>
      </c>
      <c r="Q39" s="1576" t="str">
        <f t="shared" si="11"/>
        <v>物业管理</v>
      </c>
      <c r="R39" s="1577" t="s">
        <v>8</v>
      </c>
      <c r="S39" s="1578">
        <f t="shared" si="12"/>
        <v>100</v>
      </c>
      <c r="T39" s="1577" t="s">
        <v>8</v>
      </c>
      <c r="U39" s="1578">
        <f t="shared" si="13"/>
        <v>100</v>
      </c>
      <c r="V39" s="1577" t="s">
        <v>8</v>
      </c>
      <c r="W39" s="1578">
        <f t="shared" si="14"/>
        <v>100</v>
      </c>
      <c r="X39" s="1571"/>
      <c r="Y39" s="3394"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94"/>
      <c r="Q40" s="1576" t="str">
        <f t="shared" si="11"/>
        <v>市政基础设施</v>
      </c>
      <c r="R40" s="1577" t="s">
        <v>8</v>
      </c>
      <c r="S40" s="1578">
        <f t="shared" si="12"/>
        <v>100</v>
      </c>
      <c r="T40" s="1577" t="s">
        <v>8</v>
      </c>
      <c r="U40" s="1578">
        <f t="shared" si="13"/>
        <v>100</v>
      </c>
      <c r="V40" s="1577" t="s">
        <v>8</v>
      </c>
      <c r="W40" s="1578">
        <f t="shared" si="14"/>
        <v>100</v>
      </c>
      <c r="X40" s="1571"/>
      <c r="Y40" s="3394"/>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94"/>
      <c r="Q41" s="1576" t="str">
        <f t="shared" si="11"/>
        <v>层高</v>
      </c>
      <c r="R41" s="1577" t="s">
        <v>8</v>
      </c>
      <c r="S41" s="1578">
        <f t="shared" si="12"/>
        <v>100</v>
      </c>
      <c r="T41" s="1577" t="s">
        <v>8</v>
      </c>
      <c r="U41" s="1578">
        <f t="shared" si="13"/>
        <v>100</v>
      </c>
      <c r="V41" s="1577" t="s">
        <v>8</v>
      </c>
      <c r="W41" s="1578">
        <f t="shared" si="14"/>
        <v>100</v>
      </c>
      <c r="X41" s="1571"/>
      <c r="Y41" s="3394"/>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94"/>
      <c r="Q42" s="1609" t="str">
        <f t="shared" si="11"/>
        <v>单套建筑面积</v>
      </c>
      <c r="R42" s="1581" t="s">
        <v>8</v>
      </c>
      <c r="S42" s="1582">
        <f t="shared" si="12"/>
        <v>100</v>
      </c>
      <c r="T42" s="1581" t="s">
        <v>8</v>
      </c>
      <c r="U42" s="1582">
        <f t="shared" si="13"/>
        <v>100</v>
      </c>
      <c r="V42" s="1581" t="s">
        <v>8</v>
      </c>
      <c r="W42" s="1582">
        <f t="shared" si="14"/>
        <v>100</v>
      </c>
      <c r="X42" s="1583"/>
      <c r="Y42" s="3394"/>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94"/>
      <c r="Q43" s="1576" t="str">
        <f t="shared" si="11"/>
        <v>内部装修</v>
      </c>
      <c r="R43" s="1577" t="s">
        <v>8</v>
      </c>
      <c r="S43" s="1578">
        <f t="shared" si="12"/>
        <v>100</v>
      </c>
      <c r="T43" s="1577" t="s">
        <v>8</v>
      </c>
      <c r="U43" s="1578">
        <f t="shared" si="13"/>
        <v>100</v>
      </c>
      <c r="V43" s="1577" t="s">
        <v>8</v>
      </c>
      <c r="W43" s="1578">
        <f t="shared" si="14"/>
        <v>100</v>
      </c>
      <c r="X43" s="1571"/>
      <c r="Y43" s="3394"/>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94"/>
      <c r="Q44" s="1576" t="str">
        <f t="shared" si="11"/>
        <v>内部装修维护情况</v>
      </c>
      <c r="R44" s="1577" t="s">
        <v>8</v>
      </c>
      <c r="S44" s="1578">
        <f t="shared" si="12"/>
        <v>100</v>
      </c>
      <c r="T44" s="1577" t="s">
        <v>8</v>
      </c>
      <c r="U44" s="1578">
        <f t="shared" si="13"/>
        <v>100</v>
      </c>
      <c r="V44" s="1577" t="s">
        <v>8</v>
      </c>
      <c r="W44" s="1578">
        <f t="shared" si="14"/>
        <v>100</v>
      </c>
      <c r="X44" s="1571"/>
      <c r="Y44" s="3394"/>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94"/>
      <c r="Q45" s="1154">
        <f t="shared" si="11"/>
        <v>111</v>
      </c>
      <c r="R45" s="1572" t="s">
        <v>8</v>
      </c>
      <c r="S45" s="1573">
        <f t="shared" si="12"/>
        <v>100</v>
      </c>
      <c r="T45" s="1572" t="s">
        <v>8</v>
      </c>
      <c r="U45" s="1573">
        <f t="shared" si="13"/>
        <v>100</v>
      </c>
      <c r="V45" s="1572" t="s">
        <v>8</v>
      </c>
      <c r="W45" s="1573">
        <f t="shared" si="14"/>
        <v>100</v>
      </c>
      <c r="X45" s="1574"/>
      <c r="Y45" s="3394"/>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94"/>
      <c r="Q46" s="1576">
        <f t="shared" si="11"/>
        <v>111</v>
      </c>
      <c r="R46" s="1577" t="s">
        <v>8</v>
      </c>
      <c r="S46" s="1578">
        <f t="shared" si="12"/>
        <v>100</v>
      </c>
      <c r="T46" s="1577" t="s">
        <v>8</v>
      </c>
      <c r="U46" s="1578">
        <f t="shared" si="13"/>
        <v>100</v>
      </c>
      <c r="V46" s="1577" t="s">
        <v>8</v>
      </c>
      <c r="W46" s="1578">
        <f t="shared" si="14"/>
        <v>100</v>
      </c>
      <c r="X46" s="1571"/>
      <c r="Y46" s="3394"/>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95"/>
      <c r="Q47" s="1576">
        <f t="shared" si="11"/>
        <v>111</v>
      </c>
      <c r="R47" s="1577" t="s">
        <v>8</v>
      </c>
      <c r="S47" s="1578">
        <f t="shared" si="12"/>
        <v>100</v>
      </c>
      <c r="T47" s="1577" t="s">
        <v>8</v>
      </c>
      <c r="U47" s="1578">
        <f t="shared" si="13"/>
        <v>100</v>
      </c>
      <c r="V47" s="1577" t="s">
        <v>8</v>
      </c>
      <c r="W47" s="1578">
        <f t="shared" si="14"/>
        <v>100</v>
      </c>
      <c r="X47" s="1571"/>
      <c r="Y47" s="349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412" t="str">
        <f>A48</f>
        <v>成交单价（元/平方米）</v>
      </c>
      <c r="Q48" s="3389"/>
      <c r="R48" s="3494">
        <f>E48</f>
        <v>0</v>
      </c>
      <c r="S48" s="3494"/>
      <c r="T48" s="3494">
        <f>G48</f>
        <v>0</v>
      </c>
      <c r="U48" s="3494"/>
      <c r="V48" s="3494">
        <f>I48</f>
        <v>0</v>
      </c>
      <c r="W48" s="3494"/>
      <c r="X48" s="1563"/>
      <c r="Y48" s="1585"/>
      <c r="Z48" s="1563"/>
      <c r="AA48" s="1563"/>
      <c r="AB48" s="1563"/>
      <c r="AC48" s="1563"/>
    </row>
    <row r="49" spans="1:29" ht="15.75" thickBot="1">
      <c r="A49" s="618" t="s">
        <v>2766</v>
      </c>
      <c r="B49" s="891"/>
      <c r="C49" s="2662" t="e">
        <f>R50</f>
        <v>#DIV/0!</v>
      </c>
      <c r="D49" s="2663"/>
      <c r="E49" s="2664" t="e">
        <f>R49</f>
        <v>#DIV/0!</v>
      </c>
      <c r="F49" s="2664"/>
      <c r="G49" s="2662" t="e">
        <f>T49</f>
        <v>#DIV/0!</v>
      </c>
      <c r="H49" s="2663"/>
      <c r="I49" s="2664" t="e">
        <f>V49</f>
        <v>#DIV/0!</v>
      </c>
      <c r="J49" s="2663"/>
      <c r="K49" s="1616"/>
      <c r="L49" s="2149"/>
      <c r="M49" s="2139"/>
      <c r="N49" s="2139"/>
      <c r="O49" s="2139"/>
      <c r="P49" s="3412" t="str">
        <f>A49</f>
        <v>比较价格（元/平方米）</v>
      </c>
      <c r="Q49" s="3389"/>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63"/>
      <c r="Y49" s="1563"/>
      <c r="Z49" s="1563"/>
      <c r="AA49" s="1563"/>
      <c r="AB49" s="1563"/>
      <c r="AC49" s="1563"/>
    </row>
    <row r="50" spans="1:29" ht="15.75" thickBot="1">
      <c r="A50" s="624" t="s">
        <v>2938</v>
      </c>
      <c r="B50" s="625"/>
      <c r="C50" s="2665" t="e">
        <f>R50</f>
        <v>#DIV/0!</v>
      </c>
      <c r="D50" s="2665"/>
      <c r="E50" s="2665"/>
      <c r="F50" s="2665"/>
      <c r="G50" s="2665"/>
      <c r="H50" s="2665"/>
      <c r="I50" s="2665"/>
      <c r="J50" s="2665"/>
      <c r="K50" s="1617"/>
      <c r="L50" s="2149"/>
      <c r="M50" s="2139"/>
      <c r="N50" s="2139"/>
      <c r="O50" s="2139"/>
      <c r="P50" s="3499" t="str">
        <f>A50</f>
        <v>估价对象XX用房的比较价格（楼面单价，元/平方米）</v>
      </c>
      <c r="Q50" s="3412"/>
      <c r="R50" s="3493" t="e">
        <f>IF(F1="售价",ROUND(AVERAGE(R49:V49),0),ROUND(AVERAGE(R49:V49),1))</f>
        <v>#DIV/0!</v>
      </c>
      <c r="S50" s="3493"/>
      <c r="T50" s="3493"/>
      <c r="U50" s="3493"/>
      <c r="V50" s="3493"/>
      <c r="W50" s="349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95" t="s">
        <v>523</v>
      </c>
      <c r="D4" s="3396"/>
      <c r="E4" s="3420" t="s">
        <v>524</v>
      </c>
      <c r="F4" s="3421"/>
      <c r="G4" s="3395" t="s">
        <v>525</v>
      </c>
      <c r="H4" s="3396"/>
      <c r="I4" s="3395" t="s">
        <v>526</v>
      </c>
      <c r="J4" s="3396"/>
      <c r="K4" s="517" t="s">
        <v>527</v>
      </c>
      <c r="L4" s="2138"/>
      <c r="M4" s="2139"/>
      <c r="N4" s="2139"/>
      <c r="O4" s="2139"/>
      <c r="P4" s="3397" t="s">
        <v>528</v>
      </c>
      <c r="Q4" s="3398"/>
      <c r="R4" s="3383" t="s">
        <v>524</v>
      </c>
      <c r="S4" s="3384"/>
      <c r="T4" s="3383" t="s">
        <v>525</v>
      </c>
      <c r="U4" s="3384"/>
      <c r="V4" s="3403" t="s">
        <v>526</v>
      </c>
      <c r="W4" s="3403"/>
      <c r="X4" s="1571"/>
      <c r="Y4" s="3383" t="s">
        <v>528</v>
      </c>
      <c r="Z4" s="3384"/>
      <c r="AA4" s="3378" t="s">
        <v>524</v>
      </c>
      <c r="AB4" s="3379" t="s">
        <v>525</v>
      </c>
      <c r="AC4" s="3378" t="s">
        <v>526</v>
      </c>
    </row>
    <row r="5" spans="1:29" ht="15">
      <c r="A5" s="518"/>
      <c r="B5" s="519"/>
      <c r="C5" s="3408" t="s">
        <v>2932</v>
      </c>
      <c r="D5" s="3407"/>
      <c r="E5" s="3422" t="s">
        <v>2933</v>
      </c>
      <c r="F5" s="3423"/>
      <c r="G5" s="3408" t="s">
        <v>2934</v>
      </c>
      <c r="H5" s="3407"/>
      <c r="I5" s="3408" t="s">
        <v>2935</v>
      </c>
      <c r="J5" s="3407"/>
      <c r="K5" s="517"/>
      <c r="L5" s="2138"/>
      <c r="M5" s="2139"/>
      <c r="N5" s="2139"/>
      <c r="O5" s="2139"/>
      <c r="P5" s="3399"/>
      <c r="Q5" s="3400"/>
      <c r="R5" s="3385"/>
      <c r="S5" s="3386"/>
      <c r="T5" s="3385"/>
      <c r="U5" s="3386"/>
      <c r="V5" s="3403"/>
      <c r="W5" s="3403"/>
      <c r="X5" s="1571"/>
      <c r="Y5" s="3385"/>
      <c r="Z5" s="3386"/>
      <c r="AA5" s="3379"/>
      <c r="AB5" s="3379"/>
      <c r="AC5" s="3379"/>
    </row>
    <row r="6" spans="1:29" ht="15.75" thickBot="1">
      <c r="A6" s="520"/>
      <c r="B6" s="521"/>
      <c r="C6" s="3404" t="s">
        <v>2936</v>
      </c>
      <c r="D6" s="3405"/>
      <c r="E6" s="3424" t="s">
        <v>2936</v>
      </c>
      <c r="F6" s="3425"/>
      <c r="G6" s="3404" t="s">
        <v>2936</v>
      </c>
      <c r="H6" s="3405"/>
      <c r="I6" s="3404" t="s">
        <v>2936</v>
      </c>
      <c r="J6" s="3405"/>
      <c r="K6" s="517" t="s">
        <v>529</v>
      </c>
      <c r="L6" s="2138"/>
      <c r="M6" s="2139"/>
      <c r="N6" s="2139"/>
      <c r="O6" s="2139"/>
      <c r="P6" s="3401"/>
      <c r="Q6" s="3402"/>
      <c r="R6" s="3385"/>
      <c r="S6" s="3386"/>
      <c r="T6" s="3387"/>
      <c r="U6" s="3388"/>
      <c r="V6" s="3403"/>
      <c r="W6" s="3403"/>
      <c r="X6" s="1571"/>
      <c r="Y6" s="3387"/>
      <c r="Z6" s="3388"/>
      <c r="AA6" s="3380"/>
      <c r="AB6" s="3380"/>
      <c r="AC6" s="3380"/>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81" t="s">
        <v>531</v>
      </c>
      <c r="Q7" s="3390"/>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81" t="s">
        <v>534</v>
      </c>
      <c r="Q8" s="3382"/>
      <c r="R8" s="1572" t="s">
        <v>8</v>
      </c>
      <c r="S8" s="1573">
        <f t="shared" si="0"/>
        <v>0</v>
      </c>
      <c r="T8" s="1572" t="s">
        <v>8</v>
      </c>
      <c r="U8" s="1573">
        <f t="shared" si="1"/>
        <v>0</v>
      </c>
      <c r="V8" s="1572" t="s">
        <v>8</v>
      </c>
      <c r="W8" s="1573">
        <f t="shared" si="2"/>
        <v>0</v>
      </c>
      <c r="X8" s="1574"/>
      <c r="Y8" s="3381" t="s">
        <v>534</v>
      </c>
      <c r="Z8" s="3382"/>
      <c r="AA8" s="1575" t="e">
        <f t="shared" ref="AA8:AA40" si="3">D8/F8</f>
        <v>#DIV/0!</v>
      </c>
      <c r="AB8" s="1575" t="e">
        <f t="shared" ref="AB8:AB40" si="4">D8/H8</f>
        <v>#DIV/0!</v>
      </c>
      <c r="AC8" s="1575" t="e">
        <f t="shared" ref="AC8:AC40" si="5">D8/J8</f>
        <v>#DIV/0!</v>
      </c>
    </row>
    <row r="9" spans="1:29" s="1223" customFormat="1" ht="15">
      <c r="A9" s="2945"/>
      <c r="B9" s="2952" t="s">
        <v>2762</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89" t="s">
        <v>536</v>
      </c>
      <c r="Q9" s="1154" t="str">
        <f t="shared" ref="Q9:Q15" si="6">B9</f>
        <v>用途</v>
      </c>
      <c r="R9" s="1572" t="s">
        <v>8</v>
      </c>
      <c r="S9" s="1573">
        <f t="shared" si="0"/>
        <v>100</v>
      </c>
      <c r="T9" s="1572" t="s">
        <v>8</v>
      </c>
      <c r="U9" s="1573">
        <f t="shared" si="1"/>
        <v>100</v>
      </c>
      <c r="V9" s="1572" t="s">
        <v>8</v>
      </c>
      <c r="W9" s="1573">
        <f t="shared" si="2"/>
        <v>100</v>
      </c>
      <c r="X9" s="1574"/>
      <c r="Y9" s="3346"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89"/>
      <c r="Q11" s="1154" t="str">
        <f t="shared" si="6"/>
        <v>容积率</v>
      </c>
      <c r="R11" s="1572" t="s">
        <v>8</v>
      </c>
      <c r="S11" s="1573" t="e">
        <f t="shared" si="0"/>
        <v>#N/A</v>
      </c>
      <c r="T11" s="1572" t="s">
        <v>8</v>
      </c>
      <c r="U11" s="1573" t="e">
        <f t="shared" si="1"/>
        <v>#N/A</v>
      </c>
      <c r="V11" s="1572" t="s">
        <v>8</v>
      </c>
      <c r="W11" s="1573" t="e">
        <f t="shared" si="2"/>
        <v>#N/A</v>
      </c>
      <c r="X11" s="1574"/>
      <c r="Y11" s="334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89"/>
      <c r="Q12" s="1154">
        <f t="shared" si="6"/>
        <v>111</v>
      </c>
      <c r="R12" s="1572" t="s">
        <v>8</v>
      </c>
      <c r="S12" s="1573">
        <f t="shared" si="0"/>
        <v>100</v>
      </c>
      <c r="T12" s="1572" t="s">
        <v>8</v>
      </c>
      <c r="U12" s="1573">
        <f t="shared" si="1"/>
        <v>100</v>
      </c>
      <c r="V12" s="1572" t="s">
        <v>8</v>
      </c>
      <c r="W12" s="1573">
        <f t="shared" si="2"/>
        <v>100</v>
      </c>
      <c r="X12" s="1574"/>
      <c r="Y12" s="334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89"/>
      <c r="Q13" s="1154">
        <f t="shared" si="6"/>
        <v>111</v>
      </c>
      <c r="R13" s="1572" t="s">
        <v>8</v>
      </c>
      <c r="S13" s="1573">
        <f t="shared" si="0"/>
        <v>100</v>
      </c>
      <c r="T13" s="1572" t="s">
        <v>8</v>
      </c>
      <c r="U13" s="1573">
        <f t="shared" si="1"/>
        <v>100</v>
      </c>
      <c r="V13" s="1572" t="s">
        <v>8</v>
      </c>
      <c r="W13" s="1573">
        <f t="shared" si="2"/>
        <v>100</v>
      </c>
      <c r="X13" s="1574"/>
      <c r="Y13" s="334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89"/>
      <c r="Q14" s="1154">
        <f t="shared" si="6"/>
        <v>111</v>
      </c>
      <c r="R14" s="1572" t="s">
        <v>8</v>
      </c>
      <c r="S14" s="1573">
        <f t="shared" si="0"/>
        <v>100</v>
      </c>
      <c r="T14" s="1572" t="s">
        <v>8</v>
      </c>
      <c r="U14" s="1573">
        <f t="shared" si="1"/>
        <v>100</v>
      </c>
      <c r="V14" s="1572" t="s">
        <v>8</v>
      </c>
      <c r="W14" s="1573">
        <f t="shared" si="2"/>
        <v>100</v>
      </c>
      <c r="X14" s="1574"/>
      <c r="Y14" s="3346"/>
      <c r="Z14" s="1153">
        <f t="shared" si="7"/>
        <v>111</v>
      </c>
      <c r="AA14" s="1575">
        <f t="shared" si="3"/>
        <v>1</v>
      </c>
      <c r="AB14" s="1575">
        <f t="shared" si="4"/>
        <v>1</v>
      </c>
      <c r="AC14" s="1575">
        <f t="shared" si="5"/>
        <v>1</v>
      </c>
    </row>
    <row r="15" spans="1:29" ht="57">
      <c r="A15" s="2941" t="s">
        <v>2760</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91" t="s">
        <v>541</v>
      </c>
      <c r="Q15" s="1576" t="str">
        <f t="shared" si="6"/>
        <v>产业集聚程度</v>
      </c>
      <c r="R15" s="1577" t="s">
        <v>8</v>
      </c>
      <c r="S15" s="1578">
        <f t="shared" si="0"/>
        <v>100</v>
      </c>
      <c r="T15" s="1577" t="s">
        <v>8</v>
      </c>
      <c r="U15" s="1578">
        <f t="shared" si="1"/>
        <v>100</v>
      </c>
      <c r="V15" s="1577" t="s">
        <v>8</v>
      </c>
      <c r="W15" s="1578">
        <f t="shared" si="2"/>
        <v>100</v>
      </c>
      <c r="X15" s="1571"/>
      <c r="Y15" s="3391"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92"/>
      <c r="Q16" s="1576"/>
      <c r="R16" s="1577"/>
      <c r="S16" s="1578"/>
      <c r="T16" s="1577"/>
      <c r="U16" s="1578"/>
      <c r="V16" s="1577"/>
      <c r="W16" s="1578"/>
      <c r="X16" s="1571"/>
      <c r="Y16" s="3392"/>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92"/>
      <c r="Q17" s="1576" t="str">
        <f>B17</f>
        <v>交通便捷度</v>
      </c>
      <c r="R17" s="1577" t="s">
        <v>8</v>
      </c>
      <c r="S17" s="1578">
        <f>F17</f>
        <v>100</v>
      </c>
      <c r="T17" s="1577" t="s">
        <v>8</v>
      </c>
      <c r="U17" s="1578">
        <f>H17</f>
        <v>100</v>
      </c>
      <c r="V17" s="1577" t="s">
        <v>8</v>
      </c>
      <c r="W17" s="1578">
        <f>J17</f>
        <v>100</v>
      </c>
      <c r="X17" s="1571"/>
      <c r="Y17" s="339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92"/>
      <c r="Q18" s="1576"/>
      <c r="R18" s="1577"/>
      <c r="S18" s="1578"/>
      <c r="T18" s="1577"/>
      <c r="U18" s="1578"/>
      <c r="V18" s="1577"/>
      <c r="W18" s="1578"/>
      <c r="X18" s="1571"/>
      <c r="Y18" s="3392"/>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92"/>
      <c r="Q19" s="1576" t="str">
        <f>B19</f>
        <v>公共配套设施</v>
      </c>
      <c r="R19" s="1577" t="s">
        <v>8</v>
      </c>
      <c r="S19" s="1578">
        <f>F19</f>
        <v>100</v>
      </c>
      <c r="T19" s="1577" t="s">
        <v>8</v>
      </c>
      <c r="U19" s="1578">
        <f>H19</f>
        <v>100</v>
      </c>
      <c r="V19" s="1577" t="s">
        <v>8</v>
      </c>
      <c r="W19" s="1578">
        <f>J19</f>
        <v>100</v>
      </c>
      <c r="X19" s="1571"/>
      <c r="Y19" s="3392"/>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92"/>
      <c r="Q20" s="1576"/>
      <c r="R20" s="1577"/>
      <c r="S20" s="1578"/>
      <c r="T20" s="1577"/>
      <c r="U20" s="1578"/>
      <c r="V20" s="1577"/>
      <c r="W20" s="1578"/>
      <c r="X20" s="1571"/>
      <c r="Y20" s="3392"/>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92"/>
      <c r="Q21" s="2608" t="str">
        <f>B21</f>
        <v>基础设施水平</v>
      </c>
      <c r="R21" s="1577" t="s">
        <v>8</v>
      </c>
      <c r="S21" s="1578">
        <f>F21</f>
        <v>100</v>
      </c>
      <c r="T21" s="1577" t="s">
        <v>8</v>
      </c>
      <c r="U21" s="1578">
        <f>H21</f>
        <v>100</v>
      </c>
      <c r="V21" s="1577" t="s">
        <v>8</v>
      </c>
      <c r="W21" s="1578">
        <f>J21</f>
        <v>100</v>
      </c>
      <c r="X21" s="2610"/>
      <c r="Y21" s="3392"/>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92"/>
      <c r="Q22" s="2608"/>
      <c r="R22" s="1577"/>
      <c r="S22" s="1578"/>
      <c r="T22" s="1577"/>
      <c r="U22" s="1578"/>
      <c r="V22" s="1577"/>
      <c r="W22" s="1578"/>
      <c r="X22" s="2610"/>
      <c r="Y22" s="3392"/>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92"/>
      <c r="Q23" s="1576" t="str">
        <f>B23</f>
        <v>环境质量</v>
      </c>
      <c r="R23" s="1577" t="s">
        <v>8</v>
      </c>
      <c r="S23" s="1578">
        <f>F23</f>
        <v>100</v>
      </c>
      <c r="T23" s="1577" t="s">
        <v>8</v>
      </c>
      <c r="U23" s="1578">
        <f>H23</f>
        <v>100</v>
      </c>
      <c r="V23" s="1577" t="s">
        <v>8</v>
      </c>
      <c r="W23" s="1578">
        <f>J23</f>
        <v>100</v>
      </c>
      <c r="X23" s="1571"/>
      <c r="Y23" s="3392"/>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92"/>
      <c r="Q24" s="1576"/>
      <c r="R24" s="1577"/>
      <c r="S24" s="1578"/>
      <c r="T24" s="1577"/>
      <c r="U24" s="1578"/>
      <c r="V24" s="1577"/>
      <c r="W24" s="1578"/>
      <c r="X24" s="1571"/>
      <c r="Y24" s="3392"/>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92"/>
      <c r="Q25" s="1576">
        <f>B25</f>
        <v>111</v>
      </c>
      <c r="R25" s="1577" t="s">
        <v>8</v>
      </c>
      <c r="S25" s="1578">
        <f>F25</f>
        <v>100</v>
      </c>
      <c r="T25" s="1577" t="s">
        <v>8</v>
      </c>
      <c r="U25" s="1578">
        <f>H25</f>
        <v>100</v>
      </c>
      <c r="V25" s="1577" t="s">
        <v>8</v>
      </c>
      <c r="W25" s="1578">
        <f>J25</f>
        <v>100</v>
      </c>
      <c r="X25" s="1571"/>
      <c r="Y25" s="3392"/>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92"/>
      <c r="Q26" s="1576">
        <f t="shared" ref="Q26:Q40" si="11">B26</f>
        <v>111</v>
      </c>
      <c r="R26" s="1577" t="s">
        <v>8</v>
      </c>
      <c r="S26" s="1578">
        <f>F26</f>
        <v>100</v>
      </c>
      <c r="T26" s="1577" t="s">
        <v>8</v>
      </c>
      <c r="U26" s="1578">
        <f>H26</f>
        <v>100</v>
      </c>
      <c r="V26" s="1577" t="s">
        <v>8</v>
      </c>
      <c r="W26" s="1578">
        <f>J26</f>
        <v>100</v>
      </c>
      <c r="X26" s="1571"/>
      <c r="Y26" s="3392"/>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92"/>
      <c r="Q27" s="1154">
        <f t="shared" si="11"/>
        <v>111</v>
      </c>
      <c r="R27" s="1572" t="s">
        <v>8</v>
      </c>
      <c r="S27" s="1573">
        <f>F27</f>
        <v>100</v>
      </c>
      <c r="T27" s="1572" t="s">
        <v>8</v>
      </c>
      <c r="U27" s="1573">
        <f>H27</f>
        <v>100</v>
      </c>
      <c r="V27" s="1572" t="s">
        <v>8</v>
      </c>
      <c r="W27" s="1573">
        <f>J27</f>
        <v>100</v>
      </c>
      <c r="X27" s="1574"/>
      <c r="Y27" s="3392"/>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92"/>
      <c r="Q28" s="1576">
        <f t="shared" si="11"/>
        <v>111</v>
      </c>
      <c r="R28" s="1577" t="s">
        <v>8</v>
      </c>
      <c r="S28" s="1578">
        <f t="shared" ref="S28:S40" si="12">F28</f>
        <v>100</v>
      </c>
      <c r="T28" s="1577" t="s">
        <v>8</v>
      </c>
      <c r="U28" s="1578">
        <f t="shared" ref="U28:U40" si="13">H28</f>
        <v>100</v>
      </c>
      <c r="V28" s="1577" t="s">
        <v>8</v>
      </c>
      <c r="W28" s="1578">
        <f t="shared" ref="W28:W40" si="14">J28</f>
        <v>100</v>
      </c>
      <c r="X28" s="1571"/>
      <c r="Y28" s="3392"/>
      <c r="Z28" s="1579">
        <f t="shared" ref="Z28:Z40" si="15">Q28</f>
        <v>111</v>
      </c>
      <c r="AA28" s="1580">
        <f t="shared" si="3"/>
        <v>1</v>
      </c>
      <c r="AB28" s="1580">
        <f t="shared" si="4"/>
        <v>1</v>
      </c>
      <c r="AC28" s="1580">
        <f t="shared" si="5"/>
        <v>1</v>
      </c>
    </row>
    <row r="29" spans="1:29" ht="15">
      <c r="A29" s="2938" t="s">
        <v>2761</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93" t="s">
        <v>551</v>
      </c>
      <c r="Q29" s="1576" t="str">
        <f t="shared" si="11"/>
        <v>建筑类型</v>
      </c>
      <c r="R29" s="1577" t="s">
        <v>8</v>
      </c>
      <c r="S29" s="1578">
        <f t="shared" si="12"/>
        <v>100</v>
      </c>
      <c r="T29" s="1577" t="s">
        <v>8</v>
      </c>
      <c r="U29" s="1578">
        <f t="shared" si="13"/>
        <v>100</v>
      </c>
      <c r="V29" s="1577" t="s">
        <v>8</v>
      </c>
      <c r="W29" s="1578">
        <f t="shared" si="14"/>
        <v>100</v>
      </c>
      <c r="X29" s="1571"/>
      <c r="Y29" s="3394"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94"/>
      <c r="Q30" s="1609" t="str">
        <f t="shared" si="11"/>
        <v>项目建筑规模</v>
      </c>
      <c r="R30" s="1581" t="s">
        <v>8</v>
      </c>
      <c r="S30" s="1582" t="e">
        <f t="shared" si="12"/>
        <v>#N/A</v>
      </c>
      <c r="T30" s="1581" t="s">
        <v>8</v>
      </c>
      <c r="U30" s="1582" t="e">
        <f t="shared" si="13"/>
        <v>#N/A</v>
      </c>
      <c r="V30" s="1581" t="s">
        <v>8</v>
      </c>
      <c r="W30" s="1582" t="e">
        <f t="shared" si="14"/>
        <v>#N/A</v>
      </c>
      <c r="X30" s="1583"/>
      <c r="Y30" s="3394"/>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94"/>
      <c r="Q31" s="1576" t="str">
        <f t="shared" si="11"/>
        <v>建筑结构</v>
      </c>
      <c r="R31" s="1577" t="s">
        <v>8</v>
      </c>
      <c r="S31" s="1578">
        <f t="shared" si="12"/>
        <v>100</v>
      </c>
      <c r="T31" s="1577" t="s">
        <v>8</v>
      </c>
      <c r="U31" s="1578">
        <f t="shared" si="13"/>
        <v>100</v>
      </c>
      <c r="V31" s="1577" t="s">
        <v>8</v>
      </c>
      <c r="W31" s="1578">
        <f t="shared" si="14"/>
        <v>100</v>
      </c>
      <c r="X31" s="1571"/>
      <c r="Y31" s="3394"/>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94"/>
      <c r="Q32" s="1576" t="str">
        <f t="shared" si="11"/>
        <v>公共部分装修</v>
      </c>
      <c r="R32" s="1577" t="s">
        <v>8</v>
      </c>
      <c r="S32" s="1578">
        <f t="shared" si="12"/>
        <v>100</v>
      </c>
      <c r="T32" s="1577" t="s">
        <v>8</v>
      </c>
      <c r="U32" s="1578">
        <f t="shared" si="13"/>
        <v>100</v>
      </c>
      <c r="V32" s="1577" t="s">
        <v>8</v>
      </c>
      <c r="W32" s="1578">
        <f t="shared" si="14"/>
        <v>100</v>
      </c>
      <c r="X32" s="1571"/>
      <c r="Y32" s="3394"/>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94"/>
      <c r="Q33" s="1576" t="str">
        <f t="shared" si="11"/>
        <v>成新度</v>
      </c>
      <c r="R33" s="1577" t="s">
        <v>8</v>
      </c>
      <c r="S33" s="1578" t="e">
        <f t="shared" si="12"/>
        <v>#N/A</v>
      </c>
      <c r="T33" s="1577" t="s">
        <v>8</v>
      </c>
      <c r="U33" s="1578" t="e">
        <f t="shared" si="13"/>
        <v>#N/A</v>
      </c>
      <c r="V33" s="1577" t="s">
        <v>8</v>
      </c>
      <c r="W33" s="1578" t="e">
        <f t="shared" si="14"/>
        <v>#N/A</v>
      </c>
      <c r="X33" s="1571"/>
      <c r="Y33" s="3394"/>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94"/>
      <c r="Q34" s="1154" t="str">
        <f t="shared" si="11"/>
        <v>物业管理</v>
      </c>
      <c r="R34" s="1572" t="s">
        <v>8</v>
      </c>
      <c r="S34" s="1573">
        <f t="shared" si="12"/>
        <v>100</v>
      </c>
      <c r="T34" s="1572" t="s">
        <v>8</v>
      </c>
      <c r="U34" s="1573">
        <f t="shared" si="13"/>
        <v>100</v>
      </c>
      <c r="V34" s="1572" t="s">
        <v>8</v>
      </c>
      <c r="W34" s="1573">
        <f t="shared" si="14"/>
        <v>100</v>
      </c>
      <c r="X34" s="1574"/>
      <c r="Y34" s="3394"/>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94" t="s">
        <v>551</v>
      </c>
      <c r="Q35" s="1576" t="str">
        <f t="shared" si="11"/>
        <v>市政基础设施</v>
      </c>
      <c r="R35" s="1577" t="s">
        <v>8</v>
      </c>
      <c r="S35" s="1578">
        <f t="shared" si="12"/>
        <v>100</v>
      </c>
      <c r="T35" s="1577" t="s">
        <v>8</v>
      </c>
      <c r="U35" s="1578">
        <f t="shared" si="13"/>
        <v>100</v>
      </c>
      <c r="V35" s="1577" t="s">
        <v>8</v>
      </c>
      <c r="W35" s="1578">
        <f t="shared" si="14"/>
        <v>100</v>
      </c>
      <c r="X35" s="1571"/>
      <c r="Y35" s="3394"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94"/>
      <c r="Q36" s="1576" t="str">
        <f t="shared" si="11"/>
        <v>内部装修</v>
      </c>
      <c r="R36" s="1577" t="s">
        <v>8</v>
      </c>
      <c r="S36" s="1578">
        <f t="shared" si="12"/>
        <v>100</v>
      </c>
      <c r="T36" s="1577" t="s">
        <v>8</v>
      </c>
      <c r="U36" s="1578">
        <f t="shared" si="13"/>
        <v>100</v>
      </c>
      <c r="V36" s="1577" t="s">
        <v>8</v>
      </c>
      <c r="W36" s="1578">
        <f t="shared" si="14"/>
        <v>100</v>
      </c>
      <c r="X36" s="1571"/>
      <c r="Y36" s="3394"/>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94"/>
      <c r="Q37" s="1576" t="str">
        <f t="shared" si="11"/>
        <v>内部装修状况</v>
      </c>
      <c r="R37" s="1577" t="s">
        <v>8</v>
      </c>
      <c r="S37" s="1578">
        <f t="shared" si="12"/>
        <v>100</v>
      </c>
      <c r="T37" s="1577" t="s">
        <v>8</v>
      </c>
      <c r="U37" s="1578">
        <f t="shared" si="13"/>
        <v>100</v>
      </c>
      <c r="V37" s="1577" t="s">
        <v>8</v>
      </c>
      <c r="W37" s="1578">
        <f t="shared" si="14"/>
        <v>100</v>
      </c>
      <c r="X37" s="1571"/>
      <c r="Y37" s="3394"/>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94"/>
      <c r="Q38" s="1609">
        <f t="shared" si="11"/>
        <v>111</v>
      </c>
      <c r="R38" s="1581" t="s">
        <v>8</v>
      </c>
      <c r="S38" s="1582">
        <f t="shared" si="12"/>
        <v>100</v>
      </c>
      <c r="T38" s="1581" t="s">
        <v>8</v>
      </c>
      <c r="U38" s="1582">
        <f t="shared" si="13"/>
        <v>100</v>
      </c>
      <c r="V38" s="1581" t="s">
        <v>8</v>
      </c>
      <c r="W38" s="1582">
        <f t="shared" si="14"/>
        <v>100</v>
      </c>
      <c r="X38" s="1583"/>
      <c r="Y38" s="3394"/>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94"/>
      <c r="Q39" s="1576">
        <f t="shared" si="11"/>
        <v>111</v>
      </c>
      <c r="R39" s="1577" t="s">
        <v>8</v>
      </c>
      <c r="S39" s="1578">
        <f t="shared" si="12"/>
        <v>100</v>
      </c>
      <c r="T39" s="1577" t="s">
        <v>8</v>
      </c>
      <c r="U39" s="1578">
        <f t="shared" si="13"/>
        <v>100</v>
      </c>
      <c r="V39" s="1577" t="s">
        <v>8</v>
      </c>
      <c r="W39" s="1578">
        <f t="shared" si="14"/>
        <v>100</v>
      </c>
      <c r="X39" s="1571"/>
      <c r="Y39" s="3394"/>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95"/>
      <c r="Q40" s="1576">
        <f t="shared" si="11"/>
        <v>111</v>
      </c>
      <c r="R40" s="1577" t="s">
        <v>8</v>
      </c>
      <c r="S40" s="1578">
        <f t="shared" si="12"/>
        <v>100</v>
      </c>
      <c r="T40" s="1577" t="s">
        <v>8</v>
      </c>
      <c r="U40" s="1578">
        <f t="shared" si="13"/>
        <v>100</v>
      </c>
      <c r="V40" s="1577" t="s">
        <v>8</v>
      </c>
      <c r="W40" s="1578">
        <f t="shared" si="14"/>
        <v>100</v>
      </c>
      <c r="X40" s="1571"/>
      <c r="Y40" s="349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89" t="str">
        <f>A41</f>
        <v>成交单价（元/平方米）</v>
      </c>
      <c r="Q41" s="3389"/>
      <c r="R41" s="3494">
        <f>E41</f>
        <v>0</v>
      </c>
      <c r="S41" s="3494"/>
      <c r="T41" s="3494">
        <f>G41</f>
        <v>0</v>
      </c>
      <c r="U41" s="3494"/>
      <c r="V41" s="3494">
        <f>I41</f>
        <v>0</v>
      </c>
      <c r="W41" s="3494"/>
      <c r="X41" s="1563"/>
      <c r="Y41" s="1585"/>
      <c r="Z41" s="1563"/>
      <c r="AA41" s="1563"/>
      <c r="AB41" s="1563"/>
      <c r="AC41" s="1563"/>
    </row>
    <row r="42" spans="1:29" ht="15.75" thickBot="1">
      <c r="A42" s="618" t="s">
        <v>2766</v>
      </c>
      <c r="B42" s="891"/>
      <c r="C42" s="2662" t="e">
        <f>R43</f>
        <v>#DIV/0!</v>
      </c>
      <c r="D42" s="2663"/>
      <c r="E42" s="2664" t="e">
        <f>R42</f>
        <v>#DIV/0!</v>
      </c>
      <c r="F42" s="2664"/>
      <c r="G42" s="2662" t="e">
        <f>T42</f>
        <v>#DIV/0!</v>
      </c>
      <c r="H42" s="2663"/>
      <c r="I42" s="2664" t="e">
        <f>V42</f>
        <v>#DIV/0!</v>
      </c>
      <c r="J42" s="2663"/>
      <c r="K42" s="1616"/>
      <c r="L42" s="2149"/>
      <c r="M42" s="2150"/>
      <c r="N42" s="2139"/>
      <c r="O42" s="2150"/>
      <c r="P42" s="3389" t="str">
        <f>A42</f>
        <v>比较价格（元/平方米）</v>
      </c>
      <c r="Q42" s="3389"/>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63"/>
      <c r="Y42" s="1563"/>
      <c r="Z42" s="1563"/>
      <c r="AA42" s="1563"/>
      <c r="AB42" s="1563"/>
      <c r="AC42" s="1563"/>
    </row>
    <row r="43" spans="1:29" ht="15.75" thickBot="1">
      <c r="A43" s="624" t="s">
        <v>2938</v>
      </c>
      <c r="B43" s="625"/>
      <c r="C43" s="2665" t="e">
        <f>R43</f>
        <v>#DIV/0!</v>
      </c>
      <c r="D43" s="2665"/>
      <c r="E43" s="2665"/>
      <c r="F43" s="2665"/>
      <c r="G43" s="2665"/>
      <c r="H43" s="2665"/>
      <c r="I43" s="2665"/>
      <c r="J43" s="2665"/>
      <c r="K43" s="1617"/>
      <c r="L43" s="2149"/>
      <c r="M43" s="2150"/>
      <c r="N43" s="2150"/>
      <c r="O43" s="2150"/>
      <c r="P43" s="3411" t="str">
        <f>A43</f>
        <v>估价对象XX用房的比较价格（楼面单价，元/平方米）</v>
      </c>
      <c r="Q43" s="3412"/>
      <c r="R43" s="3493" t="e">
        <f>IF(F1="售价",ROUND(AVERAGE(R42:V42),0),ROUND(AVERAGE(R42:V42),1))</f>
        <v>#DIV/0!</v>
      </c>
      <c r="S43" s="3493"/>
      <c r="T43" s="3493"/>
      <c r="U43" s="3493"/>
      <c r="V43" s="3493"/>
      <c r="W43" s="349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95" t="s">
        <v>799</v>
      </c>
      <c r="D4" s="3396"/>
      <c r="E4" s="3395" t="s">
        <v>800</v>
      </c>
      <c r="F4" s="3396"/>
      <c r="G4" s="3395" t="s">
        <v>801</v>
      </c>
      <c r="H4" s="3396"/>
      <c r="I4" s="3395" t="s">
        <v>802</v>
      </c>
      <c r="J4" s="3396"/>
      <c r="K4" s="517" t="s">
        <v>803</v>
      </c>
      <c r="L4" s="2138"/>
      <c r="M4" s="2139"/>
      <c r="N4" s="2139"/>
      <c r="O4" s="2139"/>
      <c r="P4" s="3397" t="s">
        <v>804</v>
      </c>
      <c r="Q4" s="3398"/>
      <c r="R4" s="3383" t="s">
        <v>800</v>
      </c>
      <c r="S4" s="3384"/>
      <c r="T4" s="3383" t="s">
        <v>801</v>
      </c>
      <c r="U4" s="3384"/>
      <c r="V4" s="3403" t="s">
        <v>802</v>
      </c>
      <c r="W4" s="3403"/>
      <c r="X4" s="1571"/>
      <c r="Y4" s="3383" t="s">
        <v>804</v>
      </c>
      <c r="Z4" s="3384"/>
      <c r="AA4" s="3378" t="s">
        <v>800</v>
      </c>
      <c r="AB4" s="3379" t="s">
        <v>801</v>
      </c>
      <c r="AC4" s="3378" t="s">
        <v>802</v>
      </c>
    </row>
    <row r="5" spans="1:29" ht="15">
      <c r="A5" s="518"/>
      <c r="B5" s="519"/>
      <c r="C5" s="3408" t="s">
        <v>2932</v>
      </c>
      <c r="D5" s="3407"/>
      <c r="E5" s="3408" t="s">
        <v>2933</v>
      </c>
      <c r="F5" s="3407"/>
      <c r="G5" s="3408" t="s">
        <v>2934</v>
      </c>
      <c r="H5" s="3407"/>
      <c r="I5" s="3408" t="s">
        <v>2935</v>
      </c>
      <c r="J5" s="3407"/>
      <c r="K5" s="517"/>
      <c r="L5" s="2138"/>
      <c r="M5" s="2139"/>
      <c r="N5" s="2139"/>
      <c r="O5" s="2139"/>
      <c r="P5" s="3399"/>
      <c r="Q5" s="3400"/>
      <c r="R5" s="3385"/>
      <c r="S5" s="3386"/>
      <c r="T5" s="3385"/>
      <c r="U5" s="3386"/>
      <c r="V5" s="3403"/>
      <c r="W5" s="3403"/>
      <c r="X5" s="1571"/>
      <c r="Y5" s="3385"/>
      <c r="Z5" s="3386"/>
      <c r="AA5" s="3379"/>
      <c r="AB5" s="3379"/>
      <c r="AC5" s="3379"/>
    </row>
    <row r="6" spans="1:29" ht="15.75" thickBot="1">
      <c r="A6" s="520"/>
      <c r="B6" s="521"/>
      <c r="C6" s="3404" t="s">
        <v>2936</v>
      </c>
      <c r="D6" s="3405"/>
      <c r="E6" s="3409" t="s">
        <v>2936</v>
      </c>
      <c r="F6" s="3410"/>
      <c r="G6" s="3404" t="s">
        <v>2936</v>
      </c>
      <c r="H6" s="3405"/>
      <c r="I6" s="3404" t="s">
        <v>2936</v>
      </c>
      <c r="J6" s="3405"/>
      <c r="K6" s="517" t="s">
        <v>529</v>
      </c>
      <c r="L6" s="2138"/>
      <c r="M6" s="2139"/>
      <c r="N6" s="2139"/>
      <c r="O6" s="2139"/>
      <c r="P6" s="3401"/>
      <c r="Q6" s="3402"/>
      <c r="R6" s="3385"/>
      <c r="S6" s="3386"/>
      <c r="T6" s="3387"/>
      <c r="U6" s="3388"/>
      <c r="V6" s="3403"/>
      <c r="W6" s="3403"/>
      <c r="X6" s="1571"/>
      <c r="Y6" s="3387"/>
      <c r="Z6" s="3388"/>
      <c r="AA6" s="3380"/>
      <c r="AB6" s="3380"/>
      <c r="AC6" s="3380"/>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81" t="s">
        <v>531</v>
      </c>
      <c r="Q7" s="3390"/>
      <c r="R7" s="1572" t="s">
        <v>8</v>
      </c>
      <c r="S7" s="1573">
        <f t="shared" ref="S7:S14" si="0">F7</f>
        <v>0</v>
      </c>
      <c r="T7" s="1572" t="s">
        <v>8</v>
      </c>
      <c r="U7" s="1573">
        <f t="shared" ref="U7:U14" si="1">H7</f>
        <v>0</v>
      </c>
      <c r="V7" s="1572" t="s">
        <v>8</v>
      </c>
      <c r="W7" s="1573">
        <f t="shared" ref="W7:W14" si="2">J7</f>
        <v>0</v>
      </c>
      <c r="X7" s="1574"/>
      <c r="Y7" s="3381" t="s">
        <v>531</v>
      </c>
      <c r="Z7" s="3382"/>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81" t="s">
        <v>534</v>
      </c>
      <c r="Q8" s="3382"/>
      <c r="R8" s="1572" t="s">
        <v>8</v>
      </c>
      <c r="S8" s="1573">
        <f t="shared" si="0"/>
        <v>0</v>
      </c>
      <c r="T8" s="1572" t="s">
        <v>8</v>
      </c>
      <c r="U8" s="1573">
        <f t="shared" si="1"/>
        <v>0</v>
      </c>
      <c r="V8" s="1572" t="s">
        <v>8</v>
      </c>
      <c r="W8" s="1573">
        <f t="shared" si="2"/>
        <v>0</v>
      </c>
      <c r="X8" s="1574"/>
      <c r="Y8" s="3381" t="s">
        <v>534</v>
      </c>
      <c r="Z8" s="3382"/>
      <c r="AA8" s="1575" t="e">
        <f t="shared" ref="AA8:AA36" si="3">D8/F8</f>
        <v>#DIV/0!</v>
      </c>
      <c r="AB8" s="1575" t="e">
        <f t="shared" ref="AB8:AB36" si="4">D8/H8</f>
        <v>#DIV/0!</v>
      </c>
      <c r="AC8" s="1575" t="e">
        <f t="shared" ref="AC8:AC36" si="5">D8/J8</f>
        <v>#DIV/0!</v>
      </c>
    </row>
    <row r="9" spans="1:29" s="1223" customFormat="1" ht="15">
      <c r="A9" s="2945"/>
      <c r="B9" s="2952" t="s">
        <v>2762</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89" t="s">
        <v>536</v>
      </c>
      <c r="Q9" s="1154" t="str">
        <f t="shared" ref="Q9:Q14" si="6">B9</f>
        <v>用途</v>
      </c>
      <c r="R9" s="1572" t="s">
        <v>8</v>
      </c>
      <c r="S9" s="1573">
        <f t="shared" si="0"/>
        <v>100</v>
      </c>
      <c r="T9" s="1572" t="s">
        <v>8</v>
      </c>
      <c r="U9" s="1573">
        <f t="shared" si="1"/>
        <v>100</v>
      </c>
      <c r="V9" s="1572" t="s">
        <v>8</v>
      </c>
      <c r="W9" s="1573">
        <f t="shared" si="2"/>
        <v>100</v>
      </c>
      <c r="X9" s="1574"/>
      <c r="Y9" s="3346"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89"/>
      <c r="Q11" s="1154">
        <f t="shared" si="6"/>
        <v>111</v>
      </c>
      <c r="R11" s="1572" t="s">
        <v>8</v>
      </c>
      <c r="S11" s="1573">
        <f t="shared" si="0"/>
        <v>100</v>
      </c>
      <c r="T11" s="1572" t="s">
        <v>8</v>
      </c>
      <c r="U11" s="1573">
        <f t="shared" si="1"/>
        <v>100</v>
      </c>
      <c r="V11" s="1572" t="s">
        <v>8</v>
      </c>
      <c r="W11" s="1573">
        <f t="shared" si="2"/>
        <v>100</v>
      </c>
      <c r="X11" s="1574"/>
      <c r="Y11" s="334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89"/>
      <c r="Q12" s="1154">
        <f t="shared" si="6"/>
        <v>111</v>
      </c>
      <c r="R12" s="1572" t="s">
        <v>8</v>
      </c>
      <c r="S12" s="1573">
        <f t="shared" si="0"/>
        <v>100</v>
      </c>
      <c r="T12" s="1572" t="s">
        <v>8</v>
      </c>
      <c r="U12" s="1573">
        <f t="shared" si="1"/>
        <v>100</v>
      </c>
      <c r="V12" s="1572" t="s">
        <v>8</v>
      </c>
      <c r="W12" s="1573">
        <f t="shared" si="2"/>
        <v>100</v>
      </c>
      <c r="X12" s="1574"/>
      <c r="Y12" s="334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89"/>
      <c r="Q13" s="1154">
        <f t="shared" si="6"/>
        <v>111</v>
      </c>
      <c r="R13" s="1572" t="s">
        <v>8</v>
      </c>
      <c r="S13" s="1573">
        <f t="shared" si="0"/>
        <v>100</v>
      </c>
      <c r="T13" s="1572" t="s">
        <v>8</v>
      </c>
      <c r="U13" s="1573">
        <f t="shared" si="1"/>
        <v>100</v>
      </c>
      <c r="V13" s="1572" t="s">
        <v>8</v>
      </c>
      <c r="W13" s="1573">
        <f t="shared" si="2"/>
        <v>100</v>
      </c>
      <c r="X13" s="1574"/>
      <c r="Y13" s="3346"/>
      <c r="Z13" s="1153">
        <f t="shared" si="7"/>
        <v>111</v>
      </c>
      <c r="AA13" s="1575">
        <f t="shared" si="3"/>
        <v>1</v>
      </c>
      <c r="AB13" s="1575">
        <f t="shared" si="4"/>
        <v>1</v>
      </c>
      <c r="AC13" s="1575">
        <f t="shared" si="5"/>
        <v>1</v>
      </c>
    </row>
    <row r="14" spans="1:29" ht="114">
      <c r="A14" s="2941" t="s">
        <v>2760</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91" t="s">
        <v>541</v>
      </c>
      <c r="Q14" s="1576" t="str">
        <f t="shared" si="6"/>
        <v>交通便捷度</v>
      </c>
      <c r="R14" s="1577" t="s">
        <v>8</v>
      </c>
      <c r="S14" s="1578">
        <f t="shared" si="0"/>
        <v>100</v>
      </c>
      <c r="T14" s="1577" t="s">
        <v>8</v>
      </c>
      <c r="U14" s="1578">
        <f t="shared" si="1"/>
        <v>100</v>
      </c>
      <c r="V14" s="1577" t="s">
        <v>8</v>
      </c>
      <c r="W14" s="1578">
        <f t="shared" si="2"/>
        <v>100</v>
      </c>
      <c r="X14" s="1571"/>
      <c r="Y14" s="3391"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92"/>
      <c r="Q15" s="1576"/>
      <c r="R15" s="1577"/>
      <c r="S15" s="1578"/>
      <c r="T15" s="1577"/>
      <c r="U15" s="1578"/>
      <c r="V15" s="1577"/>
      <c r="W15" s="1578"/>
      <c r="X15" s="1571"/>
      <c r="Y15" s="3392"/>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92"/>
      <c r="Q16" s="1576" t="str">
        <f>B16</f>
        <v>公共配套设施</v>
      </c>
      <c r="R16" s="1577" t="s">
        <v>8</v>
      </c>
      <c r="S16" s="1578">
        <f>F16</f>
        <v>100</v>
      </c>
      <c r="T16" s="1577" t="s">
        <v>8</v>
      </c>
      <c r="U16" s="1578">
        <f>H16</f>
        <v>100</v>
      </c>
      <c r="V16" s="1577" t="s">
        <v>8</v>
      </c>
      <c r="W16" s="1578">
        <f>J16</f>
        <v>100</v>
      </c>
      <c r="X16" s="1571"/>
      <c r="Y16" s="3392"/>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92"/>
      <c r="Q17" s="1576"/>
      <c r="R17" s="1577"/>
      <c r="S17" s="1578"/>
      <c r="T17" s="1577"/>
      <c r="U17" s="1578"/>
      <c r="V17" s="1577"/>
      <c r="W17" s="1578"/>
      <c r="X17" s="1571"/>
      <c r="Y17" s="3392"/>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92"/>
      <c r="Q18" s="2608" t="str">
        <f>B18</f>
        <v>基础设施水平</v>
      </c>
      <c r="R18" s="1577" t="s">
        <v>8</v>
      </c>
      <c r="S18" s="1578">
        <f>F18</f>
        <v>100</v>
      </c>
      <c r="T18" s="1577" t="s">
        <v>8</v>
      </c>
      <c r="U18" s="1578">
        <f>H18</f>
        <v>100</v>
      </c>
      <c r="V18" s="1577" t="s">
        <v>8</v>
      </c>
      <c r="W18" s="1578">
        <f>J18</f>
        <v>100</v>
      </c>
      <c r="X18" s="2610"/>
      <c r="Y18" s="3392"/>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92"/>
      <c r="Q19" s="2608"/>
      <c r="R19" s="1577"/>
      <c r="S19" s="1578"/>
      <c r="T19" s="1577"/>
      <c r="U19" s="1578"/>
      <c r="V19" s="1577"/>
      <c r="W19" s="1578"/>
      <c r="X19" s="2610"/>
      <c r="Y19" s="3392"/>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92"/>
      <c r="Q20" s="1576" t="str">
        <f>B20</f>
        <v>自然及人文环境</v>
      </c>
      <c r="R20" s="1577" t="s">
        <v>8</v>
      </c>
      <c r="S20" s="1578">
        <f>F20</f>
        <v>100</v>
      </c>
      <c r="T20" s="1577" t="s">
        <v>8</v>
      </c>
      <c r="U20" s="1578">
        <f>H20</f>
        <v>100</v>
      </c>
      <c r="V20" s="1577" t="s">
        <v>8</v>
      </c>
      <c r="W20" s="1578">
        <f>J20</f>
        <v>100</v>
      </c>
      <c r="X20" s="1571"/>
      <c r="Y20" s="3392"/>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92"/>
      <c r="Q21" s="1576"/>
      <c r="R21" s="1577"/>
      <c r="S21" s="1578"/>
      <c r="T21" s="1577"/>
      <c r="U21" s="1578"/>
      <c r="V21" s="1577"/>
      <c r="W21" s="1578"/>
      <c r="X21" s="1571"/>
      <c r="Y21" s="3392"/>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92"/>
      <c r="Q22" s="1576" t="str">
        <f>B22</f>
        <v>楼层</v>
      </c>
      <c r="R22" s="1577" t="s">
        <v>8</v>
      </c>
      <c r="S22" s="1578">
        <f>F22</f>
        <v>100</v>
      </c>
      <c r="T22" s="1577" t="s">
        <v>8</v>
      </c>
      <c r="U22" s="1578">
        <f>H22</f>
        <v>100</v>
      </c>
      <c r="V22" s="1577" t="s">
        <v>8</v>
      </c>
      <c r="W22" s="1578">
        <f>J22</f>
        <v>100</v>
      </c>
      <c r="X22" s="1571"/>
      <c r="Y22" s="3392"/>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92"/>
      <c r="Q23" s="1576">
        <f>B23</f>
        <v>111</v>
      </c>
      <c r="R23" s="1577" t="s">
        <v>8</v>
      </c>
      <c r="S23" s="1578">
        <f>F23</f>
        <v>100</v>
      </c>
      <c r="T23" s="1577" t="s">
        <v>8</v>
      </c>
      <c r="U23" s="1578">
        <f>H23</f>
        <v>100</v>
      </c>
      <c r="V23" s="1577" t="s">
        <v>8</v>
      </c>
      <c r="W23" s="1578">
        <f>J23</f>
        <v>100</v>
      </c>
      <c r="X23" s="1571"/>
      <c r="Y23" s="3392"/>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92"/>
      <c r="Q24" s="1576">
        <f t="shared" ref="Q24:Q36" si="11">B24</f>
        <v>111</v>
      </c>
      <c r="R24" s="1577" t="s">
        <v>8</v>
      </c>
      <c r="S24" s="1578">
        <f>F24</f>
        <v>100</v>
      </c>
      <c r="T24" s="1577" t="s">
        <v>8</v>
      </c>
      <c r="U24" s="1578">
        <f>H24</f>
        <v>100</v>
      </c>
      <c r="V24" s="1577" t="s">
        <v>8</v>
      </c>
      <c r="W24" s="1578">
        <f>J24</f>
        <v>100</v>
      </c>
      <c r="X24" s="1571"/>
      <c r="Y24" s="3392"/>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92"/>
      <c r="Q25" s="1154">
        <f t="shared" si="11"/>
        <v>111</v>
      </c>
      <c r="R25" s="1572" t="s">
        <v>8</v>
      </c>
      <c r="S25" s="1573">
        <f>F25</f>
        <v>100</v>
      </c>
      <c r="T25" s="1572" t="s">
        <v>8</v>
      </c>
      <c r="U25" s="1573">
        <f>H25</f>
        <v>100</v>
      </c>
      <c r="V25" s="1572" t="s">
        <v>8</v>
      </c>
      <c r="W25" s="1573">
        <f>J25</f>
        <v>100</v>
      </c>
      <c r="X25" s="1574"/>
      <c r="Y25" s="3392"/>
      <c r="Z25" s="1153">
        <f>Q25</f>
        <v>111</v>
      </c>
      <c r="AA25" s="1580">
        <f>D25/F25</f>
        <v>1</v>
      </c>
      <c r="AB25" s="1580">
        <f>D25/H25</f>
        <v>1</v>
      </c>
      <c r="AC25" s="1580">
        <f>D25/J25</f>
        <v>1</v>
      </c>
    </row>
    <row r="26" spans="1:29" ht="15">
      <c r="A26" s="2938" t="s">
        <v>2761</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93"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4"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94"/>
      <c r="Q27" s="1609" t="str">
        <f t="shared" si="11"/>
        <v>项目停车位配比</v>
      </c>
      <c r="R27" s="1581" t="s">
        <v>8</v>
      </c>
      <c r="S27" s="1582">
        <f t="shared" si="12"/>
        <v>100</v>
      </c>
      <c r="T27" s="1581" t="s">
        <v>8</v>
      </c>
      <c r="U27" s="1582">
        <f t="shared" si="13"/>
        <v>100</v>
      </c>
      <c r="V27" s="1581" t="s">
        <v>8</v>
      </c>
      <c r="W27" s="1582">
        <f t="shared" si="14"/>
        <v>100</v>
      </c>
      <c r="X27" s="1583"/>
      <c r="Y27" s="3394"/>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94"/>
      <c r="Q28" s="1576" t="str">
        <f t="shared" si="11"/>
        <v>公共部分装修</v>
      </c>
      <c r="R28" s="1577" t="s">
        <v>8</v>
      </c>
      <c r="S28" s="1578">
        <f t="shared" si="12"/>
        <v>100</v>
      </c>
      <c r="T28" s="1577" t="s">
        <v>8</v>
      </c>
      <c r="U28" s="1578">
        <f t="shared" si="13"/>
        <v>100</v>
      </c>
      <c r="V28" s="1577" t="s">
        <v>8</v>
      </c>
      <c r="W28" s="1578">
        <f t="shared" si="14"/>
        <v>100</v>
      </c>
      <c r="X28" s="1571"/>
      <c r="Y28" s="3394"/>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94"/>
      <c r="Q29" s="1576" t="str">
        <f t="shared" si="11"/>
        <v>成新率</v>
      </c>
      <c r="R29" s="1577" t="s">
        <v>8</v>
      </c>
      <c r="S29" s="1578" t="e">
        <f t="shared" si="12"/>
        <v>#N/A</v>
      </c>
      <c r="T29" s="1577" t="s">
        <v>8</v>
      </c>
      <c r="U29" s="1578" t="e">
        <f t="shared" si="13"/>
        <v>#N/A</v>
      </c>
      <c r="V29" s="1577" t="s">
        <v>8</v>
      </c>
      <c r="W29" s="1578" t="e">
        <f t="shared" si="14"/>
        <v>#N/A</v>
      </c>
      <c r="X29" s="1571"/>
      <c r="Y29" s="3394"/>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94"/>
      <c r="Q30" s="1576" t="str">
        <f t="shared" si="11"/>
        <v>物业等级</v>
      </c>
      <c r="R30" s="1577" t="s">
        <v>8</v>
      </c>
      <c r="S30" s="1578">
        <f t="shared" si="12"/>
        <v>100</v>
      </c>
      <c r="T30" s="1577" t="s">
        <v>8</v>
      </c>
      <c r="U30" s="1578">
        <f t="shared" si="13"/>
        <v>100</v>
      </c>
      <c r="V30" s="1577" t="s">
        <v>8</v>
      </c>
      <c r="W30" s="1578">
        <f t="shared" si="14"/>
        <v>100</v>
      </c>
      <c r="X30" s="1571"/>
      <c r="Y30" s="3394"/>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94"/>
      <c r="Q31" s="1154" t="str">
        <f t="shared" si="11"/>
        <v>停车位面积</v>
      </c>
      <c r="R31" s="1572" t="s">
        <v>8</v>
      </c>
      <c r="S31" s="1573" t="e">
        <f t="shared" si="12"/>
        <v>#N/A</v>
      </c>
      <c r="T31" s="1572" t="s">
        <v>8</v>
      </c>
      <c r="U31" s="1573" t="e">
        <f t="shared" si="13"/>
        <v>#N/A</v>
      </c>
      <c r="V31" s="1572" t="s">
        <v>8</v>
      </c>
      <c r="W31" s="1573" t="e">
        <f t="shared" si="14"/>
        <v>#N/A</v>
      </c>
      <c r="X31" s="1574"/>
      <c r="Y31" s="3394"/>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94" t="s">
        <v>551</v>
      </c>
      <c r="Q32" s="1576" t="str">
        <f t="shared" si="11"/>
        <v>车位类型</v>
      </c>
      <c r="R32" s="1577" t="s">
        <v>8</v>
      </c>
      <c r="S32" s="1578">
        <f t="shared" si="12"/>
        <v>100</v>
      </c>
      <c r="T32" s="1577" t="s">
        <v>8</v>
      </c>
      <c r="U32" s="1578">
        <f t="shared" si="13"/>
        <v>100</v>
      </c>
      <c r="V32" s="1577" t="s">
        <v>8</v>
      </c>
      <c r="W32" s="1578">
        <f t="shared" si="14"/>
        <v>100</v>
      </c>
      <c r="X32" s="1571"/>
      <c r="Y32" s="3394"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94"/>
      <c r="Q33" s="1576" t="str">
        <f t="shared" si="11"/>
        <v>是否直接入户</v>
      </c>
      <c r="R33" s="1577" t="s">
        <v>8</v>
      </c>
      <c r="S33" s="1578">
        <f t="shared" si="12"/>
        <v>100</v>
      </c>
      <c r="T33" s="1577" t="s">
        <v>8</v>
      </c>
      <c r="U33" s="1578">
        <f t="shared" si="13"/>
        <v>100</v>
      </c>
      <c r="V33" s="1577" t="s">
        <v>8</v>
      </c>
      <c r="W33" s="1578">
        <f t="shared" si="14"/>
        <v>100</v>
      </c>
      <c r="X33" s="1571"/>
      <c r="Y33" s="3394"/>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94"/>
      <c r="Q34" s="1576">
        <f t="shared" si="11"/>
        <v>111</v>
      </c>
      <c r="R34" s="1577" t="s">
        <v>8</v>
      </c>
      <c r="S34" s="1578">
        <f t="shared" si="12"/>
        <v>100</v>
      </c>
      <c r="T34" s="1577" t="s">
        <v>8</v>
      </c>
      <c r="U34" s="1578">
        <f t="shared" si="13"/>
        <v>100</v>
      </c>
      <c r="V34" s="1577" t="s">
        <v>8</v>
      </c>
      <c r="W34" s="1578">
        <f t="shared" si="14"/>
        <v>100</v>
      </c>
      <c r="X34" s="1571"/>
      <c r="Y34" s="3394"/>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94"/>
      <c r="Q35" s="1609">
        <f t="shared" si="11"/>
        <v>111</v>
      </c>
      <c r="R35" s="1581" t="s">
        <v>8</v>
      </c>
      <c r="S35" s="1582">
        <f t="shared" si="12"/>
        <v>100</v>
      </c>
      <c r="T35" s="1581" t="s">
        <v>8</v>
      </c>
      <c r="U35" s="1582">
        <f t="shared" si="13"/>
        <v>100</v>
      </c>
      <c r="V35" s="1581" t="s">
        <v>8</v>
      </c>
      <c r="W35" s="1582">
        <f t="shared" si="14"/>
        <v>100</v>
      </c>
      <c r="X35" s="1583"/>
      <c r="Y35" s="3394"/>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94"/>
      <c r="Q36" s="1576">
        <f t="shared" si="11"/>
        <v>111</v>
      </c>
      <c r="R36" s="1577" t="s">
        <v>8</v>
      </c>
      <c r="S36" s="1578">
        <f t="shared" si="12"/>
        <v>100</v>
      </c>
      <c r="T36" s="1577" t="s">
        <v>8</v>
      </c>
      <c r="U36" s="1578">
        <f t="shared" si="13"/>
        <v>100</v>
      </c>
      <c r="V36" s="1577" t="s">
        <v>8</v>
      </c>
      <c r="W36" s="1578">
        <f t="shared" si="14"/>
        <v>100</v>
      </c>
      <c r="X36" s="1571"/>
      <c r="Y36" s="3394"/>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89" t="str">
        <f>A37</f>
        <v>成交单价</v>
      </c>
      <c r="Q37" s="3389"/>
      <c r="R37" s="3494">
        <f>E37</f>
        <v>0</v>
      </c>
      <c r="S37" s="3494"/>
      <c r="T37" s="3494">
        <f>G37</f>
        <v>0</v>
      </c>
      <c r="U37" s="3494"/>
      <c r="V37" s="3494">
        <f>I37</f>
        <v>0</v>
      </c>
      <c r="W37" s="3494"/>
      <c r="X37" s="1563"/>
      <c r="Y37" s="1585"/>
      <c r="Z37" s="1563"/>
      <c r="AA37" s="1563"/>
      <c r="AB37" s="1563"/>
      <c r="AC37" s="1563"/>
    </row>
    <row r="38" spans="1:29" ht="15.75" thickBot="1">
      <c r="A38" s="618" t="s">
        <v>2766</v>
      </c>
      <c r="B38" s="891"/>
      <c r="C38" s="2662" t="e">
        <f>R39</f>
        <v>#DIV/0!</v>
      </c>
      <c r="D38" s="2663"/>
      <c r="E38" s="2664" t="e">
        <f>R38</f>
        <v>#DIV/0!</v>
      </c>
      <c r="F38" s="2664"/>
      <c r="G38" s="2662" t="e">
        <f>T38</f>
        <v>#DIV/0!</v>
      </c>
      <c r="H38" s="2663"/>
      <c r="I38" s="2664" t="e">
        <f>V38</f>
        <v>#DIV/0!</v>
      </c>
      <c r="J38" s="2663"/>
      <c r="K38" s="1616"/>
      <c r="L38" s="2149"/>
      <c r="M38" s="2150"/>
      <c r="N38" s="2150"/>
      <c r="O38" s="2150"/>
      <c r="P38" s="3389" t="str">
        <f>A38</f>
        <v>比较价格（元/平方米）</v>
      </c>
      <c r="Q38" s="3389"/>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63"/>
      <c r="Y38" s="1563"/>
      <c r="Z38" s="1563"/>
      <c r="AA38" s="1563"/>
      <c r="AB38" s="1563"/>
      <c r="AC38" s="1563"/>
    </row>
    <row r="39" spans="1:29" ht="15.75" thickBot="1">
      <c r="A39" s="624" t="s">
        <v>2938</v>
      </c>
      <c r="B39" s="625"/>
      <c r="C39" s="2665" t="e">
        <f>R39</f>
        <v>#DIV/0!</v>
      </c>
      <c r="D39" s="2665"/>
      <c r="E39" s="2665"/>
      <c r="F39" s="2665"/>
      <c r="G39" s="2665"/>
      <c r="H39" s="2665"/>
      <c r="I39" s="2665"/>
      <c r="J39" s="2665"/>
      <c r="K39" s="1617"/>
      <c r="L39" s="2149"/>
      <c r="M39" s="2150"/>
      <c r="N39" s="2150"/>
      <c r="O39" s="2150"/>
      <c r="P39" s="3411" t="str">
        <f>A39</f>
        <v>估价对象XX用房的比较价格（楼面单价，元/平方米）</v>
      </c>
      <c r="Q39" s="3412"/>
      <c r="R39" s="3493" t="e">
        <f>IF(F1="售价",ROUND(AVERAGE(R38:V38),0),ROUND(AVERAGE(R38:V38),1))</f>
        <v>#DIV/0!</v>
      </c>
      <c r="S39" s="3493"/>
      <c r="T39" s="3493"/>
      <c r="U39" s="3493"/>
      <c r="V39" s="3493"/>
      <c r="W39" s="349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93.75">
      <c r="A7" s="2904"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2755</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95" t="s">
        <v>799</v>
      </c>
      <c r="D4" s="3396"/>
      <c r="E4" s="3420" t="s">
        <v>800</v>
      </c>
      <c r="F4" s="3421"/>
      <c r="G4" s="3395" t="s">
        <v>801</v>
      </c>
      <c r="H4" s="3396"/>
      <c r="I4" s="3395" t="s">
        <v>802</v>
      </c>
      <c r="J4" s="3396"/>
      <c r="K4" s="517" t="s">
        <v>803</v>
      </c>
      <c r="L4" s="2138"/>
      <c r="M4" s="2139"/>
      <c r="N4" s="2139"/>
      <c r="O4" s="2139"/>
      <c r="P4" s="3397" t="s">
        <v>804</v>
      </c>
      <c r="Q4" s="3398"/>
      <c r="R4" s="3383" t="s">
        <v>800</v>
      </c>
      <c r="S4" s="3384"/>
      <c r="T4" s="3383" t="s">
        <v>801</v>
      </c>
      <c r="U4" s="3384"/>
      <c r="V4" s="3403" t="s">
        <v>802</v>
      </c>
      <c r="W4" s="3403"/>
      <c r="X4" s="1571"/>
      <c r="Y4" s="3383" t="s">
        <v>804</v>
      </c>
      <c r="Z4" s="3384"/>
      <c r="AA4" s="3378" t="s">
        <v>800</v>
      </c>
      <c r="AB4" s="3379" t="s">
        <v>801</v>
      </c>
      <c r="AC4" s="3378" t="s">
        <v>802</v>
      </c>
    </row>
    <row r="5" spans="1:29" ht="15">
      <c r="A5" s="518"/>
      <c r="B5" s="519"/>
      <c r="C5" s="3408" t="s">
        <v>2932</v>
      </c>
      <c r="D5" s="3407"/>
      <c r="E5" s="3422" t="s">
        <v>2933</v>
      </c>
      <c r="F5" s="3423"/>
      <c r="G5" s="3408" t="s">
        <v>2934</v>
      </c>
      <c r="H5" s="3407"/>
      <c r="I5" s="3408" t="s">
        <v>2935</v>
      </c>
      <c r="J5" s="3407"/>
      <c r="K5" s="517"/>
      <c r="L5" s="2138"/>
      <c r="M5" s="2139"/>
      <c r="N5" s="2139"/>
      <c r="O5" s="2139"/>
      <c r="P5" s="3399"/>
      <c r="Q5" s="3400"/>
      <c r="R5" s="3385"/>
      <c r="S5" s="3386"/>
      <c r="T5" s="3385"/>
      <c r="U5" s="3386"/>
      <c r="V5" s="3403"/>
      <c r="W5" s="3403"/>
      <c r="X5" s="1571"/>
      <c r="Y5" s="3385"/>
      <c r="Z5" s="3386"/>
      <c r="AA5" s="3379"/>
      <c r="AB5" s="3379"/>
      <c r="AC5" s="3379"/>
    </row>
    <row r="6" spans="1:29" ht="15.75" thickBot="1">
      <c r="A6" s="520"/>
      <c r="B6" s="521"/>
      <c r="C6" s="3404" t="s">
        <v>2936</v>
      </c>
      <c r="D6" s="3405"/>
      <c r="E6" s="3424" t="s">
        <v>2936</v>
      </c>
      <c r="F6" s="3425"/>
      <c r="G6" s="3404" t="s">
        <v>2936</v>
      </c>
      <c r="H6" s="3405"/>
      <c r="I6" s="3404" t="s">
        <v>2936</v>
      </c>
      <c r="J6" s="3405"/>
      <c r="K6" s="517" t="s">
        <v>529</v>
      </c>
      <c r="L6" s="2138"/>
      <c r="M6" s="2139"/>
      <c r="N6" s="2139"/>
      <c r="O6" s="2139"/>
      <c r="P6" s="3401"/>
      <c r="Q6" s="3402"/>
      <c r="R6" s="3385"/>
      <c r="S6" s="3386"/>
      <c r="T6" s="3387"/>
      <c r="U6" s="3388"/>
      <c r="V6" s="3403"/>
      <c r="W6" s="3403"/>
      <c r="X6" s="1571"/>
      <c r="Y6" s="3387"/>
      <c r="Z6" s="3388"/>
      <c r="AA6" s="3380"/>
      <c r="AB6" s="3380"/>
      <c r="AC6" s="3380"/>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81" t="s">
        <v>531</v>
      </c>
      <c r="Q7" s="3390"/>
      <c r="R7" s="1572" t="s">
        <v>8</v>
      </c>
      <c r="S7" s="1573">
        <f t="shared" ref="S7:S14" si="0">F7</f>
        <v>0</v>
      </c>
      <c r="T7" s="1572" t="s">
        <v>8</v>
      </c>
      <c r="U7" s="1573">
        <f t="shared" ref="U7:U14" si="1">H7</f>
        <v>0</v>
      </c>
      <c r="V7" s="1572" t="s">
        <v>8</v>
      </c>
      <c r="W7" s="1573">
        <f t="shared" ref="W7:W14" si="2">J7</f>
        <v>0</v>
      </c>
      <c r="X7" s="1574"/>
      <c r="Y7" s="3381" t="s">
        <v>531</v>
      </c>
      <c r="Z7" s="3382"/>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81" t="s">
        <v>534</v>
      </c>
      <c r="Q8" s="3382"/>
      <c r="R8" s="1572" t="s">
        <v>8</v>
      </c>
      <c r="S8" s="1573">
        <f t="shared" si="0"/>
        <v>0</v>
      </c>
      <c r="T8" s="1572" t="s">
        <v>8</v>
      </c>
      <c r="U8" s="1573">
        <f t="shared" si="1"/>
        <v>0</v>
      </c>
      <c r="V8" s="1572" t="s">
        <v>8</v>
      </c>
      <c r="W8" s="1573">
        <f t="shared" si="2"/>
        <v>0</v>
      </c>
      <c r="X8" s="1574"/>
      <c r="Y8" s="3381" t="s">
        <v>534</v>
      </c>
      <c r="Z8" s="3382"/>
      <c r="AA8" s="1575" t="e">
        <f t="shared" ref="AA8:AA34" si="3">D8/F8</f>
        <v>#DIV/0!</v>
      </c>
      <c r="AB8" s="1575" t="e">
        <f t="shared" ref="AB8:AB34" si="4">D8/H8</f>
        <v>#DIV/0!</v>
      </c>
      <c r="AC8" s="1575" t="e">
        <f t="shared" ref="AC8:AC34" si="5">D8/J8</f>
        <v>#DIV/0!</v>
      </c>
    </row>
    <row r="9" spans="1:29" s="1223" customFormat="1" ht="15">
      <c r="A9" s="2945"/>
      <c r="B9" s="2952" t="s">
        <v>2762</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89" t="s">
        <v>536</v>
      </c>
      <c r="Q9" s="1154" t="str">
        <f t="shared" ref="Q9:Q14" si="6">B9</f>
        <v>用途</v>
      </c>
      <c r="R9" s="1572" t="s">
        <v>8</v>
      </c>
      <c r="S9" s="1573">
        <f t="shared" si="0"/>
        <v>100</v>
      </c>
      <c r="T9" s="1572" t="s">
        <v>8</v>
      </c>
      <c r="U9" s="1573">
        <f t="shared" si="1"/>
        <v>100</v>
      </c>
      <c r="V9" s="1572" t="s">
        <v>8</v>
      </c>
      <c r="W9" s="1573">
        <f t="shared" si="2"/>
        <v>100</v>
      </c>
      <c r="X9" s="1574"/>
      <c r="Y9" s="3346"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89"/>
      <c r="Q10" s="1154" t="str">
        <f t="shared" si="6"/>
        <v>土地使用年限（年）</v>
      </c>
      <c r="R10" s="1572" t="s">
        <v>8</v>
      </c>
      <c r="S10" s="1573">
        <f t="shared" si="0"/>
        <v>100</v>
      </c>
      <c r="T10" s="1572" t="s">
        <v>8</v>
      </c>
      <c r="U10" s="1573">
        <f t="shared" si="1"/>
        <v>100</v>
      </c>
      <c r="V10" s="1572" t="s">
        <v>8</v>
      </c>
      <c r="W10" s="1573">
        <f t="shared" si="2"/>
        <v>100</v>
      </c>
      <c r="X10" s="1574"/>
      <c r="Y10" s="334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89"/>
      <c r="Q11" s="1154">
        <f t="shared" si="6"/>
        <v>111</v>
      </c>
      <c r="R11" s="1572" t="s">
        <v>8</v>
      </c>
      <c r="S11" s="1573">
        <f t="shared" si="0"/>
        <v>100</v>
      </c>
      <c r="T11" s="1572" t="s">
        <v>8</v>
      </c>
      <c r="U11" s="1573">
        <f t="shared" si="1"/>
        <v>100</v>
      </c>
      <c r="V11" s="1572" t="s">
        <v>8</v>
      </c>
      <c r="W11" s="1573">
        <f t="shared" si="2"/>
        <v>100</v>
      </c>
      <c r="X11" s="1574"/>
      <c r="Y11" s="334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89"/>
      <c r="Q12" s="1154">
        <f t="shared" si="6"/>
        <v>111</v>
      </c>
      <c r="R12" s="1572" t="s">
        <v>8</v>
      </c>
      <c r="S12" s="1573">
        <f t="shared" si="0"/>
        <v>100</v>
      </c>
      <c r="T12" s="1572" t="s">
        <v>8</v>
      </c>
      <c r="U12" s="1573">
        <f t="shared" si="1"/>
        <v>100</v>
      </c>
      <c r="V12" s="1572" t="s">
        <v>8</v>
      </c>
      <c r="W12" s="1573">
        <f t="shared" si="2"/>
        <v>100</v>
      </c>
      <c r="X12" s="1574"/>
      <c r="Y12" s="334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89"/>
      <c r="Q13" s="1154">
        <f t="shared" si="6"/>
        <v>111</v>
      </c>
      <c r="R13" s="1572" t="s">
        <v>8</v>
      </c>
      <c r="S13" s="1573">
        <f t="shared" si="0"/>
        <v>100</v>
      </c>
      <c r="T13" s="1572" t="s">
        <v>8</v>
      </c>
      <c r="U13" s="1573">
        <f t="shared" si="1"/>
        <v>100</v>
      </c>
      <c r="V13" s="1572" t="s">
        <v>8</v>
      </c>
      <c r="W13" s="1573">
        <f t="shared" si="2"/>
        <v>100</v>
      </c>
      <c r="X13" s="1574"/>
      <c r="Y13" s="3346"/>
      <c r="Z13" s="1153">
        <f t="shared" si="7"/>
        <v>111</v>
      </c>
      <c r="AA13" s="1575">
        <f t="shared" si="3"/>
        <v>1</v>
      </c>
      <c r="AB13" s="1575">
        <f t="shared" si="4"/>
        <v>1</v>
      </c>
      <c r="AC13" s="1575">
        <f t="shared" si="5"/>
        <v>1</v>
      </c>
    </row>
    <row r="14" spans="1:29" ht="114">
      <c r="A14" s="2941" t="s">
        <v>2760</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91" t="s">
        <v>541</v>
      </c>
      <c r="Q14" s="1576" t="str">
        <f t="shared" si="6"/>
        <v>交通便捷度</v>
      </c>
      <c r="R14" s="1577" t="s">
        <v>8</v>
      </c>
      <c r="S14" s="1578">
        <f t="shared" si="0"/>
        <v>100</v>
      </c>
      <c r="T14" s="1577" t="s">
        <v>8</v>
      </c>
      <c r="U14" s="1578">
        <f t="shared" si="1"/>
        <v>100</v>
      </c>
      <c r="V14" s="1577" t="s">
        <v>8</v>
      </c>
      <c r="W14" s="1578">
        <f t="shared" si="2"/>
        <v>100</v>
      </c>
      <c r="X14" s="1571"/>
      <c r="Y14" s="3391"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92"/>
      <c r="Q15" s="1576"/>
      <c r="R15" s="1577"/>
      <c r="S15" s="1578"/>
      <c r="T15" s="1577"/>
      <c r="U15" s="1578"/>
      <c r="V15" s="1577"/>
      <c r="W15" s="1578"/>
      <c r="X15" s="1571"/>
      <c r="Y15" s="3392"/>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92"/>
      <c r="Q16" s="1576" t="str">
        <f>B16</f>
        <v>公共配套设施</v>
      </c>
      <c r="R16" s="1577" t="s">
        <v>8</v>
      </c>
      <c r="S16" s="1578">
        <f>F16</f>
        <v>100</v>
      </c>
      <c r="T16" s="1577" t="s">
        <v>8</v>
      </c>
      <c r="U16" s="1578">
        <f>H16</f>
        <v>100</v>
      </c>
      <c r="V16" s="1577" t="s">
        <v>8</v>
      </c>
      <c r="W16" s="1578">
        <f>J16</f>
        <v>100</v>
      </c>
      <c r="X16" s="1571"/>
      <c r="Y16" s="3392"/>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92"/>
      <c r="Q17" s="1576"/>
      <c r="R17" s="1577"/>
      <c r="S17" s="1578"/>
      <c r="T17" s="1577"/>
      <c r="U17" s="1578"/>
      <c r="V17" s="1577"/>
      <c r="W17" s="1578"/>
      <c r="X17" s="1571"/>
      <c r="Y17" s="3392"/>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92"/>
      <c r="Q18" s="2608" t="str">
        <f>B18</f>
        <v>基础设施水平</v>
      </c>
      <c r="R18" s="1577" t="s">
        <v>8</v>
      </c>
      <c r="S18" s="1578">
        <f>F18</f>
        <v>100</v>
      </c>
      <c r="T18" s="1577" t="s">
        <v>8</v>
      </c>
      <c r="U18" s="1578">
        <f>H18</f>
        <v>100</v>
      </c>
      <c r="V18" s="1577" t="s">
        <v>8</v>
      </c>
      <c r="W18" s="1578">
        <f>J18</f>
        <v>100</v>
      </c>
      <c r="X18" s="2610"/>
      <c r="Y18" s="3392"/>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92"/>
      <c r="Q19" s="2608"/>
      <c r="R19" s="1577"/>
      <c r="S19" s="1578"/>
      <c r="T19" s="1577"/>
      <c r="U19" s="1578"/>
      <c r="V19" s="1577"/>
      <c r="W19" s="1578"/>
      <c r="X19" s="2610"/>
      <c r="Y19" s="3392"/>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92"/>
      <c r="Q20" s="1576" t="str">
        <f>B20</f>
        <v>自然及人文环境</v>
      </c>
      <c r="R20" s="1577" t="s">
        <v>8</v>
      </c>
      <c r="S20" s="1578">
        <f>F20</f>
        <v>100</v>
      </c>
      <c r="T20" s="1577" t="s">
        <v>8</v>
      </c>
      <c r="U20" s="1578">
        <f>H20</f>
        <v>100</v>
      </c>
      <c r="V20" s="1577" t="s">
        <v>8</v>
      </c>
      <c r="W20" s="1578">
        <f>J20</f>
        <v>100</v>
      </c>
      <c r="X20" s="1571"/>
      <c r="Y20" s="3392"/>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92"/>
      <c r="Q21" s="1576"/>
      <c r="R21" s="1577"/>
      <c r="S21" s="1578"/>
      <c r="T21" s="1577"/>
      <c r="U21" s="1578"/>
      <c r="V21" s="1577"/>
      <c r="W21" s="1578"/>
      <c r="X21" s="1571"/>
      <c r="Y21" s="3392"/>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92"/>
      <c r="Q22" s="1576" t="str">
        <f>B22</f>
        <v>楼层</v>
      </c>
      <c r="R22" s="1577" t="s">
        <v>8</v>
      </c>
      <c r="S22" s="1578">
        <f>F22</f>
        <v>100</v>
      </c>
      <c r="T22" s="1577" t="s">
        <v>8</v>
      </c>
      <c r="U22" s="1578">
        <f>H22</f>
        <v>100</v>
      </c>
      <c r="V22" s="1577" t="s">
        <v>8</v>
      </c>
      <c r="W22" s="1578">
        <f>J22</f>
        <v>100</v>
      </c>
      <c r="X22" s="1571"/>
      <c r="Y22" s="3392"/>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92"/>
      <c r="Q23" s="1576">
        <f>B23</f>
        <v>111</v>
      </c>
      <c r="R23" s="1577" t="s">
        <v>8</v>
      </c>
      <c r="S23" s="1578">
        <f>F23</f>
        <v>100</v>
      </c>
      <c r="T23" s="1577" t="s">
        <v>8</v>
      </c>
      <c r="U23" s="1578">
        <f>H23</f>
        <v>100</v>
      </c>
      <c r="V23" s="1577" t="s">
        <v>8</v>
      </c>
      <c r="W23" s="1578">
        <f>J23</f>
        <v>100</v>
      </c>
      <c r="X23" s="1571"/>
      <c r="Y23" s="3392"/>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92"/>
      <c r="Q24" s="1576">
        <f t="shared" ref="Q24:Q34" si="11">B24</f>
        <v>111</v>
      </c>
      <c r="R24" s="1577" t="s">
        <v>8</v>
      </c>
      <c r="S24" s="1578">
        <f>F24</f>
        <v>100</v>
      </c>
      <c r="T24" s="1577" t="s">
        <v>8</v>
      </c>
      <c r="U24" s="1578">
        <f>H24</f>
        <v>100</v>
      </c>
      <c r="V24" s="1577" t="s">
        <v>8</v>
      </c>
      <c r="W24" s="1578">
        <f>J24</f>
        <v>100</v>
      </c>
      <c r="X24" s="1571"/>
      <c r="Y24" s="3392"/>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92"/>
      <c r="Q25" s="1154">
        <f t="shared" si="11"/>
        <v>111</v>
      </c>
      <c r="R25" s="1572" t="s">
        <v>8</v>
      </c>
      <c r="S25" s="1573">
        <f>F25</f>
        <v>100</v>
      </c>
      <c r="T25" s="1572" t="s">
        <v>8</v>
      </c>
      <c r="U25" s="1573">
        <f>H25</f>
        <v>100</v>
      </c>
      <c r="V25" s="1572" t="s">
        <v>8</v>
      </c>
      <c r="W25" s="1573">
        <f>J25</f>
        <v>100</v>
      </c>
      <c r="X25" s="1574"/>
      <c r="Y25" s="3392"/>
      <c r="Z25" s="1153">
        <f>Q25</f>
        <v>111</v>
      </c>
      <c r="AA25" s="1580">
        <f>D25/F25</f>
        <v>1</v>
      </c>
      <c r="AB25" s="1580">
        <f>D25/H25</f>
        <v>1</v>
      </c>
      <c r="AC25" s="1580">
        <f>D25/J25</f>
        <v>1</v>
      </c>
    </row>
    <row r="26" spans="1:29" ht="15">
      <c r="A26" s="2938" t="s">
        <v>2761</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93"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4"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94"/>
      <c r="Q27" s="1609" t="str">
        <f t="shared" si="11"/>
        <v>成新率</v>
      </c>
      <c r="R27" s="1581" t="s">
        <v>8</v>
      </c>
      <c r="S27" s="1582" t="e">
        <f t="shared" si="12"/>
        <v>#N/A</v>
      </c>
      <c r="T27" s="1581" t="s">
        <v>8</v>
      </c>
      <c r="U27" s="1582" t="e">
        <f t="shared" si="13"/>
        <v>#N/A</v>
      </c>
      <c r="V27" s="1581" t="s">
        <v>8</v>
      </c>
      <c r="W27" s="1582" t="e">
        <f t="shared" si="14"/>
        <v>#N/A</v>
      </c>
      <c r="X27" s="1583"/>
      <c r="Y27" s="3394"/>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94"/>
      <c r="Q28" s="1576" t="str">
        <f t="shared" si="11"/>
        <v>物业等级</v>
      </c>
      <c r="R28" s="1577" t="s">
        <v>8</v>
      </c>
      <c r="S28" s="1578">
        <f t="shared" si="12"/>
        <v>100</v>
      </c>
      <c r="T28" s="1577" t="s">
        <v>8</v>
      </c>
      <c r="U28" s="1578">
        <f t="shared" si="13"/>
        <v>100</v>
      </c>
      <c r="V28" s="1577" t="s">
        <v>8</v>
      </c>
      <c r="W28" s="1578">
        <f t="shared" si="14"/>
        <v>100</v>
      </c>
      <c r="X28" s="1571"/>
      <c r="Y28" s="3394"/>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94"/>
      <c r="Q29" s="1576" t="str">
        <f t="shared" si="11"/>
        <v>有无电梯</v>
      </c>
      <c r="R29" s="1577" t="s">
        <v>8</v>
      </c>
      <c r="S29" s="1578">
        <f t="shared" si="12"/>
        <v>100</v>
      </c>
      <c r="T29" s="1577" t="s">
        <v>8</v>
      </c>
      <c r="U29" s="1578">
        <f t="shared" si="13"/>
        <v>100</v>
      </c>
      <c r="V29" s="1577" t="s">
        <v>8</v>
      </c>
      <c r="W29" s="1578">
        <f t="shared" si="14"/>
        <v>100</v>
      </c>
      <c r="X29" s="1571"/>
      <c r="Y29" s="3394"/>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94"/>
      <c r="Q30" s="1576" t="str">
        <f t="shared" si="11"/>
        <v>建筑面积</v>
      </c>
      <c r="R30" s="1577" t="s">
        <v>8</v>
      </c>
      <c r="S30" s="1578" t="e">
        <f t="shared" si="12"/>
        <v>#N/A</v>
      </c>
      <c r="T30" s="1577" t="s">
        <v>8</v>
      </c>
      <c r="U30" s="1578" t="e">
        <f t="shared" si="13"/>
        <v>#N/A</v>
      </c>
      <c r="V30" s="1577" t="s">
        <v>8</v>
      </c>
      <c r="W30" s="1578" t="e">
        <f t="shared" si="14"/>
        <v>#N/A</v>
      </c>
      <c r="X30" s="1571"/>
      <c r="Y30" s="3394"/>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94"/>
      <c r="Q31" s="1154" t="str">
        <f t="shared" si="11"/>
        <v>是否封闭</v>
      </c>
      <c r="R31" s="1572" t="s">
        <v>8</v>
      </c>
      <c r="S31" s="1573">
        <f t="shared" si="12"/>
        <v>100</v>
      </c>
      <c r="T31" s="1572" t="s">
        <v>8</v>
      </c>
      <c r="U31" s="1573">
        <f t="shared" si="13"/>
        <v>100</v>
      </c>
      <c r="V31" s="1572" t="s">
        <v>8</v>
      </c>
      <c r="W31" s="1573">
        <f t="shared" si="14"/>
        <v>100</v>
      </c>
      <c r="X31" s="1574"/>
      <c r="Y31" s="3394"/>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94" t="s">
        <v>551</v>
      </c>
      <c r="Q32" s="1576">
        <f t="shared" si="11"/>
        <v>111</v>
      </c>
      <c r="R32" s="1577" t="s">
        <v>8</v>
      </c>
      <c r="S32" s="1578">
        <f t="shared" si="12"/>
        <v>100</v>
      </c>
      <c r="T32" s="1577" t="s">
        <v>8</v>
      </c>
      <c r="U32" s="1578">
        <f t="shared" si="13"/>
        <v>100</v>
      </c>
      <c r="V32" s="1577" t="s">
        <v>8</v>
      </c>
      <c r="W32" s="1578">
        <f t="shared" si="14"/>
        <v>100</v>
      </c>
      <c r="X32" s="1571"/>
      <c r="Y32" s="3394"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94"/>
      <c r="Q33" s="1576">
        <f t="shared" si="11"/>
        <v>111</v>
      </c>
      <c r="R33" s="1577" t="s">
        <v>8</v>
      </c>
      <c r="S33" s="1578">
        <f t="shared" si="12"/>
        <v>100</v>
      </c>
      <c r="T33" s="1577" t="s">
        <v>8</v>
      </c>
      <c r="U33" s="1578">
        <f t="shared" si="13"/>
        <v>100</v>
      </c>
      <c r="V33" s="1577" t="s">
        <v>8</v>
      </c>
      <c r="W33" s="1578">
        <f t="shared" si="14"/>
        <v>100</v>
      </c>
      <c r="X33" s="1571"/>
      <c r="Y33" s="3394"/>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94"/>
      <c r="Q34" s="1576">
        <f t="shared" si="11"/>
        <v>111</v>
      </c>
      <c r="R34" s="1577" t="s">
        <v>8</v>
      </c>
      <c r="S34" s="1578">
        <f t="shared" si="12"/>
        <v>100</v>
      </c>
      <c r="T34" s="1577" t="s">
        <v>8</v>
      </c>
      <c r="U34" s="1578">
        <f t="shared" si="13"/>
        <v>100</v>
      </c>
      <c r="V34" s="1577" t="s">
        <v>8</v>
      </c>
      <c r="W34" s="1578">
        <f t="shared" si="14"/>
        <v>100</v>
      </c>
      <c r="X34" s="1571"/>
      <c r="Y34" s="3394"/>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89" t="str">
        <f>A35</f>
        <v>成交单价（元/平方米）</v>
      </c>
      <c r="Q35" s="3389"/>
      <c r="R35" s="3494">
        <f>E35</f>
        <v>0</v>
      </c>
      <c r="S35" s="3494"/>
      <c r="T35" s="3494">
        <f>G35</f>
        <v>0</v>
      </c>
      <c r="U35" s="3494"/>
      <c r="V35" s="3494">
        <f>I35</f>
        <v>0</v>
      </c>
      <c r="W35" s="3494"/>
      <c r="X35" s="1563"/>
      <c r="Y35" s="1585"/>
      <c r="Z35" s="1563"/>
      <c r="AA35" s="1563"/>
      <c r="AB35" s="1563"/>
      <c r="AC35" s="1563"/>
    </row>
    <row r="36" spans="1:29" ht="15.75" thickBot="1">
      <c r="A36" s="618" t="s">
        <v>2766</v>
      </c>
      <c r="B36" s="891"/>
      <c r="C36" s="2662" t="e">
        <f>R37</f>
        <v>#DIV/0!</v>
      </c>
      <c r="D36" s="2663"/>
      <c r="E36" s="2664" t="e">
        <f>R36</f>
        <v>#DIV/0!</v>
      </c>
      <c r="F36" s="2664"/>
      <c r="G36" s="2662" t="e">
        <f>T36</f>
        <v>#DIV/0!</v>
      </c>
      <c r="H36" s="2663"/>
      <c r="I36" s="2664" t="e">
        <f>V36</f>
        <v>#DIV/0!</v>
      </c>
      <c r="J36" s="2663"/>
      <c r="K36" s="1616"/>
      <c r="L36" s="2149"/>
      <c r="M36" s="2150"/>
      <c r="N36" s="2139"/>
      <c r="O36" s="2150"/>
      <c r="P36" s="3389" t="str">
        <f>A36</f>
        <v>比较价格（元/平方米）</v>
      </c>
      <c r="Q36" s="3389"/>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63"/>
      <c r="Y36" s="1563"/>
      <c r="Z36" s="1563"/>
      <c r="AA36" s="1563"/>
      <c r="AB36" s="1563"/>
      <c r="AC36" s="1563"/>
    </row>
    <row r="37" spans="1:29" ht="15.75" thickBot="1">
      <c r="A37" s="624" t="s">
        <v>2938</v>
      </c>
      <c r="B37" s="625"/>
      <c r="C37" s="2665" t="e">
        <f>R37</f>
        <v>#DIV/0!</v>
      </c>
      <c r="D37" s="2665"/>
      <c r="E37" s="2665"/>
      <c r="F37" s="2665"/>
      <c r="G37" s="2665"/>
      <c r="H37" s="2665"/>
      <c r="I37" s="2665"/>
      <c r="J37" s="2665"/>
      <c r="K37" s="1617"/>
      <c r="L37" s="2149"/>
      <c r="M37" s="2150"/>
      <c r="N37" s="2150"/>
      <c r="O37" s="2150"/>
      <c r="P37" s="3411" t="str">
        <f>A37</f>
        <v>估价对象XX用房的比较价格（楼面单价，元/平方米）</v>
      </c>
      <c r="Q37" s="3412"/>
      <c r="R37" s="3493" t="e">
        <f>IF(F1="售价",ROUND(AVERAGE(R36:V36),0),ROUND(AVERAGE(R36:V36),1))</f>
        <v>#DIV/0!</v>
      </c>
      <c r="S37" s="3493"/>
      <c r="T37" s="3493"/>
      <c r="U37" s="3493"/>
      <c r="V37" s="3493"/>
      <c r="W37" s="349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T29" sqref="T29"/>
    </sheetView>
  </sheetViews>
  <sheetFormatPr defaultRowHeight="12.75"/>
  <cols>
    <col min="1" max="1" width="11.5" style="1253" customWidth="1"/>
    <col min="2" max="2" width="9.25" style="1221" customWidth="1"/>
    <col min="3" max="3" width="5" style="1221" customWidth="1"/>
    <col min="4" max="4" width="9" style="1221" customWidth="1"/>
    <col min="5" max="5" width="7.875" style="1221" customWidth="1"/>
    <col min="6" max="6" width="9" style="1221" customWidth="1"/>
    <col min="7" max="7" width="7.375" style="1221" customWidth="1"/>
    <col min="8" max="8" width="9" style="1221" customWidth="1"/>
    <col min="9" max="9" width="7" style="1221" customWidth="1"/>
    <col min="10" max="10" width="9" style="1221" customWidth="1"/>
    <col min="11" max="11" width="7.375" style="1221" customWidth="1"/>
    <col min="12" max="12" width="9" style="1221" customWidth="1"/>
    <col min="13" max="13" width="8.75" style="1221" customWidth="1"/>
    <col min="14" max="14" width="9" style="1221" customWidth="1"/>
    <col min="15" max="15" width="5" style="1221" customWidth="1"/>
    <col min="16" max="16" width="9" style="1221" customWidth="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503" t="s">
        <v>2306</v>
      </c>
      <c r="D1" s="3504"/>
      <c r="E1" s="3504"/>
      <c r="F1" s="3504"/>
      <c r="G1" s="3504"/>
      <c r="H1" s="3504"/>
      <c r="I1" s="3504"/>
      <c r="J1" s="3504"/>
      <c r="K1" s="3504"/>
      <c r="L1" s="3504"/>
      <c r="M1" s="3504"/>
      <c r="N1" s="3504"/>
      <c r="O1" s="3504"/>
      <c r="P1" s="3504"/>
      <c r="Q1" s="3504"/>
      <c r="R1" s="3504"/>
      <c r="S1" s="3505"/>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3059</v>
      </c>
      <c r="C5" s="3180" t="s">
        <v>3060</v>
      </c>
      <c r="D5" s="3181" t="s">
        <v>3062</v>
      </c>
      <c r="E5" s="3181" t="s">
        <v>3063</v>
      </c>
      <c r="F5" s="3181" t="s">
        <v>3064</v>
      </c>
      <c r="G5" s="3181" t="s">
        <v>3065</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2931</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2930</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2929</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2928</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230593</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12555</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500" t="s">
        <v>20</v>
      </c>
      <c r="D22" s="3501"/>
      <c r="E22" s="3501"/>
      <c r="F22" s="3501"/>
      <c r="G22" s="3501"/>
      <c r="H22" s="3501"/>
      <c r="I22" s="3501"/>
      <c r="J22" s="3501"/>
      <c r="K22" s="3501"/>
      <c r="L22" s="3501"/>
      <c r="M22" s="3501"/>
      <c r="N22" s="3501"/>
      <c r="O22" s="3501"/>
      <c r="P22" s="3501"/>
      <c r="Q22" s="3502"/>
      <c r="R22" s="493">
        <f ca="1">ROUND(S22*10000/B22,0)</f>
        <v>12555</v>
      </c>
      <c r="S22" s="53">
        <f ca="1">SUM(S24:S10000)</f>
        <v>230593</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3056</v>
      </c>
      <c r="B24" s="964">
        <f>面积!B3</f>
        <v>7741.69</v>
      </c>
      <c r="C24" s="965">
        <v>1</v>
      </c>
      <c r="D24" s="966" t="s">
        <v>3061</v>
      </c>
      <c r="E24" s="965">
        <v>1</v>
      </c>
      <c r="F24" s="966"/>
      <c r="G24" s="965">
        <v>1</v>
      </c>
      <c r="H24" s="966"/>
      <c r="I24" s="965">
        <v>1</v>
      </c>
      <c r="J24" s="966"/>
      <c r="K24" s="965">
        <v>1</v>
      </c>
      <c r="L24" s="966"/>
      <c r="M24" s="965">
        <v>1</v>
      </c>
      <c r="N24" s="966"/>
      <c r="O24" s="965">
        <v>1</v>
      </c>
      <c r="P24" s="966"/>
      <c r="Q24" s="965">
        <v>1</v>
      </c>
      <c r="R24" s="967">
        <f ca="1">结果表!C34</f>
        <v>11483</v>
      </c>
      <c r="S24" s="965">
        <f t="shared" ref="S24:S54" ca="1" si="11">ROUND(R24*B24/10000,0)</f>
        <v>8890</v>
      </c>
      <c r="T24" s="1978">
        <f ca="1">ROUND(S24/U24*10000,0)</f>
        <v>4977</v>
      </c>
      <c r="U24" s="1978">
        <f>面积!F3</f>
        <v>17860.72</v>
      </c>
      <c r="V24" s="1978"/>
      <c r="W24" s="1978"/>
      <c r="X24" s="1978"/>
      <c r="Y24" s="1978"/>
      <c r="Z24" s="1978"/>
      <c r="AA24" s="1978"/>
      <c r="AB24" s="1978"/>
      <c r="AC24" s="1978"/>
      <c r="AD24" s="1978"/>
      <c r="AE24" s="1978"/>
      <c r="AF24" s="1978"/>
      <c r="AG24" s="1978"/>
      <c r="AH24" s="1978"/>
      <c r="AI24" s="1978"/>
    </row>
    <row r="25" spans="1:45">
      <c r="A25" s="968" t="s">
        <v>3057</v>
      </c>
      <c r="B25" s="137">
        <f>面积!B4</f>
        <v>4469.93</v>
      </c>
      <c r="C25" s="53">
        <f>IF(B25="",1,(LOOKUP(B25,$3:$3,$4:$4)-LOOKUP($B$24,$3:$3,$4:$4)+100)/100)</f>
        <v>1</v>
      </c>
      <c r="D25" s="966" t="s">
        <v>3061</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11483</v>
      </c>
      <c r="S25" s="802">
        <f t="shared" ca="1" si="11"/>
        <v>5133</v>
      </c>
      <c r="T25" s="1978">
        <f t="shared" ref="T25:T26" ca="1" si="12">ROUND(S25/U25*10000,0)</f>
        <v>4977</v>
      </c>
      <c r="U25" s="1978">
        <f>面积!F4</f>
        <v>10312.5</v>
      </c>
    </row>
    <row r="26" spans="1:45">
      <c r="A26" s="968" t="s">
        <v>3058</v>
      </c>
      <c r="B26" s="137">
        <f>面积!B5</f>
        <v>171459.31</v>
      </c>
      <c r="C26" s="53">
        <f t="shared" ref="C26:C89" si="13">IF(B26="",1,(LOOKUP(B26,$3:$3,$4:$4)-LOOKUP($B$24,$3:$3,$4:$4)+100)/100)</f>
        <v>1.1000000000000001</v>
      </c>
      <c r="D26" s="966" t="s">
        <v>3061</v>
      </c>
      <c r="E26" s="53">
        <f t="shared" ref="E26:E89" si="14">(SUMIF($5:$5,D26,$6:$6)-SUMIF($5:$5,$D$24,$6:$6)+100)/100</f>
        <v>1</v>
      </c>
      <c r="F26" s="966"/>
      <c r="G26" s="53">
        <f t="shared" ref="G26:G89" si="15">(SUMIF($7:$7,F26,$8:$8)-SUMIF($7:$7,$F$24,$8:$8)+100)/100</f>
        <v>1</v>
      </c>
      <c r="H26" s="966"/>
      <c r="I26" s="53">
        <f t="shared" ref="I26:I89" si="16">(SUMIF($9:$9,H26,$10:$10)-SUMIF($9:$9,$H$24,$10:$10)+100)/100</f>
        <v>1</v>
      </c>
      <c r="J26" s="966"/>
      <c r="K26" s="53">
        <f t="shared" ref="K26:K89" si="17">(SUMIF($11:$11,J26,$12:$12)-SUMIF($11:$11,$J$24,$12:$12)+100)/100</f>
        <v>1</v>
      </c>
      <c r="L26" s="966"/>
      <c r="M26" s="53">
        <f t="shared" ref="M26:M89" si="18">(SUMIF($13:$13,L26,$14:$14)-SUMIF($13:$13,$L$24,$14:$14)+100)/100</f>
        <v>1</v>
      </c>
      <c r="N26" s="966"/>
      <c r="O26" s="53">
        <f t="shared" ref="O26:O89" si="19">(SUMIF($15:$15,N26,$16:$16)-SUMIF($15:$15,$N$24,$16:$16)+100)/100</f>
        <v>1</v>
      </c>
      <c r="P26" s="966"/>
      <c r="Q26" s="53">
        <f t="shared" ref="Q26:Q89" si="20">(SUMIF($17:$17,P26,$18:$18)-SUMIF($17:$17,$P$24,$18:$18)+100)/100</f>
        <v>1</v>
      </c>
      <c r="R26" s="493">
        <f t="shared" ref="R26:R89" ca="1" si="21">IF(B26="",0,ROUND($R$24*C26*E26*G26*I26*K26*M26*O26*Q26,0))</f>
        <v>12631</v>
      </c>
      <c r="S26" s="802">
        <f t="shared" ca="1" si="11"/>
        <v>216570</v>
      </c>
      <c r="T26" s="1978">
        <f t="shared" ca="1" si="12"/>
        <v>5475</v>
      </c>
      <c r="U26" s="1978">
        <f>面积!F5</f>
        <v>395570.83</v>
      </c>
    </row>
    <row r="27" spans="1:45">
      <c r="A27" s="968"/>
      <c r="B27" s="137"/>
      <c r="C27" s="53">
        <f t="shared" si="13"/>
        <v>1</v>
      </c>
      <c r="D27" s="966"/>
      <c r="E27" s="53">
        <f t="shared" si="14"/>
        <v>0.02</v>
      </c>
      <c r="F27" s="966"/>
      <c r="G27" s="53">
        <f t="shared" si="15"/>
        <v>1</v>
      </c>
      <c r="H27" s="966"/>
      <c r="I27" s="53">
        <f t="shared" si="16"/>
        <v>1</v>
      </c>
      <c r="J27" s="966"/>
      <c r="K27" s="53">
        <f t="shared" si="17"/>
        <v>1</v>
      </c>
      <c r="L27" s="966"/>
      <c r="M27" s="53">
        <f t="shared" si="18"/>
        <v>1</v>
      </c>
      <c r="N27" s="966"/>
      <c r="O27" s="53">
        <f t="shared" si="19"/>
        <v>1</v>
      </c>
      <c r="P27" s="966"/>
      <c r="Q27" s="53">
        <f t="shared" si="20"/>
        <v>1</v>
      </c>
      <c r="R27" s="493">
        <f t="shared" si="21"/>
        <v>0</v>
      </c>
      <c r="S27" s="802">
        <f t="shared" si="11"/>
        <v>0</v>
      </c>
    </row>
    <row r="28" spans="1:45">
      <c r="A28" s="968"/>
      <c r="B28" s="137"/>
      <c r="C28" s="53">
        <f t="shared" si="13"/>
        <v>1</v>
      </c>
      <c r="D28" s="966"/>
      <c r="E28" s="53">
        <f t="shared" si="14"/>
        <v>0.02</v>
      </c>
      <c r="F28" s="966"/>
      <c r="G28" s="53">
        <f t="shared" si="15"/>
        <v>1</v>
      </c>
      <c r="H28" s="966"/>
      <c r="I28" s="53">
        <f t="shared" si="16"/>
        <v>1</v>
      </c>
      <c r="J28" s="966"/>
      <c r="K28" s="53">
        <f t="shared" si="17"/>
        <v>1</v>
      </c>
      <c r="L28" s="966"/>
      <c r="M28" s="53">
        <f t="shared" si="18"/>
        <v>1</v>
      </c>
      <c r="N28" s="966"/>
      <c r="O28" s="53">
        <f t="shared" si="19"/>
        <v>1</v>
      </c>
      <c r="P28" s="966"/>
      <c r="Q28" s="53">
        <f t="shared" si="20"/>
        <v>1</v>
      </c>
      <c r="R28" s="493">
        <f t="shared" si="21"/>
        <v>0</v>
      </c>
      <c r="S28" s="802">
        <f t="shared" si="11"/>
        <v>0</v>
      </c>
    </row>
    <row r="29" spans="1:45">
      <c r="A29" s="968"/>
      <c r="B29" s="137"/>
      <c r="C29" s="53">
        <f t="shared" si="13"/>
        <v>1</v>
      </c>
      <c r="D29" s="966"/>
      <c r="E29" s="53">
        <f t="shared" si="14"/>
        <v>0.02</v>
      </c>
      <c r="F29" s="966"/>
      <c r="G29" s="53">
        <f t="shared" si="15"/>
        <v>1</v>
      </c>
      <c r="H29" s="966"/>
      <c r="I29" s="53">
        <f t="shared" si="16"/>
        <v>1</v>
      </c>
      <c r="J29" s="966"/>
      <c r="K29" s="53">
        <f t="shared" si="17"/>
        <v>1</v>
      </c>
      <c r="L29" s="966"/>
      <c r="M29" s="53">
        <f t="shared" si="18"/>
        <v>1</v>
      </c>
      <c r="N29" s="966"/>
      <c r="O29" s="53">
        <f t="shared" si="19"/>
        <v>1</v>
      </c>
      <c r="P29" s="966"/>
      <c r="Q29" s="53">
        <f t="shared" si="20"/>
        <v>1</v>
      </c>
      <c r="R29" s="493">
        <f t="shared" si="21"/>
        <v>0</v>
      </c>
      <c r="S29" s="802">
        <f t="shared" si="11"/>
        <v>0</v>
      </c>
    </row>
    <row r="30" spans="1:45">
      <c r="A30" s="968"/>
      <c r="B30" s="137"/>
      <c r="C30" s="53">
        <f t="shared" si="13"/>
        <v>1</v>
      </c>
      <c r="D30" s="966"/>
      <c r="E30" s="53">
        <f t="shared" si="14"/>
        <v>0.02</v>
      </c>
      <c r="F30" s="966"/>
      <c r="G30" s="53">
        <f t="shared" si="15"/>
        <v>1</v>
      </c>
      <c r="H30" s="966"/>
      <c r="I30" s="53">
        <f t="shared" si="16"/>
        <v>1</v>
      </c>
      <c r="J30" s="966"/>
      <c r="K30" s="53">
        <f t="shared" si="17"/>
        <v>1</v>
      </c>
      <c r="L30" s="966"/>
      <c r="M30" s="53">
        <f t="shared" si="18"/>
        <v>1</v>
      </c>
      <c r="N30" s="966"/>
      <c r="O30" s="53">
        <f t="shared" si="19"/>
        <v>1</v>
      </c>
      <c r="P30" s="966"/>
      <c r="Q30" s="53">
        <f t="shared" si="20"/>
        <v>1</v>
      </c>
      <c r="R30" s="493">
        <f t="shared" si="21"/>
        <v>0</v>
      </c>
      <c r="S30" s="802">
        <f t="shared" si="11"/>
        <v>0</v>
      </c>
    </row>
    <row r="31" spans="1:45">
      <c r="A31" s="968"/>
      <c r="B31" s="137"/>
      <c r="C31" s="53">
        <f t="shared" si="13"/>
        <v>1</v>
      </c>
      <c r="D31" s="966"/>
      <c r="E31" s="53">
        <f t="shared" si="14"/>
        <v>0.02</v>
      </c>
      <c r="F31" s="966"/>
      <c r="G31" s="53">
        <f t="shared" si="15"/>
        <v>1</v>
      </c>
      <c r="H31" s="966"/>
      <c r="I31" s="53">
        <f t="shared" si="16"/>
        <v>1</v>
      </c>
      <c r="J31" s="966"/>
      <c r="K31" s="53">
        <f t="shared" si="17"/>
        <v>1</v>
      </c>
      <c r="L31" s="966"/>
      <c r="M31" s="53">
        <f t="shared" si="18"/>
        <v>1</v>
      </c>
      <c r="N31" s="966"/>
      <c r="O31" s="53">
        <f t="shared" si="19"/>
        <v>1</v>
      </c>
      <c r="P31" s="966"/>
      <c r="Q31" s="53">
        <f t="shared" si="20"/>
        <v>1</v>
      </c>
      <c r="R31" s="493">
        <f t="shared" si="21"/>
        <v>0</v>
      </c>
      <c r="S31" s="802">
        <f t="shared" si="11"/>
        <v>0</v>
      </c>
    </row>
    <row r="32" spans="1:45">
      <c r="A32" s="968"/>
      <c r="B32" s="137"/>
      <c r="C32" s="53">
        <f t="shared" si="13"/>
        <v>1</v>
      </c>
      <c r="D32" s="966"/>
      <c r="E32" s="53">
        <f t="shared" si="14"/>
        <v>0.02</v>
      </c>
      <c r="F32" s="966"/>
      <c r="G32" s="53">
        <f t="shared" si="15"/>
        <v>1</v>
      </c>
      <c r="H32" s="966"/>
      <c r="I32" s="53">
        <f t="shared" si="16"/>
        <v>1</v>
      </c>
      <c r="J32" s="966"/>
      <c r="K32" s="53">
        <f t="shared" si="17"/>
        <v>1</v>
      </c>
      <c r="L32" s="966"/>
      <c r="M32" s="53">
        <f t="shared" si="18"/>
        <v>1</v>
      </c>
      <c r="N32" s="966"/>
      <c r="O32" s="53">
        <f t="shared" si="19"/>
        <v>1</v>
      </c>
      <c r="P32" s="966"/>
      <c r="Q32" s="53">
        <f t="shared" si="20"/>
        <v>1</v>
      </c>
      <c r="R32" s="493">
        <f t="shared" si="21"/>
        <v>0</v>
      </c>
      <c r="S32" s="802">
        <f t="shared" si="11"/>
        <v>0</v>
      </c>
    </row>
    <row r="33" spans="1:19">
      <c r="A33" s="968"/>
      <c r="B33" s="137"/>
      <c r="C33" s="53">
        <f t="shared" si="13"/>
        <v>1</v>
      </c>
      <c r="D33" s="966"/>
      <c r="E33" s="53">
        <f t="shared" si="14"/>
        <v>0.02</v>
      </c>
      <c r="F33" s="966"/>
      <c r="G33" s="53">
        <f t="shared" si="15"/>
        <v>1</v>
      </c>
      <c r="H33" s="966"/>
      <c r="I33" s="53">
        <f t="shared" si="16"/>
        <v>1</v>
      </c>
      <c r="J33" s="966"/>
      <c r="K33" s="53">
        <f t="shared" si="17"/>
        <v>1</v>
      </c>
      <c r="L33" s="966"/>
      <c r="M33" s="53">
        <f t="shared" si="18"/>
        <v>1</v>
      </c>
      <c r="N33" s="966"/>
      <c r="O33" s="53">
        <f t="shared" si="19"/>
        <v>1</v>
      </c>
      <c r="P33" s="966"/>
      <c r="Q33" s="53">
        <f t="shared" si="20"/>
        <v>1</v>
      </c>
      <c r="R33" s="493">
        <f t="shared" si="21"/>
        <v>0</v>
      </c>
      <c r="S33" s="802">
        <f t="shared" si="11"/>
        <v>0</v>
      </c>
    </row>
    <row r="34" spans="1:19">
      <c r="A34" s="968"/>
      <c r="B34" s="137"/>
      <c r="C34" s="53">
        <f t="shared" si="13"/>
        <v>1</v>
      </c>
      <c r="D34" s="966"/>
      <c r="E34" s="53">
        <f t="shared" si="14"/>
        <v>0.02</v>
      </c>
      <c r="F34" s="966"/>
      <c r="G34" s="53">
        <f t="shared" si="15"/>
        <v>1</v>
      </c>
      <c r="H34" s="966"/>
      <c r="I34" s="53">
        <f t="shared" si="16"/>
        <v>1</v>
      </c>
      <c r="J34" s="966"/>
      <c r="K34" s="53">
        <f t="shared" si="17"/>
        <v>1</v>
      </c>
      <c r="L34" s="966"/>
      <c r="M34" s="53">
        <f t="shared" si="18"/>
        <v>1</v>
      </c>
      <c r="N34" s="966"/>
      <c r="O34" s="53">
        <f t="shared" si="19"/>
        <v>1</v>
      </c>
      <c r="P34" s="966"/>
      <c r="Q34" s="53">
        <f t="shared" si="20"/>
        <v>1</v>
      </c>
      <c r="R34" s="493">
        <f t="shared" si="21"/>
        <v>0</v>
      </c>
      <c r="S34" s="802">
        <f t="shared" si="11"/>
        <v>0</v>
      </c>
    </row>
    <row r="35" spans="1:19">
      <c r="A35" s="968"/>
      <c r="B35" s="137"/>
      <c r="C35" s="53">
        <f t="shared" si="13"/>
        <v>1</v>
      </c>
      <c r="D35" s="966"/>
      <c r="E35" s="53">
        <f t="shared" si="14"/>
        <v>0.02</v>
      </c>
      <c r="F35" s="966"/>
      <c r="G35" s="53">
        <f t="shared" si="15"/>
        <v>1</v>
      </c>
      <c r="H35" s="966"/>
      <c r="I35" s="53">
        <f t="shared" si="16"/>
        <v>1</v>
      </c>
      <c r="J35" s="966"/>
      <c r="K35" s="53">
        <f t="shared" si="17"/>
        <v>1</v>
      </c>
      <c r="L35" s="966"/>
      <c r="M35" s="53">
        <f t="shared" si="18"/>
        <v>1</v>
      </c>
      <c r="N35" s="966"/>
      <c r="O35" s="53">
        <f t="shared" si="19"/>
        <v>1</v>
      </c>
      <c r="P35" s="966"/>
      <c r="Q35" s="53">
        <f t="shared" si="20"/>
        <v>1</v>
      </c>
      <c r="R35" s="493">
        <f t="shared" si="21"/>
        <v>0</v>
      </c>
      <c r="S35" s="802">
        <f t="shared" si="11"/>
        <v>0</v>
      </c>
    </row>
    <row r="36" spans="1:19">
      <c r="A36" s="968"/>
      <c r="B36" s="137"/>
      <c r="C36" s="53">
        <f t="shared" si="13"/>
        <v>1</v>
      </c>
      <c r="D36" s="966"/>
      <c r="E36" s="53">
        <f t="shared" si="14"/>
        <v>0.02</v>
      </c>
      <c r="F36" s="966"/>
      <c r="G36" s="53">
        <f t="shared" si="15"/>
        <v>1</v>
      </c>
      <c r="H36" s="966"/>
      <c r="I36" s="53">
        <f t="shared" si="16"/>
        <v>1</v>
      </c>
      <c r="J36" s="966"/>
      <c r="K36" s="53">
        <f t="shared" si="17"/>
        <v>1</v>
      </c>
      <c r="L36" s="966"/>
      <c r="M36" s="53">
        <f t="shared" si="18"/>
        <v>1</v>
      </c>
      <c r="N36" s="966"/>
      <c r="O36" s="53">
        <f t="shared" si="19"/>
        <v>1</v>
      </c>
      <c r="P36" s="966"/>
      <c r="Q36" s="53">
        <f t="shared" si="20"/>
        <v>1</v>
      </c>
      <c r="R36" s="493">
        <f t="shared" si="21"/>
        <v>0</v>
      </c>
      <c r="S36" s="802">
        <f t="shared" si="11"/>
        <v>0</v>
      </c>
    </row>
    <row r="37" spans="1:19">
      <c r="A37" s="968"/>
      <c r="B37" s="137"/>
      <c r="C37" s="53">
        <f t="shared" si="13"/>
        <v>1</v>
      </c>
      <c r="D37" s="966"/>
      <c r="E37" s="53">
        <f t="shared" si="14"/>
        <v>0.02</v>
      </c>
      <c r="F37" s="966"/>
      <c r="G37" s="53">
        <f t="shared" si="15"/>
        <v>1</v>
      </c>
      <c r="H37" s="966"/>
      <c r="I37" s="53">
        <f t="shared" si="16"/>
        <v>1</v>
      </c>
      <c r="J37" s="966"/>
      <c r="K37" s="53">
        <f t="shared" si="17"/>
        <v>1</v>
      </c>
      <c r="L37" s="966"/>
      <c r="M37" s="53">
        <f t="shared" si="18"/>
        <v>1</v>
      </c>
      <c r="N37" s="966"/>
      <c r="O37" s="53">
        <f t="shared" si="19"/>
        <v>1</v>
      </c>
      <c r="P37" s="966"/>
      <c r="Q37" s="53">
        <f t="shared" si="20"/>
        <v>1</v>
      </c>
      <c r="R37" s="493">
        <f t="shared" si="21"/>
        <v>0</v>
      </c>
      <c r="S37" s="802">
        <f t="shared" si="11"/>
        <v>0</v>
      </c>
    </row>
    <row r="38" spans="1:19">
      <c r="A38" s="968"/>
      <c r="B38" s="137"/>
      <c r="C38" s="53">
        <f t="shared" si="13"/>
        <v>1</v>
      </c>
      <c r="D38" s="966"/>
      <c r="E38" s="53">
        <f t="shared" si="14"/>
        <v>0.02</v>
      </c>
      <c r="F38" s="966"/>
      <c r="G38" s="53">
        <f t="shared" si="15"/>
        <v>1</v>
      </c>
      <c r="H38" s="966"/>
      <c r="I38" s="53">
        <f t="shared" si="16"/>
        <v>1</v>
      </c>
      <c r="J38" s="966"/>
      <c r="K38" s="53">
        <f t="shared" si="17"/>
        <v>1</v>
      </c>
      <c r="L38" s="966"/>
      <c r="M38" s="53">
        <f t="shared" si="18"/>
        <v>1</v>
      </c>
      <c r="N38" s="966"/>
      <c r="O38" s="53">
        <f t="shared" si="19"/>
        <v>1</v>
      </c>
      <c r="P38" s="966"/>
      <c r="Q38" s="53">
        <f t="shared" si="20"/>
        <v>1</v>
      </c>
      <c r="R38" s="493">
        <f t="shared" si="21"/>
        <v>0</v>
      </c>
      <c r="S38" s="802">
        <f t="shared" si="11"/>
        <v>0</v>
      </c>
    </row>
    <row r="39" spans="1:19">
      <c r="A39" s="968"/>
      <c r="B39" s="137"/>
      <c r="C39" s="53">
        <f t="shared" si="13"/>
        <v>1</v>
      </c>
      <c r="D39" s="966"/>
      <c r="E39" s="53">
        <f t="shared" si="14"/>
        <v>0.02</v>
      </c>
      <c r="F39" s="966"/>
      <c r="G39" s="53">
        <f t="shared" si="15"/>
        <v>1</v>
      </c>
      <c r="H39" s="966"/>
      <c r="I39" s="53">
        <f t="shared" si="16"/>
        <v>1</v>
      </c>
      <c r="J39" s="966"/>
      <c r="K39" s="53">
        <f t="shared" si="17"/>
        <v>1</v>
      </c>
      <c r="L39" s="966"/>
      <c r="M39" s="53">
        <f t="shared" si="18"/>
        <v>1</v>
      </c>
      <c r="N39" s="966"/>
      <c r="O39" s="53">
        <f t="shared" si="19"/>
        <v>1</v>
      </c>
      <c r="P39" s="966"/>
      <c r="Q39" s="53">
        <f t="shared" si="20"/>
        <v>1</v>
      </c>
      <c r="R39" s="493">
        <f t="shared" si="21"/>
        <v>0</v>
      </c>
      <c r="S39" s="802">
        <f t="shared" si="11"/>
        <v>0</v>
      </c>
    </row>
    <row r="40" spans="1:19">
      <c r="A40" s="968"/>
      <c r="B40" s="137"/>
      <c r="C40" s="53">
        <f t="shared" si="13"/>
        <v>1</v>
      </c>
      <c r="D40" s="966"/>
      <c r="E40" s="53">
        <f t="shared" si="14"/>
        <v>0.02</v>
      </c>
      <c r="F40" s="966"/>
      <c r="G40" s="53">
        <f t="shared" si="15"/>
        <v>1</v>
      </c>
      <c r="H40" s="966"/>
      <c r="I40" s="53">
        <f t="shared" si="16"/>
        <v>1</v>
      </c>
      <c r="J40" s="966"/>
      <c r="K40" s="53">
        <f t="shared" si="17"/>
        <v>1</v>
      </c>
      <c r="L40" s="966"/>
      <c r="M40" s="53">
        <f t="shared" si="18"/>
        <v>1</v>
      </c>
      <c r="N40" s="966"/>
      <c r="O40" s="53">
        <f t="shared" si="19"/>
        <v>1</v>
      </c>
      <c r="P40" s="966"/>
      <c r="Q40" s="53">
        <f t="shared" si="20"/>
        <v>1</v>
      </c>
      <c r="R40" s="493">
        <f t="shared" si="21"/>
        <v>0</v>
      </c>
      <c r="S40" s="802">
        <f t="shared" si="11"/>
        <v>0</v>
      </c>
    </row>
    <row r="41" spans="1:19">
      <c r="A41" s="968"/>
      <c r="B41" s="137"/>
      <c r="C41" s="53">
        <f t="shared" si="13"/>
        <v>1</v>
      </c>
      <c r="D41" s="966"/>
      <c r="E41" s="53">
        <f t="shared" si="14"/>
        <v>0.02</v>
      </c>
      <c r="F41" s="966"/>
      <c r="G41" s="53">
        <f t="shared" si="15"/>
        <v>1</v>
      </c>
      <c r="H41" s="966"/>
      <c r="I41" s="53">
        <f t="shared" si="16"/>
        <v>1</v>
      </c>
      <c r="J41" s="966"/>
      <c r="K41" s="53">
        <f t="shared" si="17"/>
        <v>1</v>
      </c>
      <c r="L41" s="966"/>
      <c r="M41" s="53">
        <f t="shared" si="18"/>
        <v>1</v>
      </c>
      <c r="N41" s="966"/>
      <c r="O41" s="53">
        <f t="shared" si="19"/>
        <v>1</v>
      </c>
      <c r="P41" s="966"/>
      <c r="Q41" s="53">
        <f t="shared" si="20"/>
        <v>1</v>
      </c>
      <c r="R41" s="493">
        <f t="shared" si="21"/>
        <v>0</v>
      </c>
      <c r="S41" s="802">
        <f t="shared" si="11"/>
        <v>0</v>
      </c>
    </row>
    <row r="42" spans="1:19">
      <c r="A42" s="968"/>
      <c r="B42" s="137"/>
      <c r="C42" s="53">
        <f t="shared" si="13"/>
        <v>1</v>
      </c>
      <c r="D42" s="966"/>
      <c r="E42" s="53">
        <f t="shared" si="14"/>
        <v>0.02</v>
      </c>
      <c r="F42" s="966"/>
      <c r="G42" s="53">
        <f t="shared" si="15"/>
        <v>1</v>
      </c>
      <c r="H42" s="966"/>
      <c r="I42" s="53">
        <f t="shared" si="16"/>
        <v>1</v>
      </c>
      <c r="J42" s="966"/>
      <c r="K42" s="53">
        <f t="shared" si="17"/>
        <v>1</v>
      </c>
      <c r="L42" s="966"/>
      <c r="M42" s="53">
        <f t="shared" si="18"/>
        <v>1</v>
      </c>
      <c r="N42" s="966"/>
      <c r="O42" s="53">
        <f t="shared" si="19"/>
        <v>1</v>
      </c>
      <c r="P42" s="966"/>
      <c r="Q42" s="53">
        <f t="shared" si="20"/>
        <v>1</v>
      </c>
      <c r="R42" s="493">
        <f t="shared" si="21"/>
        <v>0</v>
      </c>
      <c r="S42" s="802">
        <f t="shared" si="11"/>
        <v>0</v>
      </c>
    </row>
    <row r="43" spans="1:19">
      <c r="A43" s="968"/>
      <c r="B43" s="137"/>
      <c r="C43" s="53">
        <f t="shared" si="13"/>
        <v>1</v>
      </c>
      <c r="D43" s="966"/>
      <c r="E43" s="53">
        <f t="shared" si="14"/>
        <v>0.02</v>
      </c>
      <c r="F43" s="966"/>
      <c r="G43" s="53">
        <f t="shared" si="15"/>
        <v>1</v>
      </c>
      <c r="H43" s="966"/>
      <c r="I43" s="53">
        <f t="shared" si="16"/>
        <v>1</v>
      </c>
      <c r="J43" s="966"/>
      <c r="K43" s="53">
        <f t="shared" si="17"/>
        <v>1</v>
      </c>
      <c r="L43" s="966"/>
      <c r="M43" s="53">
        <f t="shared" si="18"/>
        <v>1</v>
      </c>
      <c r="N43" s="966"/>
      <c r="O43" s="53">
        <f t="shared" si="19"/>
        <v>1</v>
      </c>
      <c r="P43" s="966"/>
      <c r="Q43" s="53">
        <f t="shared" si="20"/>
        <v>1</v>
      </c>
      <c r="R43" s="493">
        <f t="shared" si="21"/>
        <v>0</v>
      </c>
      <c r="S43" s="802">
        <f t="shared" si="11"/>
        <v>0</v>
      </c>
    </row>
    <row r="44" spans="1:19">
      <c r="A44" s="968"/>
      <c r="B44" s="137"/>
      <c r="C44" s="53">
        <f t="shared" si="13"/>
        <v>1</v>
      </c>
      <c r="D44" s="966"/>
      <c r="E44" s="53">
        <f t="shared" si="14"/>
        <v>0.02</v>
      </c>
      <c r="F44" s="966"/>
      <c r="G44" s="53">
        <f t="shared" si="15"/>
        <v>1</v>
      </c>
      <c r="H44" s="966"/>
      <c r="I44" s="53">
        <f t="shared" si="16"/>
        <v>1</v>
      </c>
      <c r="J44" s="966"/>
      <c r="K44" s="53">
        <f t="shared" si="17"/>
        <v>1</v>
      </c>
      <c r="L44" s="966"/>
      <c r="M44" s="53">
        <f t="shared" si="18"/>
        <v>1</v>
      </c>
      <c r="N44" s="966"/>
      <c r="O44" s="53">
        <f t="shared" si="19"/>
        <v>1</v>
      </c>
      <c r="P44" s="966"/>
      <c r="Q44" s="53">
        <f t="shared" si="20"/>
        <v>1</v>
      </c>
      <c r="R44" s="493">
        <f t="shared" si="21"/>
        <v>0</v>
      </c>
      <c r="S44" s="802">
        <f t="shared" si="11"/>
        <v>0</v>
      </c>
    </row>
    <row r="45" spans="1:19">
      <c r="A45" s="968"/>
      <c r="B45" s="137"/>
      <c r="C45" s="53">
        <f t="shared" si="13"/>
        <v>1</v>
      </c>
      <c r="D45" s="966"/>
      <c r="E45" s="53">
        <f t="shared" si="14"/>
        <v>0.02</v>
      </c>
      <c r="F45" s="966"/>
      <c r="G45" s="53">
        <f t="shared" si="15"/>
        <v>1</v>
      </c>
      <c r="H45" s="966"/>
      <c r="I45" s="53">
        <f t="shared" si="16"/>
        <v>1</v>
      </c>
      <c r="J45" s="966"/>
      <c r="K45" s="53">
        <f t="shared" si="17"/>
        <v>1</v>
      </c>
      <c r="L45" s="966"/>
      <c r="M45" s="53">
        <f t="shared" si="18"/>
        <v>1</v>
      </c>
      <c r="N45" s="966"/>
      <c r="O45" s="53">
        <f t="shared" si="19"/>
        <v>1</v>
      </c>
      <c r="P45" s="966"/>
      <c r="Q45" s="53">
        <f t="shared" si="20"/>
        <v>1</v>
      </c>
      <c r="R45" s="493">
        <f t="shared" si="21"/>
        <v>0</v>
      </c>
      <c r="S45" s="802">
        <f t="shared" si="11"/>
        <v>0</v>
      </c>
    </row>
    <row r="46" spans="1:19">
      <c r="A46" s="968"/>
      <c r="B46" s="137"/>
      <c r="C46" s="53">
        <f t="shared" si="13"/>
        <v>1</v>
      </c>
      <c r="D46" s="966"/>
      <c r="E46" s="53">
        <f t="shared" si="14"/>
        <v>0.02</v>
      </c>
      <c r="F46" s="966"/>
      <c r="G46" s="53">
        <f t="shared" si="15"/>
        <v>1</v>
      </c>
      <c r="H46" s="966"/>
      <c r="I46" s="53">
        <f t="shared" si="16"/>
        <v>1</v>
      </c>
      <c r="J46" s="966"/>
      <c r="K46" s="53">
        <f t="shared" si="17"/>
        <v>1</v>
      </c>
      <c r="L46" s="966"/>
      <c r="M46" s="53">
        <f t="shared" si="18"/>
        <v>1</v>
      </c>
      <c r="N46" s="966"/>
      <c r="O46" s="53">
        <f t="shared" si="19"/>
        <v>1</v>
      </c>
      <c r="P46" s="966"/>
      <c r="Q46" s="53">
        <f t="shared" si="20"/>
        <v>1</v>
      </c>
      <c r="R46" s="493">
        <f t="shared" si="21"/>
        <v>0</v>
      </c>
      <c r="S46" s="802">
        <f t="shared" si="11"/>
        <v>0</v>
      </c>
    </row>
    <row r="47" spans="1:19">
      <c r="A47" s="968"/>
      <c r="B47" s="137"/>
      <c r="C47" s="53">
        <f t="shared" si="13"/>
        <v>1</v>
      </c>
      <c r="D47" s="966"/>
      <c r="E47" s="53">
        <f t="shared" si="14"/>
        <v>0.02</v>
      </c>
      <c r="F47" s="966"/>
      <c r="G47" s="53">
        <f t="shared" si="15"/>
        <v>1</v>
      </c>
      <c r="H47" s="966"/>
      <c r="I47" s="53">
        <f t="shared" si="16"/>
        <v>1</v>
      </c>
      <c r="J47" s="966"/>
      <c r="K47" s="53">
        <f t="shared" si="17"/>
        <v>1</v>
      </c>
      <c r="L47" s="966"/>
      <c r="M47" s="53">
        <f t="shared" si="18"/>
        <v>1</v>
      </c>
      <c r="N47" s="966"/>
      <c r="O47" s="53">
        <f t="shared" si="19"/>
        <v>1</v>
      </c>
      <c r="P47" s="966"/>
      <c r="Q47" s="53">
        <f t="shared" si="20"/>
        <v>1</v>
      </c>
      <c r="R47" s="493">
        <f t="shared" si="21"/>
        <v>0</v>
      </c>
      <c r="S47" s="802">
        <f t="shared" si="11"/>
        <v>0</v>
      </c>
    </row>
    <row r="48" spans="1:19">
      <c r="A48" s="968"/>
      <c r="B48" s="137"/>
      <c r="C48" s="53">
        <f t="shared" si="13"/>
        <v>1</v>
      </c>
      <c r="D48" s="966"/>
      <c r="E48" s="53">
        <f t="shared" si="14"/>
        <v>0.02</v>
      </c>
      <c r="F48" s="966"/>
      <c r="G48" s="53">
        <f t="shared" si="15"/>
        <v>1</v>
      </c>
      <c r="H48" s="966"/>
      <c r="I48" s="53">
        <f t="shared" si="16"/>
        <v>1</v>
      </c>
      <c r="J48" s="966"/>
      <c r="K48" s="53">
        <f t="shared" si="17"/>
        <v>1</v>
      </c>
      <c r="L48" s="966"/>
      <c r="M48" s="53">
        <f t="shared" si="18"/>
        <v>1</v>
      </c>
      <c r="N48" s="966"/>
      <c r="O48" s="53">
        <f t="shared" si="19"/>
        <v>1</v>
      </c>
      <c r="P48" s="966"/>
      <c r="Q48" s="53">
        <f t="shared" si="20"/>
        <v>1</v>
      </c>
      <c r="R48" s="493">
        <f t="shared" si="21"/>
        <v>0</v>
      </c>
      <c r="S48" s="802">
        <f t="shared" si="11"/>
        <v>0</v>
      </c>
    </row>
    <row r="49" spans="1:19">
      <c r="A49" s="968"/>
      <c r="B49" s="137"/>
      <c r="C49" s="53">
        <f t="shared" si="13"/>
        <v>1</v>
      </c>
      <c r="D49" s="966"/>
      <c r="E49" s="53">
        <f t="shared" si="14"/>
        <v>0.02</v>
      </c>
      <c r="F49" s="966"/>
      <c r="G49" s="53">
        <f t="shared" si="15"/>
        <v>1</v>
      </c>
      <c r="H49" s="966"/>
      <c r="I49" s="53">
        <f t="shared" si="16"/>
        <v>1</v>
      </c>
      <c r="J49" s="966"/>
      <c r="K49" s="53">
        <f t="shared" si="17"/>
        <v>1</v>
      </c>
      <c r="L49" s="966"/>
      <c r="M49" s="53">
        <f t="shared" si="18"/>
        <v>1</v>
      </c>
      <c r="N49" s="966"/>
      <c r="O49" s="53">
        <f t="shared" si="19"/>
        <v>1</v>
      </c>
      <c r="P49" s="966"/>
      <c r="Q49" s="53">
        <f t="shared" si="20"/>
        <v>1</v>
      </c>
      <c r="R49" s="493">
        <f t="shared" si="21"/>
        <v>0</v>
      </c>
      <c r="S49" s="802">
        <f t="shared" si="11"/>
        <v>0</v>
      </c>
    </row>
    <row r="50" spans="1:19">
      <c r="A50" s="968"/>
      <c r="B50" s="137"/>
      <c r="C50" s="53">
        <f t="shared" si="13"/>
        <v>1</v>
      </c>
      <c r="D50" s="966"/>
      <c r="E50" s="53">
        <f t="shared" si="14"/>
        <v>0.02</v>
      </c>
      <c r="F50" s="966"/>
      <c r="G50" s="53">
        <f t="shared" si="15"/>
        <v>1</v>
      </c>
      <c r="H50" s="966"/>
      <c r="I50" s="53">
        <f t="shared" si="16"/>
        <v>1</v>
      </c>
      <c r="J50" s="966"/>
      <c r="K50" s="53">
        <f t="shared" si="17"/>
        <v>1</v>
      </c>
      <c r="L50" s="966"/>
      <c r="M50" s="53">
        <f t="shared" si="18"/>
        <v>1</v>
      </c>
      <c r="N50" s="966"/>
      <c r="O50" s="53">
        <f t="shared" si="19"/>
        <v>1</v>
      </c>
      <c r="P50" s="966"/>
      <c r="Q50" s="53">
        <f t="shared" si="20"/>
        <v>1</v>
      </c>
      <c r="R50" s="493">
        <f t="shared" si="21"/>
        <v>0</v>
      </c>
      <c r="S50" s="802">
        <f t="shared" si="11"/>
        <v>0</v>
      </c>
    </row>
    <row r="51" spans="1:19">
      <c r="A51" s="968"/>
      <c r="B51" s="137"/>
      <c r="C51" s="53">
        <f t="shared" si="13"/>
        <v>1</v>
      </c>
      <c r="D51" s="966"/>
      <c r="E51" s="53">
        <f t="shared" si="14"/>
        <v>0.02</v>
      </c>
      <c r="F51" s="966"/>
      <c r="G51" s="53">
        <f t="shared" si="15"/>
        <v>1</v>
      </c>
      <c r="H51" s="966"/>
      <c r="I51" s="53">
        <f t="shared" si="16"/>
        <v>1</v>
      </c>
      <c r="J51" s="966"/>
      <c r="K51" s="53">
        <f t="shared" si="17"/>
        <v>1</v>
      </c>
      <c r="L51" s="966"/>
      <c r="M51" s="53">
        <f t="shared" si="18"/>
        <v>1</v>
      </c>
      <c r="N51" s="966"/>
      <c r="O51" s="53">
        <f t="shared" si="19"/>
        <v>1</v>
      </c>
      <c r="P51" s="966"/>
      <c r="Q51" s="53">
        <f t="shared" si="20"/>
        <v>1</v>
      </c>
      <c r="R51" s="493">
        <f t="shared" si="21"/>
        <v>0</v>
      </c>
      <c r="S51" s="802">
        <f t="shared" si="11"/>
        <v>0</v>
      </c>
    </row>
    <row r="52" spans="1:19">
      <c r="A52" s="968"/>
      <c r="B52" s="137"/>
      <c r="C52" s="53">
        <f t="shared" si="13"/>
        <v>1</v>
      </c>
      <c r="D52" s="966"/>
      <c r="E52" s="53">
        <f t="shared" si="14"/>
        <v>0.02</v>
      </c>
      <c r="F52" s="966"/>
      <c r="G52" s="53">
        <f t="shared" si="15"/>
        <v>1</v>
      </c>
      <c r="H52" s="966"/>
      <c r="I52" s="53">
        <f t="shared" si="16"/>
        <v>1</v>
      </c>
      <c r="J52" s="966"/>
      <c r="K52" s="53">
        <f t="shared" si="17"/>
        <v>1</v>
      </c>
      <c r="L52" s="966"/>
      <c r="M52" s="53">
        <f t="shared" si="18"/>
        <v>1</v>
      </c>
      <c r="N52" s="966"/>
      <c r="O52" s="53">
        <f t="shared" si="19"/>
        <v>1</v>
      </c>
      <c r="P52" s="966"/>
      <c r="Q52" s="53">
        <f t="shared" si="20"/>
        <v>1</v>
      </c>
      <c r="R52" s="493">
        <f t="shared" si="21"/>
        <v>0</v>
      </c>
      <c r="S52" s="802">
        <f t="shared" si="11"/>
        <v>0</v>
      </c>
    </row>
    <row r="53" spans="1:19">
      <c r="A53" s="968"/>
      <c r="B53" s="137"/>
      <c r="C53" s="53">
        <f t="shared" si="13"/>
        <v>1</v>
      </c>
      <c r="D53" s="966"/>
      <c r="E53" s="53">
        <f t="shared" si="14"/>
        <v>0.02</v>
      </c>
      <c r="F53" s="966"/>
      <c r="G53" s="53">
        <f t="shared" si="15"/>
        <v>1</v>
      </c>
      <c r="H53" s="966"/>
      <c r="I53" s="53">
        <f t="shared" si="16"/>
        <v>1</v>
      </c>
      <c r="J53" s="966"/>
      <c r="K53" s="53">
        <f t="shared" si="17"/>
        <v>1</v>
      </c>
      <c r="L53" s="966"/>
      <c r="M53" s="53">
        <f t="shared" si="18"/>
        <v>1</v>
      </c>
      <c r="N53" s="966"/>
      <c r="O53" s="53">
        <f t="shared" si="19"/>
        <v>1</v>
      </c>
      <c r="P53" s="966"/>
      <c r="Q53" s="53">
        <f t="shared" si="20"/>
        <v>1</v>
      </c>
      <c r="R53" s="493">
        <f t="shared" si="21"/>
        <v>0</v>
      </c>
      <c r="S53" s="802">
        <f t="shared" si="11"/>
        <v>0</v>
      </c>
    </row>
    <row r="54" spans="1:19">
      <c r="A54" s="968"/>
      <c r="B54" s="137"/>
      <c r="C54" s="53">
        <f t="shared" si="13"/>
        <v>1</v>
      </c>
      <c r="D54" s="966"/>
      <c r="E54" s="53">
        <f t="shared" si="14"/>
        <v>0.02</v>
      </c>
      <c r="F54" s="966"/>
      <c r="G54" s="53">
        <f t="shared" si="15"/>
        <v>1</v>
      </c>
      <c r="H54" s="966"/>
      <c r="I54" s="53">
        <f t="shared" si="16"/>
        <v>1</v>
      </c>
      <c r="J54" s="966"/>
      <c r="K54" s="53">
        <f t="shared" si="17"/>
        <v>1</v>
      </c>
      <c r="L54" s="966"/>
      <c r="M54" s="53">
        <f t="shared" si="18"/>
        <v>1</v>
      </c>
      <c r="N54" s="966"/>
      <c r="O54" s="53">
        <f t="shared" si="19"/>
        <v>1</v>
      </c>
      <c r="P54" s="966"/>
      <c r="Q54" s="53">
        <f t="shared" si="20"/>
        <v>1</v>
      </c>
      <c r="R54" s="493">
        <f t="shared" si="21"/>
        <v>0</v>
      </c>
      <c r="S54" s="802">
        <f t="shared" si="11"/>
        <v>0</v>
      </c>
    </row>
    <row r="55" spans="1:19">
      <c r="A55" s="968"/>
      <c r="B55" s="137"/>
      <c r="C55" s="53">
        <f t="shared" si="13"/>
        <v>1</v>
      </c>
      <c r="D55" s="966"/>
      <c r="E55" s="53">
        <f t="shared" si="14"/>
        <v>0.02</v>
      </c>
      <c r="F55" s="966"/>
      <c r="G55" s="53">
        <f t="shared" si="15"/>
        <v>1</v>
      </c>
      <c r="H55" s="966"/>
      <c r="I55" s="53">
        <f t="shared" si="16"/>
        <v>1</v>
      </c>
      <c r="J55" s="966"/>
      <c r="K55" s="53">
        <f t="shared" si="17"/>
        <v>1</v>
      </c>
      <c r="L55" s="966"/>
      <c r="M55" s="53">
        <f t="shared" si="18"/>
        <v>1</v>
      </c>
      <c r="N55" s="966"/>
      <c r="O55" s="53">
        <f t="shared" si="19"/>
        <v>1</v>
      </c>
      <c r="P55" s="966"/>
      <c r="Q55" s="53">
        <f t="shared" si="20"/>
        <v>1</v>
      </c>
      <c r="R55" s="493">
        <f t="shared" si="21"/>
        <v>0</v>
      </c>
      <c r="S55" s="802">
        <f t="shared" ref="S55:S77" si="22">ROUND(R55*B55/10000,0)</f>
        <v>0</v>
      </c>
    </row>
    <row r="56" spans="1:19">
      <c r="A56" s="968"/>
      <c r="B56" s="137"/>
      <c r="C56" s="53">
        <f t="shared" si="13"/>
        <v>1</v>
      </c>
      <c r="D56" s="966"/>
      <c r="E56" s="53">
        <f t="shared" si="14"/>
        <v>0.02</v>
      </c>
      <c r="F56" s="966"/>
      <c r="G56" s="53">
        <f t="shared" si="15"/>
        <v>1</v>
      </c>
      <c r="H56" s="966"/>
      <c r="I56" s="53">
        <f t="shared" si="16"/>
        <v>1</v>
      </c>
      <c r="J56" s="966"/>
      <c r="K56" s="53">
        <f t="shared" si="17"/>
        <v>1</v>
      </c>
      <c r="L56" s="966"/>
      <c r="M56" s="53">
        <f t="shared" si="18"/>
        <v>1</v>
      </c>
      <c r="N56" s="966"/>
      <c r="O56" s="53">
        <f t="shared" si="19"/>
        <v>1</v>
      </c>
      <c r="P56" s="966"/>
      <c r="Q56" s="53">
        <f t="shared" si="20"/>
        <v>1</v>
      </c>
      <c r="R56" s="493">
        <f t="shared" si="21"/>
        <v>0</v>
      </c>
      <c r="S56" s="802">
        <f t="shared" si="22"/>
        <v>0</v>
      </c>
    </row>
    <row r="57" spans="1:19">
      <c r="A57" s="968"/>
      <c r="B57" s="137"/>
      <c r="C57" s="53">
        <f t="shared" si="13"/>
        <v>1</v>
      </c>
      <c r="D57" s="966"/>
      <c r="E57" s="53">
        <f t="shared" si="14"/>
        <v>0.02</v>
      </c>
      <c r="F57" s="966"/>
      <c r="G57" s="53">
        <f t="shared" si="15"/>
        <v>1</v>
      </c>
      <c r="H57" s="966"/>
      <c r="I57" s="53">
        <f t="shared" si="16"/>
        <v>1</v>
      </c>
      <c r="J57" s="966"/>
      <c r="K57" s="53">
        <f t="shared" si="17"/>
        <v>1</v>
      </c>
      <c r="L57" s="966"/>
      <c r="M57" s="53">
        <f t="shared" si="18"/>
        <v>1</v>
      </c>
      <c r="N57" s="966"/>
      <c r="O57" s="53">
        <f t="shared" si="19"/>
        <v>1</v>
      </c>
      <c r="P57" s="966"/>
      <c r="Q57" s="53">
        <f t="shared" si="20"/>
        <v>1</v>
      </c>
      <c r="R57" s="493">
        <f t="shared" si="21"/>
        <v>0</v>
      </c>
      <c r="S57" s="802">
        <f t="shared" si="22"/>
        <v>0</v>
      </c>
    </row>
    <row r="58" spans="1:19">
      <c r="A58" s="968"/>
      <c r="B58" s="137"/>
      <c r="C58" s="53">
        <f t="shared" si="13"/>
        <v>1</v>
      </c>
      <c r="D58" s="966"/>
      <c r="E58" s="53">
        <f t="shared" si="14"/>
        <v>0.02</v>
      </c>
      <c r="F58" s="966"/>
      <c r="G58" s="53">
        <f t="shared" si="15"/>
        <v>1</v>
      </c>
      <c r="H58" s="966"/>
      <c r="I58" s="53">
        <f t="shared" si="16"/>
        <v>1</v>
      </c>
      <c r="J58" s="966"/>
      <c r="K58" s="53">
        <f t="shared" si="17"/>
        <v>1</v>
      </c>
      <c r="L58" s="966"/>
      <c r="M58" s="53">
        <f t="shared" si="18"/>
        <v>1</v>
      </c>
      <c r="N58" s="966"/>
      <c r="O58" s="53">
        <f t="shared" si="19"/>
        <v>1</v>
      </c>
      <c r="P58" s="966"/>
      <c r="Q58" s="53">
        <f t="shared" si="20"/>
        <v>1</v>
      </c>
      <c r="R58" s="493">
        <f t="shared" si="21"/>
        <v>0</v>
      </c>
      <c r="S58" s="802">
        <f t="shared" si="22"/>
        <v>0</v>
      </c>
    </row>
    <row r="59" spans="1:19">
      <c r="A59" s="968"/>
      <c r="B59" s="137"/>
      <c r="C59" s="53">
        <f t="shared" si="13"/>
        <v>1</v>
      </c>
      <c r="D59" s="966"/>
      <c r="E59" s="53">
        <f t="shared" si="14"/>
        <v>0.02</v>
      </c>
      <c r="F59" s="966"/>
      <c r="G59" s="53">
        <f t="shared" si="15"/>
        <v>1</v>
      </c>
      <c r="H59" s="966"/>
      <c r="I59" s="53">
        <f t="shared" si="16"/>
        <v>1</v>
      </c>
      <c r="J59" s="966"/>
      <c r="K59" s="53">
        <f t="shared" si="17"/>
        <v>1</v>
      </c>
      <c r="L59" s="966"/>
      <c r="M59" s="53">
        <f t="shared" si="18"/>
        <v>1</v>
      </c>
      <c r="N59" s="966"/>
      <c r="O59" s="53">
        <f t="shared" si="19"/>
        <v>1</v>
      </c>
      <c r="P59" s="966"/>
      <c r="Q59" s="53">
        <f t="shared" si="20"/>
        <v>1</v>
      </c>
      <c r="R59" s="493">
        <f t="shared" si="21"/>
        <v>0</v>
      </c>
      <c r="S59" s="802">
        <f t="shared" si="22"/>
        <v>0</v>
      </c>
    </row>
    <row r="60" spans="1:19">
      <c r="A60" s="968"/>
      <c r="B60" s="137"/>
      <c r="C60" s="53">
        <f t="shared" si="13"/>
        <v>1</v>
      </c>
      <c r="D60" s="966"/>
      <c r="E60" s="53">
        <f t="shared" si="14"/>
        <v>0.02</v>
      </c>
      <c r="F60" s="966"/>
      <c r="G60" s="53">
        <f t="shared" si="15"/>
        <v>1</v>
      </c>
      <c r="H60" s="966"/>
      <c r="I60" s="53">
        <f t="shared" si="16"/>
        <v>1</v>
      </c>
      <c r="J60" s="966"/>
      <c r="K60" s="53">
        <f t="shared" si="17"/>
        <v>1</v>
      </c>
      <c r="L60" s="966"/>
      <c r="M60" s="53">
        <f t="shared" si="18"/>
        <v>1</v>
      </c>
      <c r="N60" s="966"/>
      <c r="O60" s="53">
        <f t="shared" si="19"/>
        <v>1</v>
      </c>
      <c r="P60" s="966"/>
      <c r="Q60" s="53">
        <f t="shared" si="20"/>
        <v>1</v>
      </c>
      <c r="R60" s="493">
        <f t="shared" si="21"/>
        <v>0</v>
      </c>
      <c r="S60" s="802">
        <f t="shared" si="22"/>
        <v>0</v>
      </c>
    </row>
    <row r="61" spans="1:19">
      <c r="A61" s="968"/>
      <c r="B61" s="137"/>
      <c r="C61" s="53">
        <f t="shared" si="13"/>
        <v>1</v>
      </c>
      <c r="D61" s="966"/>
      <c r="E61" s="53">
        <f t="shared" si="14"/>
        <v>0.02</v>
      </c>
      <c r="F61" s="966"/>
      <c r="G61" s="53">
        <f t="shared" si="15"/>
        <v>1</v>
      </c>
      <c r="H61" s="966"/>
      <c r="I61" s="53">
        <f t="shared" si="16"/>
        <v>1</v>
      </c>
      <c r="J61" s="966"/>
      <c r="K61" s="53">
        <f t="shared" si="17"/>
        <v>1</v>
      </c>
      <c r="L61" s="966"/>
      <c r="M61" s="53">
        <f t="shared" si="18"/>
        <v>1</v>
      </c>
      <c r="N61" s="966"/>
      <c r="O61" s="53">
        <f t="shared" si="19"/>
        <v>1</v>
      </c>
      <c r="P61" s="966"/>
      <c r="Q61" s="53">
        <f t="shared" si="20"/>
        <v>1</v>
      </c>
      <c r="R61" s="493">
        <f t="shared" si="21"/>
        <v>0</v>
      </c>
      <c r="S61" s="802">
        <f t="shared" si="22"/>
        <v>0</v>
      </c>
    </row>
    <row r="62" spans="1:19">
      <c r="A62" s="968"/>
      <c r="B62" s="137"/>
      <c r="C62" s="53">
        <f t="shared" si="13"/>
        <v>1</v>
      </c>
      <c r="D62" s="966"/>
      <c r="E62" s="53">
        <f t="shared" si="14"/>
        <v>0.02</v>
      </c>
      <c r="F62" s="966"/>
      <c r="G62" s="53">
        <f t="shared" si="15"/>
        <v>1</v>
      </c>
      <c r="H62" s="966"/>
      <c r="I62" s="53">
        <f t="shared" si="16"/>
        <v>1</v>
      </c>
      <c r="J62" s="966"/>
      <c r="K62" s="53">
        <f t="shared" si="17"/>
        <v>1</v>
      </c>
      <c r="L62" s="966"/>
      <c r="M62" s="53">
        <f t="shared" si="18"/>
        <v>1</v>
      </c>
      <c r="N62" s="966"/>
      <c r="O62" s="53">
        <f t="shared" si="19"/>
        <v>1</v>
      </c>
      <c r="P62" s="966"/>
      <c r="Q62" s="53">
        <f t="shared" si="20"/>
        <v>1</v>
      </c>
      <c r="R62" s="493">
        <f t="shared" si="21"/>
        <v>0</v>
      </c>
      <c r="S62" s="802">
        <f t="shared" si="22"/>
        <v>0</v>
      </c>
    </row>
    <row r="63" spans="1:19">
      <c r="A63" s="968"/>
      <c r="B63" s="137"/>
      <c r="C63" s="53">
        <f t="shared" si="13"/>
        <v>1</v>
      </c>
      <c r="D63" s="966"/>
      <c r="E63" s="53">
        <f t="shared" si="14"/>
        <v>0.02</v>
      </c>
      <c r="F63" s="966"/>
      <c r="G63" s="53">
        <f t="shared" si="15"/>
        <v>1</v>
      </c>
      <c r="H63" s="966"/>
      <c r="I63" s="53">
        <f t="shared" si="16"/>
        <v>1</v>
      </c>
      <c r="J63" s="966"/>
      <c r="K63" s="53">
        <f t="shared" si="17"/>
        <v>1</v>
      </c>
      <c r="L63" s="966"/>
      <c r="M63" s="53">
        <f t="shared" si="18"/>
        <v>1</v>
      </c>
      <c r="N63" s="966"/>
      <c r="O63" s="53">
        <f t="shared" si="19"/>
        <v>1</v>
      </c>
      <c r="P63" s="966"/>
      <c r="Q63" s="53">
        <f t="shared" si="20"/>
        <v>1</v>
      </c>
      <c r="R63" s="493">
        <f t="shared" si="21"/>
        <v>0</v>
      </c>
      <c r="S63" s="802">
        <f t="shared" si="22"/>
        <v>0</v>
      </c>
    </row>
    <row r="64" spans="1:19">
      <c r="A64" s="968"/>
      <c r="B64" s="137"/>
      <c r="C64" s="53">
        <f t="shared" si="13"/>
        <v>1</v>
      </c>
      <c r="D64" s="966"/>
      <c r="E64" s="53">
        <f t="shared" si="14"/>
        <v>0.02</v>
      </c>
      <c r="F64" s="966"/>
      <c r="G64" s="53">
        <f t="shared" si="15"/>
        <v>1</v>
      </c>
      <c r="H64" s="966"/>
      <c r="I64" s="53">
        <f t="shared" si="16"/>
        <v>1</v>
      </c>
      <c r="J64" s="966"/>
      <c r="K64" s="53">
        <f t="shared" si="17"/>
        <v>1</v>
      </c>
      <c r="L64" s="966"/>
      <c r="M64" s="53">
        <f t="shared" si="18"/>
        <v>1</v>
      </c>
      <c r="N64" s="966"/>
      <c r="O64" s="53">
        <f t="shared" si="19"/>
        <v>1</v>
      </c>
      <c r="P64" s="966"/>
      <c r="Q64" s="53">
        <f t="shared" si="20"/>
        <v>1</v>
      </c>
      <c r="R64" s="493">
        <f t="shared" si="21"/>
        <v>0</v>
      </c>
      <c r="S64" s="802">
        <f t="shared" si="22"/>
        <v>0</v>
      </c>
    </row>
    <row r="65" spans="1:19">
      <c r="A65" s="968"/>
      <c r="B65" s="137"/>
      <c r="C65" s="53">
        <f t="shared" si="13"/>
        <v>1</v>
      </c>
      <c r="D65" s="966"/>
      <c r="E65" s="53">
        <f t="shared" si="14"/>
        <v>0.02</v>
      </c>
      <c r="F65" s="966"/>
      <c r="G65" s="53">
        <f t="shared" si="15"/>
        <v>1</v>
      </c>
      <c r="H65" s="966"/>
      <c r="I65" s="53">
        <f t="shared" si="16"/>
        <v>1</v>
      </c>
      <c r="J65" s="966"/>
      <c r="K65" s="53">
        <f t="shared" si="17"/>
        <v>1</v>
      </c>
      <c r="L65" s="966"/>
      <c r="M65" s="53">
        <f t="shared" si="18"/>
        <v>1</v>
      </c>
      <c r="N65" s="966"/>
      <c r="O65" s="53">
        <f t="shared" si="19"/>
        <v>1</v>
      </c>
      <c r="P65" s="966"/>
      <c r="Q65" s="53">
        <f t="shared" si="20"/>
        <v>1</v>
      </c>
      <c r="R65" s="493">
        <f t="shared" si="21"/>
        <v>0</v>
      </c>
      <c r="S65" s="802">
        <f t="shared" si="22"/>
        <v>0</v>
      </c>
    </row>
    <row r="66" spans="1:19">
      <c r="A66" s="968"/>
      <c r="B66" s="137"/>
      <c r="C66" s="53">
        <f t="shared" si="13"/>
        <v>1</v>
      </c>
      <c r="D66" s="966"/>
      <c r="E66" s="53">
        <f t="shared" si="14"/>
        <v>0.02</v>
      </c>
      <c r="F66" s="966"/>
      <c r="G66" s="53">
        <f t="shared" si="15"/>
        <v>1</v>
      </c>
      <c r="H66" s="966"/>
      <c r="I66" s="53">
        <f t="shared" si="16"/>
        <v>1</v>
      </c>
      <c r="J66" s="966"/>
      <c r="K66" s="53">
        <f t="shared" si="17"/>
        <v>1</v>
      </c>
      <c r="L66" s="966"/>
      <c r="M66" s="53">
        <f t="shared" si="18"/>
        <v>1</v>
      </c>
      <c r="N66" s="966"/>
      <c r="O66" s="53">
        <f t="shared" si="19"/>
        <v>1</v>
      </c>
      <c r="P66" s="966"/>
      <c r="Q66" s="53">
        <f t="shared" si="20"/>
        <v>1</v>
      </c>
      <c r="R66" s="493">
        <f t="shared" si="21"/>
        <v>0</v>
      </c>
      <c r="S66" s="802">
        <f t="shared" si="22"/>
        <v>0</v>
      </c>
    </row>
    <row r="67" spans="1:19">
      <c r="A67" s="968"/>
      <c r="B67" s="137"/>
      <c r="C67" s="53">
        <f t="shared" si="13"/>
        <v>1</v>
      </c>
      <c r="D67" s="966"/>
      <c r="E67" s="53">
        <f t="shared" si="14"/>
        <v>0.02</v>
      </c>
      <c r="F67" s="966"/>
      <c r="G67" s="53">
        <f t="shared" si="15"/>
        <v>1</v>
      </c>
      <c r="H67" s="966"/>
      <c r="I67" s="53">
        <f t="shared" si="16"/>
        <v>1</v>
      </c>
      <c r="J67" s="966"/>
      <c r="K67" s="53">
        <f t="shared" si="17"/>
        <v>1</v>
      </c>
      <c r="L67" s="966"/>
      <c r="M67" s="53">
        <f t="shared" si="18"/>
        <v>1</v>
      </c>
      <c r="N67" s="966"/>
      <c r="O67" s="53">
        <f t="shared" si="19"/>
        <v>1</v>
      </c>
      <c r="P67" s="966"/>
      <c r="Q67" s="53">
        <f t="shared" si="20"/>
        <v>1</v>
      </c>
      <c r="R67" s="493">
        <f t="shared" si="21"/>
        <v>0</v>
      </c>
      <c r="S67" s="802">
        <f t="shared" si="22"/>
        <v>0</v>
      </c>
    </row>
    <row r="68" spans="1:19">
      <c r="A68" s="968"/>
      <c r="B68" s="137"/>
      <c r="C68" s="53">
        <f t="shared" si="13"/>
        <v>1</v>
      </c>
      <c r="D68" s="966"/>
      <c r="E68" s="53">
        <f t="shared" si="14"/>
        <v>0.02</v>
      </c>
      <c r="F68" s="966"/>
      <c r="G68" s="53">
        <f t="shared" si="15"/>
        <v>1</v>
      </c>
      <c r="H68" s="966"/>
      <c r="I68" s="53">
        <f t="shared" si="16"/>
        <v>1</v>
      </c>
      <c r="J68" s="966"/>
      <c r="K68" s="53">
        <f t="shared" si="17"/>
        <v>1</v>
      </c>
      <c r="L68" s="966"/>
      <c r="M68" s="53">
        <f t="shared" si="18"/>
        <v>1</v>
      </c>
      <c r="N68" s="966"/>
      <c r="O68" s="53">
        <f t="shared" si="19"/>
        <v>1</v>
      </c>
      <c r="P68" s="966"/>
      <c r="Q68" s="53">
        <f t="shared" si="20"/>
        <v>1</v>
      </c>
      <c r="R68" s="493">
        <f t="shared" si="21"/>
        <v>0</v>
      </c>
      <c r="S68" s="802">
        <f t="shared" si="22"/>
        <v>0</v>
      </c>
    </row>
    <row r="69" spans="1:19">
      <c r="A69" s="968"/>
      <c r="B69" s="137"/>
      <c r="C69" s="53">
        <f t="shared" si="13"/>
        <v>1</v>
      </c>
      <c r="D69" s="966"/>
      <c r="E69" s="53">
        <f t="shared" si="14"/>
        <v>0.02</v>
      </c>
      <c r="F69" s="966"/>
      <c r="G69" s="53">
        <f t="shared" si="15"/>
        <v>1</v>
      </c>
      <c r="H69" s="966"/>
      <c r="I69" s="53">
        <f t="shared" si="16"/>
        <v>1</v>
      </c>
      <c r="J69" s="966"/>
      <c r="K69" s="53">
        <f t="shared" si="17"/>
        <v>1</v>
      </c>
      <c r="L69" s="966"/>
      <c r="M69" s="53">
        <f t="shared" si="18"/>
        <v>1</v>
      </c>
      <c r="N69" s="966"/>
      <c r="O69" s="53">
        <f t="shared" si="19"/>
        <v>1</v>
      </c>
      <c r="P69" s="966"/>
      <c r="Q69" s="53">
        <f t="shared" si="20"/>
        <v>1</v>
      </c>
      <c r="R69" s="493">
        <f t="shared" si="21"/>
        <v>0</v>
      </c>
      <c r="S69" s="802">
        <f t="shared" si="22"/>
        <v>0</v>
      </c>
    </row>
    <row r="70" spans="1:19">
      <c r="A70" s="968"/>
      <c r="B70" s="137"/>
      <c r="C70" s="53">
        <f t="shared" si="13"/>
        <v>1</v>
      </c>
      <c r="D70" s="966"/>
      <c r="E70" s="53">
        <f t="shared" si="14"/>
        <v>0.02</v>
      </c>
      <c r="F70" s="966"/>
      <c r="G70" s="53">
        <f t="shared" si="15"/>
        <v>1</v>
      </c>
      <c r="H70" s="966"/>
      <c r="I70" s="53">
        <f t="shared" si="16"/>
        <v>1</v>
      </c>
      <c r="J70" s="966"/>
      <c r="K70" s="53">
        <f t="shared" si="17"/>
        <v>1</v>
      </c>
      <c r="L70" s="966"/>
      <c r="M70" s="53">
        <f t="shared" si="18"/>
        <v>1</v>
      </c>
      <c r="N70" s="966"/>
      <c r="O70" s="53">
        <f t="shared" si="19"/>
        <v>1</v>
      </c>
      <c r="P70" s="966"/>
      <c r="Q70" s="53">
        <f t="shared" si="20"/>
        <v>1</v>
      </c>
      <c r="R70" s="493">
        <f t="shared" si="21"/>
        <v>0</v>
      </c>
      <c r="S70" s="802">
        <f t="shared" si="22"/>
        <v>0</v>
      </c>
    </row>
    <row r="71" spans="1:19">
      <c r="A71" s="968"/>
      <c r="B71" s="137"/>
      <c r="C71" s="53">
        <f t="shared" si="13"/>
        <v>1</v>
      </c>
      <c r="D71" s="966"/>
      <c r="E71" s="53">
        <f t="shared" si="14"/>
        <v>0.02</v>
      </c>
      <c r="F71" s="966"/>
      <c r="G71" s="53">
        <f t="shared" si="15"/>
        <v>1</v>
      </c>
      <c r="H71" s="966"/>
      <c r="I71" s="53">
        <f t="shared" si="16"/>
        <v>1</v>
      </c>
      <c r="J71" s="966"/>
      <c r="K71" s="53">
        <f t="shared" si="17"/>
        <v>1</v>
      </c>
      <c r="L71" s="966"/>
      <c r="M71" s="53">
        <f t="shared" si="18"/>
        <v>1</v>
      </c>
      <c r="N71" s="966"/>
      <c r="O71" s="53">
        <f t="shared" si="19"/>
        <v>1</v>
      </c>
      <c r="P71" s="966"/>
      <c r="Q71" s="53">
        <f t="shared" si="20"/>
        <v>1</v>
      </c>
      <c r="R71" s="493">
        <f t="shared" si="21"/>
        <v>0</v>
      </c>
      <c r="S71" s="802">
        <f t="shared" si="22"/>
        <v>0</v>
      </c>
    </row>
    <row r="72" spans="1:19">
      <c r="A72" s="968"/>
      <c r="B72" s="137"/>
      <c r="C72" s="53">
        <f t="shared" si="13"/>
        <v>1</v>
      </c>
      <c r="D72" s="966"/>
      <c r="E72" s="53">
        <f t="shared" si="14"/>
        <v>0.02</v>
      </c>
      <c r="F72" s="966"/>
      <c r="G72" s="53">
        <f t="shared" si="15"/>
        <v>1</v>
      </c>
      <c r="H72" s="966"/>
      <c r="I72" s="53">
        <f t="shared" si="16"/>
        <v>1</v>
      </c>
      <c r="J72" s="966"/>
      <c r="K72" s="53">
        <f t="shared" si="17"/>
        <v>1</v>
      </c>
      <c r="L72" s="966"/>
      <c r="M72" s="53">
        <f t="shared" si="18"/>
        <v>1</v>
      </c>
      <c r="N72" s="966"/>
      <c r="O72" s="53">
        <f t="shared" si="19"/>
        <v>1</v>
      </c>
      <c r="P72" s="966"/>
      <c r="Q72" s="53">
        <f t="shared" si="20"/>
        <v>1</v>
      </c>
      <c r="R72" s="493">
        <f t="shared" si="21"/>
        <v>0</v>
      </c>
      <c r="S72" s="802">
        <f t="shared" si="22"/>
        <v>0</v>
      </c>
    </row>
    <row r="73" spans="1:19">
      <c r="A73" s="968"/>
      <c r="B73" s="137"/>
      <c r="C73" s="53">
        <f t="shared" si="13"/>
        <v>1</v>
      </c>
      <c r="D73" s="966"/>
      <c r="E73" s="53">
        <f t="shared" si="14"/>
        <v>0.02</v>
      </c>
      <c r="F73" s="966"/>
      <c r="G73" s="53">
        <f t="shared" si="15"/>
        <v>1</v>
      </c>
      <c r="H73" s="966"/>
      <c r="I73" s="53">
        <f t="shared" si="16"/>
        <v>1</v>
      </c>
      <c r="J73" s="966"/>
      <c r="K73" s="53">
        <f t="shared" si="17"/>
        <v>1</v>
      </c>
      <c r="L73" s="966"/>
      <c r="M73" s="53">
        <f t="shared" si="18"/>
        <v>1</v>
      </c>
      <c r="N73" s="966"/>
      <c r="O73" s="53">
        <f t="shared" si="19"/>
        <v>1</v>
      </c>
      <c r="P73" s="966"/>
      <c r="Q73" s="53">
        <f t="shared" si="20"/>
        <v>1</v>
      </c>
      <c r="R73" s="493">
        <f t="shared" si="21"/>
        <v>0</v>
      </c>
      <c r="S73" s="802">
        <f t="shared" si="22"/>
        <v>0</v>
      </c>
    </row>
    <row r="74" spans="1:19">
      <c r="A74" s="968"/>
      <c r="B74" s="137"/>
      <c r="C74" s="53">
        <f t="shared" si="13"/>
        <v>1</v>
      </c>
      <c r="D74" s="966"/>
      <c r="E74" s="53">
        <f t="shared" si="14"/>
        <v>0.02</v>
      </c>
      <c r="F74" s="966"/>
      <c r="G74" s="53">
        <f t="shared" si="15"/>
        <v>1</v>
      </c>
      <c r="H74" s="966"/>
      <c r="I74" s="53">
        <f t="shared" si="16"/>
        <v>1</v>
      </c>
      <c r="J74" s="966"/>
      <c r="K74" s="53">
        <f t="shared" si="17"/>
        <v>1</v>
      </c>
      <c r="L74" s="966"/>
      <c r="M74" s="53">
        <f t="shared" si="18"/>
        <v>1</v>
      </c>
      <c r="N74" s="966"/>
      <c r="O74" s="53">
        <f t="shared" si="19"/>
        <v>1</v>
      </c>
      <c r="P74" s="966"/>
      <c r="Q74" s="53">
        <f t="shared" si="20"/>
        <v>1</v>
      </c>
      <c r="R74" s="493">
        <f t="shared" si="21"/>
        <v>0</v>
      </c>
      <c r="S74" s="802">
        <f t="shared" si="22"/>
        <v>0</v>
      </c>
    </row>
    <row r="75" spans="1:19">
      <c r="A75" s="968"/>
      <c r="B75" s="137"/>
      <c r="C75" s="53">
        <f t="shared" si="13"/>
        <v>1</v>
      </c>
      <c r="D75" s="966"/>
      <c r="E75" s="53">
        <f t="shared" si="14"/>
        <v>0.02</v>
      </c>
      <c r="F75" s="966"/>
      <c r="G75" s="53">
        <f t="shared" si="15"/>
        <v>1</v>
      </c>
      <c r="H75" s="966"/>
      <c r="I75" s="53">
        <f t="shared" si="16"/>
        <v>1</v>
      </c>
      <c r="J75" s="966"/>
      <c r="K75" s="53">
        <f t="shared" si="17"/>
        <v>1</v>
      </c>
      <c r="L75" s="966"/>
      <c r="M75" s="53">
        <f t="shared" si="18"/>
        <v>1</v>
      </c>
      <c r="N75" s="966"/>
      <c r="O75" s="53">
        <f t="shared" si="19"/>
        <v>1</v>
      </c>
      <c r="P75" s="966"/>
      <c r="Q75" s="53">
        <f t="shared" si="20"/>
        <v>1</v>
      </c>
      <c r="R75" s="493">
        <f t="shared" si="21"/>
        <v>0</v>
      </c>
      <c r="S75" s="802">
        <f t="shared" si="22"/>
        <v>0</v>
      </c>
    </row>
    <row r="76" spans="1:19">
      <c r="A76" s="968"/>
      <c r="B76" s="137"/>
      <c r="C76" s="53">
        <f t="shared" si="13"/>
        <v>1</v>
      </c>
      <c r="D76" s="966"/>
      <c r="E76" s="53">
        <f t="shared" si="14"/>
        <v>0.02</v>
      </c>
      <c r="F76" s="966"/>
      <c r="G76" s="53">
        <f t="shared" si="15"/>
        <v>1</v>
      </c>
      <c r="H76" s="966"/>
      <c r="I76" s="53">
        <f t="shared" si="16"/>
        <v>1</v>
      </c>
      <c r="J76" s="966"/>
      <c r="K76" s="53">
        <f t="shared" si="17"/>
        <v>1</v>
      </c>
      <c r="L76" s="966"/>
      <c r="M76" s="53">
        <f t="shared" si="18"/>
        <v>1</v>
      </c>
      <c r="N76" s="966"/>
      <c r="O76" s="53">
        <f t="shared" si="19"/>
        <v>1</v>
      </c>
      <c r="P76" s="966"/>
      <c r="Q76" s="53">
        <f t="shared" si="20"/>
        <v>1</v>
      </c>
      <c r="R76" s="493">
        <f t="shared" si="21"/>
        <v>0</v>
      </c>
      <c r="S76" s="802">
        <f t="shared" si="22"/>
        <v>0</v>
      </c>
    </row>
    <row r="77" spans="1:19">
      <c r="A77" s="968"/>
      <c r="B77" s="137"/>
      <c r="C77" s="53">
        <f t="shared" si="13"/>
        <v>1</v>
      </c>
      <c r="D77" s="966"/>
      <c r="E77" s="53">
        <f t="shared" si="14"/>
        <v>0.02</v>
      </c>
      <c r="F77" s="966"/>
      <c r="G77" s="53">
        <f t="shared" si="15"/>
        <v>1</v>
      </c>
      <c r="H77" s="966"/>
      <c r="I77" s="53">
        <f t="shared" si="16"/>
        <v>1</v>
      </c>
      <c r="J77" s="966"/>
      <c r="K77" s="53">
        <f t="shared" si="17"/>
        <v>1</v>
      </c>
      <c r="L77" s="966"/>
      <c r="M77" s="53">
        <f t="shared" si="18"/>
        <v>1</v>
      </c>
      <c r="N77" s="966"/>
      <c r="O77" s="53">
        <f t="shared" si="19"/>
        <v>1</v>
      </c>
      <c r="P77" s="966"/>
      <c r="Q77" s="53">
        <f t="shared" si="20"/>
        <v>1</v>
      </c>
      <c r="R77" s="493">
        <f t="shared" si="21"/>
        <v>0</v>
      </c>
      <c r="S77" s="802">
        <f t="shared" si="22"/>
        <v>0</v>
      </c>
    </row>
    <row r="78" spans="1:19">
      <c r="A78" s="968"/>
      <c r="B78" s="137"/>
      <c r="C78" s="53">
        <f t="shared" si="13"/>
        <v>1</v>
      </c>
      <c r="D78" s="966"/>
      <c r="E78" s="53">
        <f t="shared" si="14"/>
        <v>0.02</v>
      </c>
      <c r="F78" s="966"/>
      <c r="G78" s="53">
        <f t="shared" si="15"/>
        <v>1</v>
      </c>
      <c r="H78" s="966"/>
      <c r="I78" s="53">
        <f t="shared" si="16"/>
        <v>1</v>
      </c>
      <c r="J78" s="966"/>
      <c r="K78" s="53">
        <f t="shared" si="17"/>
        <v>1</v>
      </c>
      <c r="L78" s="966"/>
      <c r="M78" s="53">
        <f t="shared" si="18"/>
        <v>1</v>
      </c>
      <c r="N78" s="966"/>
      <c r="O78" s="53">
        <f t="shared" si="19"/>
        <v>1</v>
      </c>
      <c r="P78" s="966"/>
      <c r="Q78" s="53">
        <f t="shared" si="20"/>
        <v>1</v>
      </c>
      <c r="R78" s="493">
        <f t="shared" si="21"/>
        <v>0</v>
      </c>
      <c r="S78" s="802">
        <f t="shared" ref="S78:S122" si="23">ROUND(R78*B78/10000,0)</f>
        <v>0</v>
      </c>
    </row>
    <row r="79" spans="1:19">
      <c r="A79" s="968"/>
      <c r="B79" s="137"/>
      <c r="C79" s="53">
        <f t="shared" si="13"/>
        <v>1</v>
      </c>
      <c r="D79" s="966"/>
      <c r="E79" s="53">
        <f t="shared" si="14"/>
        <v>0.02</v>
      </c>
      <c r="F79" s="966"/>
      <c r="G79" s="53">
        <f t="shared" si="15"/>
        <v>1</v>
      </c>
      <c r="H79" s="966"/>
      <c r="I79" s="53">
        <f t="shared" si="16"/>
        <v>1</v>
      </c>
      <c r="J79" s="966"/>
      <c r="K79" s="53">
        <f t="shared" si="17"/>
        <v>1</v>
      </c>
      <c r="L79" s="966"/>
      <c r="M79" s="53">
        <f t="shared" si="18"/>
        <v>1</v>
      </c>
      <c r="N79" s="966"/>
      <c r="O79" s="53">
        <f t="shared" si="19"/>
        <v>1</v>
      </c>
      <c r="P79" s="966"/>
      <c r="Q79" s="53">
        <f t="shared" si="20"/>
        <v>1</v>
      </c>
      <c r="R79" s="493">
        <f t="shared" si="21"/>
        <v>0</v>
      </c>
      <c r="S79" s="802">
        <f t="shared" si="23"/>
        <v>0</v>
      </c>
    </row>
    <row r="80" spans="1:19">
      <c r="A80" s="968"/>
      <c r="B80" s="137"/>
      <c r="C80" s="53">
        <f t="shared" si="13"/>
        <v>1</v>
      </c>
      <c r="D80" s="966"/>
      <c r="E80" s="53">
        <f t="shared" si="14"/>
        <v>0.02</v>
      </c>
      <c r="F80" s="966"/>
      <c r="G80" s="53">
        <f t="shared" si="15"/>
        <v>1</v>
      </c>
      <c r="H80" s="966"/>
      <c r="I80" s="53">
        <f t="shared" si="16"/>
        <v>1</v>
      </c>
      <c r="J80" s="966"/>
      <c r="K80" s="53">
        <f t="shared" si="17"/>
        <v>1</v>
      </c>
      <c r="L80" s="966"/>
      <c r="M80" s="53">
        <f t="shared" si="18"/>
        <v>1</v>
      </c>
      <c r="N80" s="966"/>
      <c r="O80" s="53">
        <f t="shared" si="19"/>
        <v>1</v>
      </c>
      <c r="P80" s="966"/>
      <c r="Q80" s="53">
        <f t="shared" si="20"/>
        <v>1</v>
      </c>
      <c r="R80" s="493">
        <f t="shared" si="21"/>
        <v>0</v>
      </c>
      <c r="S80" s="802">
        <f t="shared" si="23"/>
        <v>0</v>
      </c>
    </row>
    <row r="81" spans="1:19">
      <c r="A81" s="968"/>
      <c r="B81" s="137"/>
      <c r="C81" s="53">
        <f t="shared" si="13"/>
        <v>1</v>
      </c>
      <c r="D81" s="966"/>
      <c r="E81" s="53">
        <f t="shared" si="14"/>
        <v>0.02</v>
      </c>
      <c r="F81" s="966"/>
      <c r="G81" s="53">
        <f t="shared" si="15"/>
        <v>1</v>
      </c>
      <c r="H81" s="966"/>
      <c r="I81" s="53">
        <f t="shared" si="16"/>
        <v>1</v>
      </c>
      <c r="J81" s="966"/>
      <c r="K81" s="53">
        <f t="shared" si="17"/>
        <v>1</v>
      </c>
      <c r="L81" s="966"/>
      <c r="M81" s="53">
        <f t="shared" si="18"/>
        <v>1</v>
      </c>
      <c r="N81" s="966"/>
      <c r="O81" s="53">
        <f t="shared" si="19"/>
        <v>1</v>
      </c>
      <c r="P81" s="966"/>
      <c r="Q81" s="53">
        <f t="shared" si="20"/>
        <v>1</v>
      </c>
      <c r="R81" s="493">
        <f t="shared" si="21"/>
        <v>0</v>
      </c>
      <c r="S81" s="802">
        <f t="shared" si="23"/>
        <v>0</v>
      </c>
    </row>
    <row r="82" spans="1:19">
      <c r="A82" s="968"/>
      <c r="B82" s="137"/>
      <c r="C82" s="53">
        <f t="shared" si="13"/>
        <v>1</v>
      </c>
      <c r="D82" s="966"/>
      <c r="E82" s="53">
        <f t="shared" si="14"/>
        <v>0.02</v>
      </c>
      <c r="F82" s="966"/>
      <c r="G82" s="53">
        <f t="shared" si="15"/>
        <v>1</v>
      </c>
      <c r="H82" s="966"/>
      <c r="I82" s="53">
        <f t="shared" si="16"/>
        <v>1</v>
      </c>
      <c r="J82" s="966"/>
      <c r="K82" s="53">
        <f t="shared" si="17"/>
        <v>1</v>
      </c>
      <c r="L82" s="966"/>
      <c r="M82" s="53">
        <f t="shared" si="18"/>
        <v>1</v>
      </c>
      <c r="N82" s="966"/>
      <c r="O82" s="53">
        <f t="shared" si="19"/>
        <v>1</v>
      </c>
      <c r="P82" s="966"/>
      <c r="Q82" s="53">
        <f t="shared" si="20"/>
        <v>1</v>
      </c>
      <c r="R82" s="493">
        <f t="shared" si="21"/>
        <v>0</v>
      </c>
      <c r="S82" s="802">
        <f t="shared" si="23"/>
        <v>0</v>
      </c>
    </row>
    <row r="83" spans="1:19">
      <c r="A83" s="968"/>
      <c r="B83" s="137"/>
      <c r="C83" s="53">
        <f t="shared" si="13"/>
        <v>1</v>
      </c>
      <c r="D83" s="966"/>
      <c r="E83" s="53">
        <f t="shared" si="14"/>
        <v>0.02</v>
      </c>
      <c r="F83" s="966"/>
      <c r="G83" s="53">
        <f t="shared" si="15"/>
        <v>1</v>
      </c>
      <c r="H83" s="966"/>
      <c r="I83" s="53">
        <f t="shared" si="16"/>
        <v>1</v>
      </c>
      <c r="J83" s="966"/>
      <c r="K83" s="53">
        <f t="shared" si="17"/>
        <v>1</v>
      </c>
      <c r="L83" s="966"/>
      <c r="M83" s="53">
        <f t="shared" si="18"/>
        <v>1</v>
      </c>
      <c r="N83" s="966"/>
      <c r="O83" s="53">
        <f t="shared" si="19"/>
        <v>1</v>
      </c>
      <c r="P83" s="966"/>
      <c r="Q83" s="53">
        <f t="shared" si="20"/>
        <v>1</v>
      </c>
      <c r="R83" s="493">
        <f t="shared" si="21"/>
        <v>0</v>
      </c>
      <c r="S83" s="802">
        <f t="shared" si="23"/>
        <v>0</v>
      </c>
    </row>
    <row r="84" spans="1:19">
      <c r="A84" s="968"/>
      <c r="B84" s="137"/>
      <c r="C84" s="53">
        <f t="shared" si="13"/>
        <v>1</v>
      </c>
      <c r="D84" s="966"/>
      <c r="E84" s="53">
        <f t="shared" si="14"/>
        <v>0.02</v>
      </c>
      <c r="F84" s="966"/>
      <c r="G84" s="53">
        <f t="shared" si="15"/>
        <v>1</v>
      </c>
      <c r="H84" s="966"/>
      <c r="I84" s="53">
        <f t="shared" si="16"/>
        <v>1</v>
      </c>
      <c r="J84" s="966"/>
      <c r="K84" s="53">
        <f t="shared" si="17"/>
        <v>1</v>
      </c>
      <c r="L84" s="966"/>
      <c r="M84" s="53">
        <f t="shared" si="18"/>
        <v>1</v>
      </c>
      <c r="N84" s="966"/>
      <c r="O84" s="53">
        <f t="shared" si="19"/>
        <v>1</v>
      </c>
      <c r="P84" s="966"/>
      <c r="Q84" s="53">
        <f t="shared" si="20"/>
        <v>1</v>
      </c>
      <c r="R84" s="493">
        <f t="shared" si="21"/>
        <v>0</v>
      </c>
      <c r="S84" s="802">
        <f t="shared" si="23"/>
        <v>0</v>
      </c>
    </row>
    <row r="85" spans="1:19">
      <c r="A85" s="968"/>
      <c r="B85" s="137"/>
      <c r="C85" s="53">
        <f t="shared" si="13"/>
        <v>1</v>
      </c>
      <c r="D85" s="966"/>
      <c r="E85" s="53">
        <f t="shared" si="14"/>
        <v>0.02</v>
      </c>
      <c r="F85" s="966"/>
      <c r="G85" s="53">
        <f t="shared" si="15"/>
        <v>1</v>
      </c>
      <c r="H85" s="966"/>
      <c r="I85" s="53">
        <f t="shared" si="16"/>
        <v>1</v>
      </c>
      <c r="J85" s="966"/>
      <c r="K85" s="53">
        <f t="shared" si="17"/>
        <v>1</v>
      </c>
      <c r="L85" s="966"/>
      <c r="M85" s="53">
        <f t="shared" si="18"/>
        <v>1</v>
      </c>
      <c r="N85" s="966"/>
      <c r="O85" s="53">
        <f t="shared" si="19"/>
        <v>1</v>
      </c>
      <c r="P85" s="966"/>
      <c r="Q85" s="53">
        <f t="shared" si="20"/>
        <v>1</v>
      </c>
      <c r="R85" s="493">
        <f t="shared" si="21"/>
        <v>0</v>
      </c>
      <c r="S85" s="802">
        <f t="shared" si="23"/>
        <v>0</v>
      </c>
    </row>
    <row r="86" spans="1:19">
      <c r="A86" s="968"/>
      <c r="B86" s="137"/>
      <c r="C86" s="53">
        <f t="shared" si="13"/>
        <v>1</v>
      </c>
      <c r="D86" s="966"/>
      <c r="E86" s="53">
        <f t="shared" si="14"/>
        <v>0.02</v>
      </c>
      <c r="F86" s="966"/>
      <c r="G86" s="53">
        <f t="shared" si="15"/>
        <v>1</v>
      </c>
      <c r="H86" s="966"/>
      <c r="I86" s="53">
        <f t="shared" si="16"/>
        <v>1</v>
      </c>
      <c r="J86" s="966"/>
      <c r="K86" s="53">
        <f t="shared" si="17"/>
        <v>1</v>
      </c>
      <c r="L86" s="966"/>
      <c r="M86" s="53">
        <f t="shared" si="18"/>
        <v>1</v>
      </c>
      <c r="N86" s="966"/>
      <c r="O86" s="53">
        <f t="shared" si="19"/>
        <v>1</v>
      </c>
      <c r="P86" s="966"/>
      <c r="Q86" s="53">
        <f t="shared" si="20"/>
        <v>1</v>
      </c>
      <c r="R86" s="493">
        <f t="shared" si="21"/>
        <v>0</v>
      </c>
      <c r="S86" s="802">
        <f t="shared" si="23"/>
        <v>0</v>
      </c>
    </row>
    <row r="87" spans="1:19">
      <c r="A87" s="968"/>
      <c r="B87" s="137"/>
      <c r="C87" s="53">
        <f t="shared" si="13"/>
        <v>1</v>
      </c>
      <c r="D87" s="966"/>
      <c r="E87" s="53">
        <f t="shared" si="14"/>
        <v>0.02</v>
      </c>
      <c r="F87" s="966"/>
      <c r="G87" s="53">
        <f t="shared" si="15"/>
        <v>1</v>
      </c>
      <c r="H87" s="966"/>
      <c r="I87" s="53">
        <f t="shared" si="16"/>
        <v>1</v>
      </c>
      <c r="J87" s="966"/>
      <c r="K87" s="53">
        <f t="shared" si="17"/>
        <v>1</v>
      </c>
      <c r="L87" s="966"/>
      <c r="M87" s="53">
        <f t="shared" si="18"/>
        <v>1</v>
      </c>
      <c r="N87" s="966"/>
      <c r="O87" s="53">
        <f t="shared" si="19"/>
        <v>1</v>
      </c>
      <c r="P87" s="966"/>
      <c r="Q87" s="53">
        <f t="shared" si="20"/>
        <v>1</v>
      </c>
      <c r="R87" s="493">
        <f t="shared" si="21"/>
        <v>0</v>
      </c>
      <c r="S87" s="802">
        <f t="shared" si="23"/>
        <v>0</v>
      </c>
    </row>
    <row r="88" spans="1:19">
      <c r="A88" s="968"/>
      <c r="B88" s="137"/>
      <c r="C88" s="53">
        <f t="shared" si="13"/>
        <v>1</v>
      </c>
      <c r="D88" s="966"/>
      <c r="E88" s="53">
        <f t="shared" si="14"/>
        <v>0.02</v>
      </c>
      <c r="F88" s="966"/>
      <c r="G88" s="53">
        <f t="shared" si="15"/>
        <v>1</v>
      </c>
      <c r="H88" s="966"/>
      <c r="I88" s="53">
        <f t="shared" si="16"/>
        <v>1</v>
      </c>
      <c r="J88" s="966"/>
      <c r="K88" s="53">
        <f t="shared" si="17"/>
        <v>1</v>
      </c>
      <c r="L88" s="966"/>
      <c r="M88" s="53">
        <f t="shared" si="18"/>
        <v>1</v>
      </c>
      <c r="N88" s="966"/>
      <c r="O88" s="53">
        <f t="shared" si="19"/>
        <v>1</v>
      </c>
      <c r="P88" s="966"/>
      <c r="Q88" s="53">
        <f t="shared" si="20"/>
        <v>1</v>
      </c>
      <c r="R88" s="493">
        <f t="shared" si="21"/>
        <v>0</v>
      </c>
      <c r="S88" s="802">
        <f t="shared" si="23"/>
        <v>0</v>
      </c>
    </row>
    <row r="89" spans="1:19">
      <c r="A89" s="968"/>
      <c r="B89" s="137"/>
      <c r="C89" s="53">
        <f t="shared" si="13"/>
        <v>1</v>
      </c>
      <c r="D89" s="966"/>
      <c r="E89" s="53">
        <f t="shared" si="14"/>
        <v>0.02</v>
      </c>
      <c r="F89" s="966"/>
      <c r="G89" s="53">
        <f t="shared" si="15"/>
        <v>1</v>
      </c>
      <c r="H89" s="966"/>
      <c r="I89" s="53">
        <f t="shared" si="16"/>
        <v>1</v>
      </c>
      <c r="J89" s="966"/>
      <c r="K89" s="53">
        <f t="shared" si="17"/>
        <v>1</v>
      </c>
      <c r="L89" s="966"/>
      <c r="M89" s="53">
        <f t="shared" si="18"/>
        <v>1</v>
      </c>
      <c r="N89" s="966"/>
      <c r="O89" s="53">
        <f t="shared" si="19"/>
        <v>1</v>
      </c>
      <c r="P89" s="966"/>
      <c r="Q89" s="53">
        <f t="shared" si="20"/>
        <v>1</v>
      </c>
      <c r="R89" s="493">
        <f t="shared" si="21"/>
        <v>0</v>
      </c>
      <c r="S89" s="802">
        <f t="shared" si="23"/>
        <v>0</v>
      </c>
    </row>
    <row r="90" spans="1:19">
      <c r="A90" s="968"/>
      <c r="B90" s="137"/>
      <c r="C90" s="53">
        <f t="shared" ref="C90:C153" si="24">IF(B90="",1,(LOOKUP(B90,$3:$3,$4:$4)-LOOKUP($B$24,$3:$3,$4:$4)+100)/100)</f>
        <v>1</v>
      </c>
      <c r="D90" s="966"/>
      <c r="E90" s="53">
        <f t="shared" ref="E90:E153" si="25">(SUMIF($5:$5,D90,$6:$6)-SUMIF($5:$5,$D$24,$6:$6)+100)/100</f>
        <v>0.02</v>
      </c>
      <c r="F90" s="966"/>
      <c r="G90" s="53">
        <f t="shared" ref="G90:G153" si="26">(SUMIF($7:$7,F90,$8:$8)-SUMIF($7:$7,$F$24,$8:$8)+100)/100</f>
        <v>1</v>
      </c>
      <c r="H90" s="966"/>
      <c r="I90" s="53">
        <f t="shared" ref="I90:I153" si="27">(SUMIF($9:$9,H90,$10:$10)-SUMIF($9:$9,$H$24,$10:$10)+100)/100</f>
        <v>1</v>
      </c>
      <c r="J90" s="966"/>
      <c r="K90" s="53">
        <f t="shared" ref="K90:K153" si="28">(SUMIF($11:$11,J90,$12:$12)-SUMIF($11:$11,$J$24,$12:$12)+100)/100</f>
        <v>1</v>
      </c>
      <c r="L90" s="966"/>
      <c r="M90" s="53">
        <f t="shared" ref="M90:M153" si="29">(SUMIF($13:$13,L90,$14:$14)-SUMIF($13:$13,$L$24,$14:$14)+100)/100</f>
        <v>1</v>
      </c>
      <c r="N90" s="966"/>
      <c r="O90" s="53">
        <f t="shared" ref="O90:O153" si="30">(SUMIF($15:$15,N90,$16:$16)-SUMIF($15:$15,$N$24,$16:$16)+100)/100</f>
        <v>1</v>
      </c>
      <c r="P90" s="966"/>
      <c r="Q90" s="53">
        <f t="shared" ref="Q90:Q153" si="31">(SUMIF($17:$17,P90,$18:$18)-SUMIF($17:$17,$P$24,$18:$18)+100)/100</f>
        <v>1</v>
      </c>
      <c r="R90" s="493">
        <f t="shared" ref="R90:R153" si="32">IF(B90="",0,ROUND($R$24*C90*E90*G90*I90*K90*M90*O90*Q90,0))</f>
        <v>0</v>
      </c>
      <c r="S90" s="802">
        <f t="shared" si="23"/>
        <v>0</v>
      </c>
    </row>
    <row r="91" spans="1:19">
      <c r="A91" s="968"/>
      <c r="B91" s="137"/>
      <c r="C91" s="53">
        <f t="shared" si="24"/>
        <v>1</v>
      </c>
      <c r="D91" s="966"/>
      <c r="E91" s="53">
        <f t="shared" si="25"/>
        <v>0.02</v>
      </c>
      <c r="F91" s="966"/>
      <c r="G91" s="53">
        <f t="shared" si="26"/>
        <v>1</v>
      </c>
      <c r="H91" s="966"/>
      <c r="I91" s="53">
        <f t="shared" si="27"/>
        <v>1</v>
      </c>
      <c r="J91" s="966"/>
      <c r="K91" s="53">
        <f t="shared" si="28"/>
        <v>1</v>
      </c>
      <c r="L91" s="966"/>
      <c r="M91" s="53">
        <f t="shared" si="29"/>
        <v>1</v>
      </c>
      <c r="N91" s="966"/>
      <c r="O91" s="53">
        <f t="shared" si="30"/>
        <v>1</v>
      </c>
      <c r="P91" s="966"/>
      <c r="Q91" s="53">
        <f t="shared" si="31"/>
        <v>1</v>
      </c>
      <c r="R91" s="493">
        <f t="shared" si="32"/>
        <v>0</v>
      </c>
      <c r="S91" s="802">
        <f t="shared" si="23"/>
        <v>0</v>
      </c>
    </row>
    <row r="92" spans="1:19">
      <c r="A92" s="968"/>
      <c r="B92" s="137"/>
      <c r="C92" s="53">
        <f t="shared" si="24"/>
        <v>1</v>
      </c>
      <c r="D92" s="966"/>
      <c r="E92" s="53">
        <f t="shared" si="25"/>
        <v>0.02</v>
      </c>
      <c r="F92" s="966"/>
      <c r="G92" s="53">
        <f t="shared" si="26"/>
        <v>1</v>
      </c>
      <c r="H92" s="966"/>
      <c r="I92" s="53">
        <f t="shared" si="27"/>
        <v>1</v>
      </c>
      <c r="J92" s="966"/>
      <c r="K92" s="53">
        <f t="shared" si="28"/>
        <v>1</v>
      </c>
      <c r="L92" s="966"/>
      <c r="M92" s="53">
        <f t="shared" si="29"/>
        <v>1</v>
      </c>
      <c r="N92" s="966"/>
      <c r="O92" s="53">
        <f t="shared" si="30"/>
        <v>1</v>
      </c>
      <c r="P92" s="966"/>
      <c r="Q92" s="53">
        <f t="shared" si="31"/>
        <v>1</v>
      </c>
      <c r="R92" s="493">
        <f t="shared" si="32"/>
        <v>0</v>
      </c>
      <c r="S92" s="802">
        <f t="shared" si="23"/>
        <v>0</v>
      </c>
    </row>
    <row r="93" spans="1:19">
      <c r="A93" s="968"/>
      <c r="B93" s="137"/>
      <c r="C93" s="53">
        <f t="shared" si="24"/>
        <v>1</v>
      </c>
      <c r="D93" s="966"/>
      <c r="E93" s="53">
        <f t="shared" si="25"/>
        <v>0.02</v>
      </c>
      <c r="F93" s="966"/>
      <c r="G93" s="53">
        <f t="shared" si="26"/>
        <v>1</v>
      </c>
      <c r="H93" s="966"/>
      <c r="I93" s="53">
        <f t="shared" si="27"/>
        <v>1</v>
      </c>
      <c r="J93" s="966"/>
      <c r="K93" s="53">
        <f t="shared" si="28"/>
        <v>1</v>
      </c>
      <c r="L93" s="966"/>
      <c r="M93" s="53">
        <f t="shared" si="29"/>
        <v>1</v>
      </c>
      <c r="N93" s="966"/>
      <c r="O93" s="53">
        <f t="shared" si="30"/>
        <v>1</v>
      </c>
      <c r="P93" s="966"/>
      <c r="Q93" s="53">
        <f t="shared" si="31"/>
        <v>1</v>
      </c>
      <c r="R93" s="493">
        <f t="shared" si="32"/>
        <v>0</v>
      </c>
      <c r="S93" s="802">
        <f t="shared" si="23"/>
        <v>0</v>
      </c>
    </row>
    <row r="94" spans="1:19">
      <c r="A94" s="968"/>
      <c r="B94" s="137"/>
      <c r="C94" s="53">
        <f t="shared" si="24"/>
        <v>1</v>
      </c>
      <c r="D94" s="966"/>
      <c r="E94" s="53">
        <f t="shared" si="25"/>
        <v>0.02</v>
      </c>
      <c r="F94" s="966"/>
      <c r="G94" s="53">
        <f t="shared" si="26"/>
        <v>1</v>
      </c>
      <c r="H94" s="966"/>
      <c r="I94" s="53">
        <f t="shared" si="27"/>
        <v>1</v>
      </c>
      <c r="J94" s="966"/>
      <c r="K94" s="53">
        <f t="shared" si="28"/>
        <v>1</v>
      </c>
      <c r="L94" s="966"/>
      <c r="M94" s="53">
        <f t="shared" si="29"/>
        <v>1</v>
      </c>
      <c r="N94" s="966"/>
      <c r="O94" s="53">
        <f t="shared" si="30"/>
        <v>1</v>
      </c>
      <c r="P94" s="966"/>
      <c r="Q94" s="53">
        <f t="shared" si="31"/>
        <v>1</v>
      </c>
      <c r="R94" s="493">
        <f t="shared" si="32"/>
        <v>0</v>
      </c>
      <c r="S94" s="802">
        <f t="shared" si="23"/>
        <v>0</v>
      </c>
    </row>
    <row r="95" spans="1:19">
      <c r="A95" s="968"/>
      <c r="B95" s="137"/>
      <c r="C95" s="53">
        <f t="shared" si="24"/>
        <v>1</v>
      </c>
      <c r="D95" s="966"/>
      <c r="E95" s="53">
        <f t="shared" si="25"/>
        <v>0.02</v>
      </c>
      <c r="F95" s="966"/>
      <c r="G95" s="53">
        <f t="shared" si="26"/>
        <v>1</v>
      </c>
      <c r="H95" s="966"/>
      <c r="I95" s="53">
        <f t="shared" si="27"/>
        <v>1</v>
      </c>
      <c r="J95" s="966"/>
      <c r="K95" s="53">
        <f t="shared" si="28"/>
        <v>1</v>
      </c>
      <c r="L95" s="966"/>
      <c r="M95" s="53">
        <f t="shared" si="29"/>
        <v>1</v>
      </c>
      <c r="N95" s="966"/>
      <c r="O95" s="53">
        <f t="shared" si="30"/>
        <v>1</v>
      </c>
      <c r="P95" s="966"/>
      <c r="Q95" s="53">
        <f t="shared" si="31"/>
        <v>1</v>
      </c>
      <c r="R95" s="493">
        <f t="shared" si="32"/>
        <v>0</v>
      </c>
      <c r="S95" s="802">
        <f t="shared" si="23"/>
        <v>0</v>
      </c>
    </row>
    <row r="96" spans="1:19">
      <c r="A96" s="968"/>
      <c r="B96" s="137"/>
      <c r="C96" s="53">
        <f t="shared" si="24"/>
        <v>1</v>
      </c>
      <c r="D96" s="966"/>
      <c r="E96" s="53">
        <f t="shared" si="25"/>
        <v>0.02</v>
      </c>
      <c r="F96" s="966"/>
      <c r="G96" s="53">
        <f t="shared" si="26"/>
        <v>1</v>
      </c>
      <c r="H96" s="966"/>
      <c r="I96" s="53">
        <f t="shared" si="27"/>
        <v>1</v>
      </c>
      <c r="J96" s="966"/>
      <c r="K96" s="53">
        <f t="shared" si="28"/>
        <v>1</v>
      </c>
      <c r="L96" s="966"/>
      <c r="M96" s="53">
        <f t="shared" si="29"/>
        <v>1</v>
      </c>
      <c r="N96" s="966"/>
      <c r="O96" s="53">
        <f t="shared" si="30"/>
        <v>1</v>
      </c>
      <c r="P96" s="966"/>
      <c r="Q96" s="53">
        <f t="shared" si="31"/>
        <v>1</v>
      </c>
      <c r="R96" s="493">
        <f t="shared" si="32"/>
        <v>0</v>
      </c>
      <c r="S96" s="802">
        <f t="shared" si="23"/>
        <v>0</v>
      </c>
    </row>
    <row r="97" spans="1:19">
      <c r="A97" s="968"/>
      <c r="B97" s="137"/>
      <c r="C97" s="53">
        <f t="shared" si="24"/>
        <v>1</v>
      </c>
      <c r="D97" s="966"/>
      <c r="E97" s="53">
        <f t="shared" si="25"/>
        <v>0.02</v>
      </c>
      <c r="F97" s="966"/>
      <c r="G97" s="53">
        <f t="shared" si="26"/>
        <v>1</v>
      </c>
      <c r="H97" s="966"/>
      <c r="I97" s="53">
        <f t="shared" si="27"/>
        <v>1</v>
      </c>
      <c r="J97" s="966"/>
      <c r="K97" s="53">
        <f t="shared" si="28"/>
        <v>1</v>
      </c>
      <c r="L97" s="966"/>
      <c r="M97" s="53">
        <f t="shared" si="29"/>
        <v>1</v>
      </c>
      <c r="N97" s="966"/>
      <c r="O97" s="53">
        <f t="shared" si="30"/>
        <v>1</v>
      </c>
      <c r="P97" s="966"/>
      <c r="Q97" s="53">
        <f t="shared" si="31"/>
        <v>1</v>
      </c>
      <c r="R97" s="493">
        <f t="shared" si="32"/>
        <v>0</v>
      </c>
      <c r="S97" s="802">
        <f t="shared" si="23"/>
        <v>0</v>
      </c>
    </row>
    <row r="98" spans="1:19">
      <c r="A98" s="968"/>
      <c r="B98" s="137"/>
      <c r="C98" s="53">
        <f t="shared" si="24"/>
        <v>1</v>
      </c>
      <c r="D98" s="966"/>
      <c r="E98" s="53">
        <f t="shared" si="25"/>
        <v>0.02</v>
      </c>
      <c r="F98" s="966"/>
      <c r="G98" s="53">
        <f t="shared" si="26"/>
        <v>1</v>
      </c>
      <c r="H98" s="966"/>
      <c r="I98" s="53">
        <f t="shared" si="27"/>
        <v>1</v>
      </c>
      <c r="J98" s="966"/>
      <c r="K98" s="53">
        <f t="shared" si="28"/>
        <v>1</v>
      </c>
      <c r="L98" s="966"/>
      <c r="M98" s="53">
        <f t="shared" si="29"/>
        <v>1</v>
      </c>
      <c r="N98" s="966"/>
      <c r="O98" s="53">
        <f t="shared" si="30"/>
        <v>1</v>
      </c>
      <c r="P98" s="966"/>
      <c r="Q98" s="53">
        <f t="shared" si="31"/>
        <v>1</v>
      </c>
      <c r="R98" s="493">
        <f t="shared" si="32"/>
        <v>0</v>
      </c>
      <c r="S98" s="802">
        <f t="shared" si="23"/>
        <v>0</v>
      </c>
    </row>
    <row r="99" spans="1:19">
      <c r="A99" s="968"/>
      <c r="B99" s="137"/>
      <c r="C99" s="53">
        <f t="shared" si="24"/>
        <v>1</v>
      </c>
      <c r="D99" s="966"/>
      <c r="E99" s="53">
        <f t="shared" si="25"/>
        <v>0.02</v>
      </c>
      <c r="F99" s="966"/>
      <c r="G99" s="53">
        <f t="shared" si="26"/>
        <v>1</v>
      </c>
      <c r="H99" s="966"/>
      <c r="I99" s="53">
        <f t="shared" si="27"/>
        <v>1</v>
      </c>
      <c r="J99" s="966"/>
      <c r="K99" s="53">
        <f t="shared" si="28"/>
        <v>1</v>
      </c>
      <c r="L99" s="966"/>
      <c r="M99" s="53">
        <f t="shared" si="29"/>
        <v>1</v>
      </c>
      <c r="N99" s="966"/>
      <c r="O99" s="53">
        <f t="shared" si="30"/>
        <v>1</v>
      </c>
      <c r="P99" s="966"/>
      <c r="Q99" s="53">
        <f t="shared" si="31"/>
        <v>1</v>
      </c>
      <c r="R99" s="493">
        <f t="shared" si="32"/>
        <v>0</v>
      </c>
      <c r="S99" s="802">
        <f t="shared" si="23"/>
        <v>0</v>
      </c>
    </row>
    <row r="100" spans="1:19">
      <c r="A100" s="968"/>
      <c r="B100" s="137"/>
      <c r="C100" s="53">
        <f t="shared" si="24"/>
        <v>1</v>
      </c>
      <c r="D100" s="966"/>
      <c r="E100" s="53">
        <f t="shared" si="25"/>
        <v>0.02</v>
      </c>
      <c r="F100" s="966"/>
      <c r="G100" s="53">
        <f t="shared" si="26"/>
        <v>1</v>
      </c>
      <c r="H100" s="966"/>
      <c r="I100" s="53">
        <f t="shared" si="27"/>
        <v>1</v>
      </c>
      <c r="J100" s="966"/>
      <c r="K100" s="53">
        <f t="shared" si="28"/>
        <v>1</v>
      </c>
      <c r="L100" s="966"/>
      <c r="M100" s="53">
        <f t="shared" si="29"/>
        <v>1</v>
      </c>
      <c r="N100" s="966"/>
      <c r="O100" s="53">
        <f t="shared" si="30"/>
        <v>1</v>
      </c>
      <c r="P100" s="966"/>
      <c r="Q100" s="53">
        <f t="shared" si="31"/>
        <v>1</v>
      </c>
      <c r="R100" s="493">
        <f t="shared" si="32"/>
        <v>0</v>
      </c>
      <c r="S100" s="802">
        <f t="shared" si="23"/>
        <v>0</v>
      </c>
    </row>
    <row r="101" spans="1:19">
      <c r="A101" s="968"/>
      <c r="B101" s="137"/>
      <c r="C101" s="53">
        <f t="shared" si="24"/>
        <v>1</v>
      </c>
      <c r="D101" s="966"/>
      <c r="E101" s="53">
        <f t="shared" si="25"/>
        <v>0.02</v>
      </c>
      <c r="F101" s="966"/>
      <c r="G101" s="53">
        <f t="shared" si="26"/>
        <v>1</v>
      </c>
      <c r="H101" s="966"/>
      <c r="I101" s="53">
        <f t="shared" si="27"/>
        <v>1</v>
      </c>
      <c r="J101" s="966"/>
      <c r="K101" s="53">
        <f t="shared" si="28"/>
        <v>1</v>
      </c>
      <c r="L101" s="966"/>
      <c r="M101" s="53">
        <f t="shared" si="29"/>
        <v>1</v>
      </c>
      <c r="N101" s="966"/>
      <c r="O101" s="53">
        <f t="shared" si="30"/>
        <v>1</v>
      </c>
      <c r="P101" s="966"/>
      <c r="Q101" s="53">
        <f t="shared" si="31"/>
        <v>1</v>
      </c>
      <c r="R101" s="493">
        <f t="shared" si="32"/>
        <v>0</v>
      </c>
      <c r="S101" s="802">
        <f t="shared" si="23"/>
        <v>0</v>
      </c>
    </row>
    <row r="102" spans="1:19">
      <c r="A102" s="968"/>
      <c r="B102" s="137"/>
      <c r="C102" s="53">
        <f t="shared" si="24"/>
        <v>1</v>
      </c>
      <c r="D102" s="966"/>
      <c r="E102" s="53">
        <f t="shared" si="25"/>
        <v>0.02</v>
      </c>
      <c r="F102" s="966"/>
      <c r="G102" s="53">
        <f t="shared" si="26"/>
        <v>1</v>
      </c>
      <c r="H102" s="966"/>
      <c r="I102" s="53">
        <f t="shared" si="27"/>
        <v>1</v>
      </c>
      <c r="J102" s="966"/>
      <c r="K102" s="53">
        <f t="shared" si="28"/>
        <v>1</v>
      </c>
      <c r="L102" s="966"/>
      <c r="M102" s="53">
        <f t="shared" si="29"/>
        <v>1</v>
      </c>
      <c r="N102" s="966"/>
      <c r="O102" s="53">
        <f t="shared" si="30"/>
        <v>1</v>
      </c>
      <c r="P102" s="966"/>
      <c r="Q102" s="53">
        <f t="shared" si="31"/>
        <v>1</v>
      </c>
      <c r="R102" s="493">
        <f t="shared" si="32"/>
        <v>0</v>
      </c>
      <c r="S102" s="802">
        <f t="shared" si="23"/>
        <v>0</v>
      </c>
    </row>
    <row r="103" spans="1:19">
      <c r="A103" s="968"/>
      <c r="B103" s="137"/>
      <c r="C103" s="53">
        <f t="shared" si="24"/>
        <v>1</v>
      </c>
      <c r="D103" s="966"/>
      <c r="E103" s="53">
        <f t="shared" si="25"/>
        <v>0.02</v>
      </c>
      <c r="F103" s="966"/>
      <c r="G103" s="53">
        <f t="shared" si="26"/>
        <v>1</v>
      </c>
      <c r="H103" s="966"/>
      <c r="I103" s="53">
        <f t="shared" si="27"/>
        <v>1</v>
      </c>
      <c r="J103" s="966"/>
      <c r="K103" s="53">
        <f t="shared" si="28"/>
        <v>1</v>
      </c>
      <c r="L103" s="966"/>
      <c r="M103" s="53">
        <f t="shared" si="29"/>
        <v>1</v>
      </c>
      <c r="N103" s="966"/>
      <c r="O103" s="53">
        <f t="shared" si="30"/>
        <v>1</v>
      </c>
      <c r="P103" s="966"/>
      <c r="Q103" s="53">
        <f t="shared" si="31"/>
        <v>1</v>
      </c>
      <c r="R103" s="493">
        <f t="shared" si="32"/>
        <v>0</v>
      </c>
      <c r="S103" s="802">
        <f t="shared" si="23"/>
        <v>0</v>
      </c>
    </row>
    <row r="104" spans="1:19">
      <c r="A104" s="968"/>
      <c r="B104" s="137"/>
      <c r="C104" s="53">
        <f t="shared" si="24"/>
        <v>1</v>
      </c>
      <c r="D104" s="966"/>
      <c r="E104" s="53">
        <f t="shared" si="25"/>
        <v>0.02</v>
      </c>
      <c r="F104" s="966"/>
      <c r="G104" s="53">
        <f t="shared" si="26"/>
        <v>1</v>
      </c>
      <c r="H104" s="966"/>
      <c r="I104" s="53">
        <f t="shared" si="27"/>
        <v>1</v>
      </c>
      <c r="J104" s="966"/>
      <c r="K104" s="53">
        <f t="shared" si="28"/>
        <v>1</v>
      </c>
      <c r="L104" s="966"/>
      <c r="M104" s="53">
        <f t="shared" si="29"/>
        <v>1</v>
      </c>
      <c r="N104" s="966"/>
      <c r="O104" s="53">
        <f t="shared" si="30"/>
        <v>1</v>
      </c>
      <c r="P104" s="966"/>
      <c r="Q104" s="53">
        <f t="shared" si="31"/>
        <v>1</v>
      </c>
      <c r="R104" s="493">
        <f t="shared" si="32"/>
        <v>0</v>
      </c>
      <c r="S104" s="802">
        <f t="shared" si="23"/>
        <v>0</v>
      </c>
    </row>
    <row r="105" spans="1:19">
      <c r="A105" s="968"/>
      <c r="B105" s="137"/>
      <c r="C105" s="53">
        <f t="shared" si="24"/>
        <v>1</v>
      </c>
      <c r="D105" s="966"/>
      <c r="E105" s="53">
        <f t="shared" si="25"/>
        <v>0.02</v>
      </c>
      <c r="F105" s="966"/>
      <c r="G105" s="53">
        <f t="shared" si="26"/>
        <v>1</v>
      </c>
      <c r="H105" s="966"/>
      <c r="I105" s="53">
        <f t="shared" si="27"/>
        <v>1</v>
      </c>
      <c r="J105" s="966"/>
      <c r="K105" s="53">
        <f t="shared" si="28"/>
        <v>1</v>
      </c>
      <c r="L105" s="966"/>
      <c r="M105" s="53">
        <f t="shared" si="29"/>
        <v>1</v>
      </c>
      <c r="N105" s="966"/>
      <c r="O105" s="53">
        <f t="shared" si="30"/>
        <v>1</v>
      </c>
      <c r="P105" s="966"/>
      <c r="Q105" s="53">
        <f t="shared" si="31"/>
        <v>1</v>
      </c>
      <c r="R105" s="493">
        <f t="shared" si="32"/>
        <v>0</v>
      </c>
      <c r="S105" s="802">
        <f t="shared" si="23"/>
        <v>0</v>
      </c>
    </row>
    <row r="106" spans="1:19">
      <c r="A106" s="968"/>
      <c r="B106" s="137"/>
      <c r="C106" s="53">
        <f t="shared" si="24"/>
        <v>1</v>
      </c>
      <c r="D106" s="966"/>
      <c r="E106" s="53">
        <f t="shared" si="25"/>
        <v>0.02</v>
      </c>
      <c r="F106" s="966"/>
      <c r="G106" s="53">
        <f t="shared" si="26"/>
        <v>1</v>
      </c>
      <c r="H106" s="966"/>
      <c r="I106" s="53">
        <f t="shared" si="27"/>
        <v>1</v>
      </c>
      <c r="J106" s="966"/>
      <c r="K106" s="53">
        <f t="shared" si="28"/>
        <v>1</v>
      </c>
      <c r="L106" s="966"/>
      <c r="M106" s="53">
        <f t="shared" si="29"/>
        <v>1</v>
      </c>
      <c r="N106" s="966"/>
      <c r="O106" s="53">
        <f t="shared" si="30"/>
        <v>1</v>
      </c>
      <c r="P106" s="966"/>
      <c r="Q106" s="53">
        <f t="shared" si="31"/>
        <v>1</v>
      </c>
      <c r="R106" s="493">
        <f t="shared" si="32"/>
        <v>0</v>
      </c>
      <c r="S106" s="802">
        <f t="shared" si="23"/>
        <v>0</v>
      </c>
    </row>
    <row r="107" spans="1:19">
      <c r="A107" s="968"/>
      <c r="B107" s="137"/>
      <c r="C107" s="53">
        <f t="shared" si="24"/>
        <v>1</v>
      </c>
      <c r="D107" s="966"/>
      <c r="E107" s="53">
        <f t="shared" si="25"/>
        <v>0.02</v>
      </c>
      <c r="F107" s="966"/>
      <c r="G107" s="53">
        <f t="shared" si="26"/>
        <v>1</v>
      </c>
      <c r="H107" s="966"/>
      <c r="I107" s="53">
        <f t="shared" si="27"/>
        <v>1</v>
      </c>
      <c r="J107" s="966"/>
      <c r="K107" s="53">
        <f t="shared" si="28"/>
        <v>1</v>
      </c>
      <c r="L107" s="966"/>
      <c r="M107" s="53">
        <f t="shared" si="29"/>
        <v>1</v>
      </c>
      <c r="N107" s="966"/>
      <c r="O107" s="53">
        <f t="shared" si="30"/>
        <v>1</v>
      </c>
      <c r="P107" s="966"/>
      <c r="Q107" s="53">
        <f t="shared" si="31"/>
        <v>1</v>
      </c>
      <c r="R107" s="493">
        <f t="shared" si="32"/>
        <v>0</v>
      </c>
      <c r="S107" s="802">
        <f t="shared" si="23"/>
        <v>0</v>
      </c>
    </row>
    <row r="108" spans="1:19">
      <c r="A108" s="968"/>
      <c r="B108" s="137"/>
      <c r="C108" s="53">
        <f t="shared" si="24"/>
        <v>1</v>
      </c>
      <c r="D108" s="966"/>
      <c r="E108" s="53">
        <f t="shared" si="25"/>
        <v>0.02</v>
      </c>
      <c r="F108" s="966"/>
      <c r="G108" s="53">
        <f t="shared" si="26"/>
        <v>1</v>
      </c>
      <c r="H108" s="966"/>
      <c r="I108" s="53">
        <f t="shared" si="27"/>
        <v>1</v>
      </c>
      <c r="J108" s="966"/>
      <c r="K108" s="53">
        <f t="shared" si="28"/>
        <v>1</v>
      </c>
      <c r="L108" s="966"/>
      <c r="M108" s="53">
        <f t="shared" si="29"/>
        <v>1</v>
      </c>
      <c r="N108" s="966"/>
      <c r="O108" s="53">
        <f t="shared" si="30"/>
        <v>1</v>
      </c>
      <c r="P108" s="966"/>
      <c r="Q108" s="53">
        <f t="shared" si="31"/>
        <v>1</v>
      </c>
      <c r="R108" s="493">
        <f t="shared" si="32"/>
        <v>0</v>
      </c>
      <c r="S108" s="802">
        <f t="shared" si="23"/>
        <v>0</v>
      </c>
    </row>
    <row r="109" spans="1:19">
      <c r="A109" s="968"/>
      <c r="B109" s="137"/>
      <c r="C109" s="53">
        <f t="shared" si="24"/>
        <v>1</v>
      </c>
      <c r="D109" s="966"/>
      <c r="E109" s="53">
        <f t="shared" si="25"/>
        <v>0.02</v>
      </c>
      <c r="F109" s="966"/>
      <c r="G109" s="53">
        <f t="shared" si="26"/>
        <v>1</v>
      </c>
      <c r="H109" s="966"/>
      <c r="I109" s="53">
        <f t="shared" si="27"/>
        <v>1</v>
      </c>
      <c r="J109" s="966"/>
      <c r="K109" s="53">
        <f t="shared" si="28"/>
        <v>1</v>
      </c>
      <c r="L109" s="966"/>
      <c r="M109" s="53">
        <f t="shared" si="29"/>
        <v>1</v>
      </c>
      <c r="N109" s="966"/>
      <c r="O109" s="53">
        <f t="shared" si="30"/>
        <v>1</v>
      </c>
      <c r="P109" s="966"/>
      <c r="Q109" s="53">
        <f t="shared" si="31"/>
        <v>1</v>
      </c>
      <c r="R109" s="493">
        <f t="shared" si="32"/>
        <v>0</v>
      </c>
      <c r="S109" s="802">
        <f t="shared" si="23"/>
        <v>0</v>
      </c>
    </row>
    <row r="110" spans="1:19">
      <c r="A110" s="968"/>
      <c r="B110" s="137"/>
      <c r="C110" s="53">
        <f t="shared" si="24"/>
        <v>1</v>
      </c>
      <c r="D110" s="966"/>
      <c r="E110" s="53">
        <f t="shared" si="25"/>
        <v>0.02</v>
      </c>
      <c r="F110" s="966"/>
      <c r="G110" s="53">
        <f t="shared" si="26"/>
        <v>1</v>
      </c>
      <c r="H110" s="966"/>
      <c r="I110" s="53">
        <f t="shared" si="27"/>
        <v>1</v>
      </c>
      <c r="J110" s="966"/>
      <c r="K110" s="53">
        <f t="shared" si="28"/>
        <v>1</v>
      </c>
      <c r="L110" s="966"/>
      <c r="M110" s="53">
        <f t="shared" si="29"/>
        <v>1</v>
      </c>
      <c r="N110" s="966"/>
      <c r="O110" s="53">
        <f t="shared" si="30"/>
        <v>1</v>
      </c>
      <c r="P110" s="966"/>
      <c r="Q110" s="53">
        <f t="shared" si="31"/>
        <v>1</v>
      </c>
      <c r="R110" s="493">
        <f t="shared" si="32"/>
        <v>0</v>
      </c>
      <c r="S110" s="802">
        <f t="shared" si="23"/>
        <v>0</v>
      </c>
    </row>
    <row r="111" spans="1:19">
      <c r="A111" s="968"/>
      <c r="B111" s="137"/>
      <c r="C111" s="53">
        <f t="shared" si="24"/>
        <v>1</v>
      </c>
      <c r="D111" s="966"/>
      <c r="E111" s="53">
        <f t="shared" si="25"/>
        <v>0.02</v>
      </c>
      <c r="F111" s="966"/>
      <c r="G111" s="53">
        <f t="shared" si="26"/>
        <v>1</v>
      </c>
      <c r="H111" s="966"/>
      <c r="I111" s="53">
        <f t="shared" si="27"/>
        <v>1</v>
      </c>
      <c r="J111" s="966"/>
      <c r="K111" s="53">
        <f t="shared" si="28"/>
        <v>1</v>
      </c>
      <c r="L111" s="966"/>
      <c r="M111" s="53">
        <f t="shared" si="29"/>
        <v>1</v>
      </c>
      <c r="N111" s="966"/>
      <c r="O111" s="53">
        <f t="shared" si="30"/>
        <v>1</v>
      </c>
      <c r="P111" s="966"/>
      <c r="Q111" s="53">
        <f t="shared" si="31"/>
        <v>1</v>
      </c>
      <c r="R111" s="493">
        <f t="shared" si="32"/>
        <v>0</v>
      </c>
      <c r="S111" s="802">
        <f t="shared" si="23"/>
        <v>0</v>
      </c>
    </row>
    <row r="112" spans="1:19">
      <c r="A112" s="968"/>
      <c r="B112" s="137"/>
      <c r="C112" s="53">
        <f t="shared" si="24"/>
        <v>1</v>
      </c>
      <c r="D112" s="966"/>
      <c r="E112" s="53">
        <f t="shared" si="25"/>
        <v>0.02</v>
      </c>
      <c r="F112" s="966"/>
      <c r="G112" s="53">
        <f t="shared" si="26"/>
        <v>1</v>
      </c>
      <c r="H112" s="966"/>
      <c r="I112" s="53">
        <f t="shared" si="27"/>
        <v>1</v>
      </c>
      <c r="J112" s="966"/>
      <c r="K112" s="53">
        <f t="shared" si="28"/>
        <v>1</v>
      </c>
      <c r="L112" s="966"/>
      <c r="M112" s="53">
        <f t="shared" si="29"/>
        <v>1</v>
      </c>
      <c r="N112" s="966"/>
      <c r="O112" s="53">
        <f t="shared" si="30"/>
        <v>1</v>
      </c>
      <c r="P112" s="966"/>
      <c r="Q112" s="53">
        <f t="shared" si="31"/>
        <v>1</v>
      </c>
      <c r="R112" s="493">
        <f t="shared" si="32"/>
        <v>0</v>
      </c>
      <c r="S112" s="802">
        <f t="shared" si="23"/>
        <v>0</v>
      </c>
    </row>
    <row r="113" spans="1:19">
      <c r="A113" s="968"/>
      <c r="B113" s="137"/>
      <c r="C113" s="53">
        <f t="shared" si="24"/>
        <v>1</v>
      </c>
      <c r="D113" s="966"/>
      <c r="E113" s="53">
        <f t="shared" si="25"/>
        <v>0.02</v>
      </c>
      <c r="F113" s="966"/>
      <c r="G113" s="53">
        <f t="shared" si="26"/>
        <v>1</v>
      </c>
      <c r="H113" s="966"/>
      <c r="I113" s="53">
        <f t="shared" si="27"/>
        <v>1</v>
      </c>
      <c r="J113" s="966"/>
      <c r="K113" s="53">
        <f t="shared" si="28"/>
        <v>1</v>
      </c>
      <c r="L113" s="966"/>
      <c r="M113" s="53">
        <f t="shared" si="29"/>
        <v>1</v>
      </c>
      <c r="N113" s="966"/>
      <c r="O113" s="53">
        <f t="shared" si="30"/>
        <v>1</v>
      </c>
      <c r="P113" s="966"/>
      <c r="Q113" s="53">
        <f t="shared" si="31"/>
        <v>1</v>
      </c>
      <c r="R113" s="493">
        <f t="shared" si="32"/>
        <v>0</v>
      </c>
      <c r="S113" s="802">
        <f t="shared" si="23"/>
        <v>0</v>
      </c>
    </row>
    <row r="114" spans="1:19">
      <c r="A114" s="968"/>
      <c r="B114" s="137"/>
      <c r="C114" s="53">
        <f t="shared" si="24"/>
        <v>1</v>
      </c>
      <c r="D114" s="966"/>
      <c r="E114" s="53">
        <f t="shared" si="25"/>
        <v>0.02</v>
      </c>
      <c r="F114" s="966"/>
      <c r="G114" s="53">
        <f t="shared" si="26"/>
        <v>1</v>
      </c>
      <c r="H114" s="966"/>
      <c r="I114" s="53">
        <f t="shared" si="27"/>
        <v>1</v>
      </c>
      <c r="J114" s="966"/>
      <c r="K114" s="53">
        <f t="shared" si="28"/>
        <v>1</v>
      </c>
      <c r="L114" s="966"/>
      <c r="M114" s="53">
        <f t="shared" si="29"/>
        <v>1</v>
      </c>
      <c r="N114" s="966"/>
      <c r="O114" s="53">
        <f t="shared" si="30"/>
        <v>1</v>
      </c>
      <c r="P114" s="966"/>
      <c r="Q114" s="53">
        <f t="shared" si="31"/>
        <v>1</v>
      </c>
      <c r="R114" s="493">
        <f t="shared" si="32"/>
        <v>0</v>
      </c>
      <c r="S114" s="802">
        <f t="shared" si="23"/>
        <v>0</v>
      </c>
    </row>
    <row r="115" spans="1:19">
      <c r="A115" s="968"/>
      <c r="B115" s="137"/>
      <c r="C115" s="53">
        <f t="shared" si="24"/>
        <v>1</v>
      </c>
      <c r="D115" s="966"/>
      <c r="E115" s="53">
        <f t="shared" si="25"/>
        <v>0.02</v>
      </c>
      <c r="F115" s="966"/>
      <c r="G115" s="53">
        <f t="shared" si="26"/>
        <v>1</v>
      </c>
      <c r="H115" s="966"/>
      <c r="I115" s="53">
        <f t="shared" si="27"/>
        <v>1</v>
      </c>
      <c r="J115" s="966"/>
      <c r="K115" s="53">
        <f t="shared" si="28"/>
        <v>1</v>
      </c>
      <c r="L115" s="966"/>
      <c r="M115" s="53">
        <f t="shared" si="29"/>
        <v>1</v>
      </c>
      <c r="N115" s="966"/>
      <c r="O115" s="53">
        <f t="shared" si="30"/>
        <v>1</v>
      </c>
      <c r="P115" s="966"/>
      <c r="Q115" s="53">
        <f t="shared" si="31"/>
        <v>1</v>
      </c>
      <c r="R115" s="493">
        <f t="shared" si="32"/>
        <v>0</v>
      </c>
      <c r="S115" s="802">
        <f t="shared" si="23"/>
        <v>0</v>
      </c>
    </row>
    <row r="116" spans="1:19">
      <c r="A116" s="968"/>
      <c r="B116" s="137"/>
      <c r="C116" s="53">
        <f t="shared" si="24"/>
        <v>1</v>
      </c>
      <c r="D116" s="966"/>
      <c r="E116" s="53">
        <f t="shared" si="25"/>
        <v>0.02</v>
      </c>
      <c r="F116" s="966"/>
      <c r="G116" s="53">
        <f t="shared" si="26"/>
        <v>1</v>
      </c>
      <c r="H116" s="966"/>
      <c r="I116" s="53">
        <f t="shared" si="27"/>
        <v>1</v>
      </c>
      <c r="J116" s="966"/>
      <c r="K116" s="53">
        <f t="shared" si="28"/>
        <v>1</v>
      </c>
      <c r="L116" s="966"/>
      <c r="M116" s="53">
        <f t="shared" si="29"/>
        <v>1</v>
      </c>
      <c r="N116" s="966"/>
      <c r="O116" s="53">
        <f t="shared" si="30"/>
        <v>1</v>
      </c>
      <c r="P116" s="966"/>
      <c r="Q116" s="53">
        <f t="shared" si="31"/>
        <v>1</v>
      </c>
      <c r="R116" s="493">
        <f t="shared" si="32"/>
        <v>0</v>
      </c>
      <c r="S116" s="802">
        <f t="shared" si="23"/>
        <v>0</v>
      </c>
    </row>
    <row r="117" spans="1:19">
      <c r="A117" s="968"/>
      <c r="B117" s="137"/>
      <c r="C117" s="53">
        <f t="shared" si="24"/>
        <v>1</v>
      </c>
      <c r="D117" s="966"/>
      <c r="E117" s="53">
        <f t="shared" si="25"/>
        <v>0.02</v>
      </c>
      <c r="F117" s="966"/>
      <c r="G117" s="53">
        <f t="shared" si="26"/>
        <v>1</v>
      </c>
      <c r="H117" s="966"/>
      <c r="I117" s="53">
        <f t="shared" si="27"/>
        <v>1</v>
      </c>
      <c r="J117" s="966"/>
      <c r="K117" s="53">
        <f t="shared" si="28"/>
        <v>1</v>
      </c>
      <c r="L117" s="966"/>
      <c r="M117" s="53">
        <f t="shared" si="29"/>
        <v>1</v>
      </c>
      <c r="N117" s="966"/>
      <c r="O117" s="53">
        <f t="shared" si="30"/>
        <v>1</v>
      </c>
      <c r="P117" s="966"/>
      <c r="Q117" s="53">
        <f t="shared" si="31"/>
        <v>1</v>
      </c>
      <c r="R117" s="493">
        <f t="shared" si="32"/>
        <v>0</v>
      </c>
      <c r="S117" s="802">
        <f t="shared" si="23"/>
        <v>0</v>
      </c>
    </row>
    <row r="118" spans="1:19">
      <c r="A118" s="968"/>
      <c r="B118" s="137"/>
      <c r="C118" s="53">
        <f t="shared" si="24"/>
        <v>1</v>
      </c>
      <c r="D118" s="966"/>
      <c r="E118" s="53">
        <f t="shared" si="25"/>
        <v>0.02</v>
      </c>
      <c r="F118" s="966"/>
      <c r="G118" s="53">
        <f t="shared" si="26"/>
        <v>1</v>
      </c>
      <c r="H118" s="966"/>
      <c r="I118" s="53">
        <f t="shared" si="27"/>
        <v>1</v>
      </c>
      <c r="J118" s="966"/>
      <c r="K118" s="53">
        <f t="shared" si="28"/>
        <v>1</v>
      </c>
      <c r="L118" s="966"/>
      <c r="M118" s="53">
        <f t="shared" si="29"/>
        <v>1</v>
      </c>
      <c r="N118" s="966"/>
      <c r="O118" s="53">
        <f t="shared" si="30"/>
        <v>1</v>
      </c>
      <c r="P118" s="966"/>
      <c r="Q118" s="53">
        <f t="shared" si="31"/>
        <v>1</v>
      </c>
      <c r="R118" s="493">
        <f t="shared" si="32"/>
        <v>0</v>
      </c>
      <c r="S118" s="802">
        <f t="shared" si="23"/>
        <v>0</v>
      </c>
    </row>
    <row r="119" spans="1:19">
      <c r="A119" s="968"/>
      <c r="B119" s="137"/>
      <c r="C119" s="53">
        <f t="shared" si="24"/>
        <v>1</v>
      </c>
      <c r="D119" s="966"/>
      <c r="E119" s="53">
        <f t="shared" si="25"/>
        <v>0.02</v>
      </c>
      <c r="F119" s="966"/>
      <c r="G119" s="53">
        <f t="shared" si="26"/>
        <v>1</v>
      </c>
      <c r="H119" s="966"/>
      <c r="I119" s="53">
        <f t="shared" si="27"/>
        <v>1</v>
      </c>
      <c r="J119" s="966"/>
      <c r="K119" s="53">
        <f t="shared" si="28"/>
        <v>1</v>
      </c>
      <c r="L119" s="966"/>
      <c r="M119" s="53">
        <f t="shared" si="29"/>
        <v>1</v>
      </c>
      <c r="N119" s="966"/>
      <c r="O119" s="53">
        <f t="shared" si="30"/>
        <v>1</v>
      </c>
      <c r="P119" s="966"/>
      <c r="Q119" s="53">
        <f t="shared" si="31"/>
        <v>1</v>
      </c>
      <c r="R119" s="493">
        <f t="shared" si="32"/>
        <v>0</v>
      </c>
      <c r="S119" s="802">
        <f t="shared" si="23"/>
        <v>0</v>
      </c>
    </row>
    <row r="120" spans="1:19">
      <c r="A120" s="968"/>
      <c r="B120" s="137"/>
      <c r="C120" s="53">
        <f t="shared" si="24"/>
        <v>1</v>
      </c>
      <c r="D120" s="966"/>
      <c r="E120" s="53">
        <f t="shared" si="25"/>
        <v>0.02</v>
      </c>
      <c r="F120" s="966"/>
      <c r="G120" s="53">
        <f t="shared" si="26"/>
        <v>1</v>
      </c>
      <c r="H120" s="966"/>
      <c r="I120" s="53">
        <f t="shared" si="27"/>
        <v>1</v>
      </c>
      <c r="J120" s="966"/>
      <c r="K120" s="53">
        <f t="shared" si="28"/>
        <v>1</v>
      </c>
      <c r="L120" s="966"/>
      <c r="M120" s="53">
        <f t="shared" si="29"/>
        <v>1</v>
      </c>
      <c r="N120" s="966"/>
      <c r="O120" s="53">
        <f t="shared" si="30"/>
        <v>1</v>
      </c>
      <c r="P120" s="966"/>
      <c r="Q120" s="53">
        <f t="shared" si="31"/>
        <v>1</v>
      </c>
      <c r="R120" s="493">
        <f t="shared" si="32"/>
        <v>0</v>
      </c>
      <c r="S120" s="802">
        <f t="shared" si="23"/>
        <v>0</v>
      </c>
    </row>
    <row r="121" spans="1:19">
      <c r="A121" s="968"/>
      <c r="B121" s="137"/>
      <c r="C121" s="53">
        <f t="shared" si="24"/>
        <v>1</v>
      </c>
      <c r="D121" s="966"/>
      <c r="E121" s="53">
        <f t="shared" si="25"/>
        <v>0.02</v>
      </c>
      <c r="F121" s="966"/>
      <c r="G121" s="53">
        <f t="shared" si="26"/>
        <v>1</v>
      </c>
      <c r="H121" s="966"/>
      <c r="I121" s="53">
        <f t="shared" si="27"/>
        <v>1</v>
      </c>
      <c r="J121" s="966"/>
      <c r="K121" s="53">
        <f t="shared" si="28"/>
        <v>1</v>
      </c>
      <c r="L121" s="966"/>
      <c r="M121" s="53">
        <f t="shared" si="29"/>
        <v>1</v>
      </c>
      <c r="N121" s="966"/>
      <c r="O121" s="53">
        <f t="shared" si="30"/>
        <v>1</v>
      </c>
      <c r="P121" s="966"/>
      <c r="Q121" s="53">
        <f t="shared" si="31"/>
        <v>1</v>
      </c>
      <c r="R121" s="493">
        <f t="shared" si="32"/>
        <v>0</v>
      </c>
      <c r="S121" s="802">
        <f t="shared" si="23"/>
        <v>0</v>
      </c>
    </row>
    <row r="122" spans="1:19">
      <c r="A122" s="968"/>
      <c r="B122" s="137"/>
      <c r="C122" s="53">
        <f t="shared" si="24"/>
        <v>1</v>
      </c>
      <c r="D122" s="966"/>
      <c r="E122" s="53">
        <f t="shared" si="25"/>
        <v>0.02</v>
      </c>
      <c r="F122" s="966"/>
      <c r="G122" s="53">
        <f t="shared" si="26"/>
        <v>1</v>
      </c>
      <c r="H122" s="966"/>
      <c r="I122" s="53">
        <f t="shared" si="27"/>
        <v>1</v>
      </c>
      <c r="J122" s="966"/>
      <c r="K122" s="53">
        <f t="shared" si="28"/>
        <v>1</v>
      </c>
      <c r="L122" s="966"/>
      <c r="M122" s="53">
        <f t="shared" si="29"/>
        <v>1</v>
      </c>
      <c r="N122" s="966"/>
      <c r="O122" s="53">
        <f t="shared" si="30"/>
        <v>1</v>
      </c>
      <c r="P122" s="966"/>
      <c r="Q122" s="53">
        <f t="shared" si="31"/>
        <v>1</v>
      </c>
      <c r="R122" s="493">
        <f t="shared" si="32"/>
        <v>0</v>
      </c>
      <c r="S122" s="802">
        <f t="shared" si="23"/>
        <v>0</v>
      </c>
    </row>
    <row r="123" spans="1:19">
      <c r="A123" s="968"/>
      <c r="B123" s="137"/>
      <c r="C123" s="53">
        <f t="shared" si="24"/>
        <v>1</v>
      </c>
      <c r="D123" s="966"/>
      <c r="E123" s="53">
        <f t="shared" si="25"/>
        <v>0.02</v>
      </c>
      <c r="F123" s="966"/>
      <c r="G123" s="53">
        <f t="shared" si="26"/>
        <v>1</v>
      </c>
      <c r="H123" s="966"/>
      <c r="I123" s="53">
        <f t="shared" si="27"/>
        <v>1</v>
      </c>
      <c r="J123" s="966"/>
      <c r="K123" s="53">
        <f t="shared" si="28"/>
        <v>1</v>
      </c>
      <c r="L123" s="966"/>
      <c r="M123" s="53">
        <f t="shared" si="29"/>
        <v>1</v>
      </c>
      <c r="N123" s="966"/>
      <c r="O123" s="53">
        <f t="shared" si="30"/>
        <v>1</v>
      </c>
      <c r="P123" s="966"/>
      <c r="Q123" s="53">
        <f t="shared" si="31"/>
        <v>1</v>
      </c>
      <c r="R123" s="493">
        <f t="shared" si="32"/>
        <v>0</v>
      </c>
      <c r="S123" s="802">
        <f t="shared" ref="S123:S186" si="33">ROUND(R123*B123/10000,0)</f>
        <v>0</v>
      </c>
    </row>
    <row r="124" spans="1:19">
      <c r="A124" s="968"/>
      <c r="B124" s="137"/>
      <c r="C124" s="53">
        <f t="shared" si="24"/>
        <v>1</v>
      </c>
      <c r="D124" s="966"/>
      <c r="E124" s="53">
        <f t="shared" si="25"/>
        <v>0.02</v>
      </c>
      <c r="F124" s="966"/>
      <c r="G124" s="53">
        <f t="shared" si="26"/>
        <v>1</v>
      </c>
      <c r="H124" s="966"/>
      <c r="I124" s="53">
        <f t="shared" si="27"/>
        <v>1</v>
      </c>
      <c r="J124" s="966"/>
      <c r="K124" s="53">
        <f t="shared" si="28"/>
        <v>1</v>
      </c>
      <c r="L124" s="966"/>
      <c r="M124" s="53">
        <f t="shared" si="29"/>
        <v>1</v>
      </c>
      <c r="N124" s="966"/>
      <c r="O124" s="53">
        <f t="shared" si="30"/>
        <v>1</v>
      </c>
      <c r="P124" s="966"/>
      <c r="Q124" s="53">
        <f t="shared" si="31"/>
        <v>1</v>
      </c>
      <c r="R124" s="493">
        <f t="shared" si="32"/>
        <v>0</v>
      </c>
      <c r="S124" s="802">
        <f t="shared" si="33"/>
        <v>0</v>
      </c>
    </row>
    <row r="125" spans="1:19">
      <c r="A125" s="968"/>
      <c r="B125" s="137"/>
      <c r="C125" s="53">
        <f t="shared" si="24"/>
        <v>1</v>
      </c>
      <c r="D125" s="966"/>
      <c r="E125" s="53">
        <f t="shared" si="25"/>
        <v>0.02</v>
      </c>
      <c r="F125" s="966"/>
      <c r="G125" s="53">
        <f t="shared" si="26"/>
        <v>1</v>
      </c>
      <c r="H125" s="966"/>
      <c r="I125" s="53">
        <f t="shared" si="27"/>
        <v>1</v>
      </c>
      <c r="J125" s="966"/>
      <c r="K125" s="53">
        <f t="shared" si="28"/>
        <v>1</v>
      </c>
      <c r="L125" s="966"/>
      <c r="M125" s="53">
        <f t="shared" si="29"/>
        <v>1</v>
      </c>
      <c r="N125" s="966"/>
      <c r="O125" s="53">
        <f t="shared" si="30"/>
        <v>1</v>
      </c>
      <c r="P125" s="966"/>
      <c r="Q125" s="53">
        <f t="shared" si="31"/>
        <v>1</v>
      </c>
      <c r="R125" s="493">
        <f t="shared" si="32"/>
        <v>0</v>
      </c>
      <c r="S125" s="802">
        <f t="shared" si="33"/>
        <v>0</v>
      </c>
    </row>
    <row r="126" spans="1:19">
      <c r="A126" s="968"/>
      <c r="B126" s="137"/>
      <c r="C126" s="53">
        <f t="shared" si="24"/>
        <v>1</v>
      </c>
      <c r="D126" s="966"/>
      <c r="E126" s="53">
        <f t="shared" si="25"/>
        <v>0.02</v>
      </c>
      <c r="F126" s="966"/>
      <c r="G126" s="53">
        <f t="shared" si="26"/>
        <v>1</v>
      </c>
      <c r="H126" s="966"/>
      <c r="I126" s="53">
        <f t="shared" si="27"/>
        <v>1</v>
      </c>
      <c r="J126" s="966"/>
      <c r="K126" s="53">
        <f t="shared" si="28"/>
        <v>1</v>
      </c>
      <c r="L126" s="966"/>
      <c r="M126" s="53">
        <f t="shared" si="29"/>
        <v>1</v>
      </c>
      <c r="N126" s="966"/>
      <c r="O126" s="53">
        <f t="shared" si="30"/>
        <v>1</v>
      </c>
      <c r="P126" s="966"/>
      <c r="Q126" s="53">
        <f t="shared" si="31"/>
        <v>1</v>
      </c>
      <c r="R126" s="493">
        <f t="shared" si="32"/>
        <v>0</v>
      </c>
      <c r="S126" s="802">
        <f t="shared" si="33"/>
        <v>0</v>
      </c>
    </row>
    <row r="127" spans="1:19">
      <c r="A127" s="968"/>
      <c r="B127" s="137"/>
      <c r="C127" s="53">
        <f t="shared" si="24"/>
        <v>1</v>
      </c>
      <c r="D127" s="966"/>
      <c r="E127" s="53">
        <f t="shared" si="25"/>
        <v>0.02</v>
      </c>
      <c r="F127" s="966"/>
      <c r="G127" s="53">
        <f t="shared" si="26"/>
        <v>1</v>
      </c>
      <c r="H127" s="966"/>
      <c r="I127" s="53">
        <f t="shared" si="27"/>
        <v>1</v>
      </c>
      <c r="J127" s="966"/>
      <c r="K127" s="53">
        <f t="shared" si="28"/>
        <v>1</v>
      </c>
      <c r="L127" s="966"/>
      <c r="M127" s="53">
        <f t="shared" si="29"/>
        <v>1</v>
      </c>
      <c r="N127" s="966"/>
      <c r="O127" s="53">
        <f t="shared" si="30"/>
        <v>1</v>
      </c>
      <c r="P127" s="966"/>
      <c r="Q127" s="53">
        <f t="shared" si="31"/>
        <v>1</v>
      </c>
      <c r="R127" s="493">
        <f t="shared" si="32"/>
        <v>0</v>
      </c>
      <c r="S127" s="802">
        <f t="shared" si="33"/>
        <v>0</v>
      </c>
    </row>
    <row r="128" spans="1:19">
      <c r="A128" s="968"/>
      <c r="B128" s="137"/>
      <c r="C128" s="53">
        <f t="shared" si="24"/>
        <v>1</v>
      </c>
      <c r="D128" s="966"/>
      <c r="E128" s="53">
        <f t="shared" si="25"/>
        <v>0.02</v>
      </c>
      <c r="F128" s="966"/>
      <c r="G128" s="53">
        <f t="shared" si="26"/>
        <v>1</v>
      </c>
      <c r="H128" s="966"/>
      <c r="I128" s="53">
        <f t="shared" si="27"/>
        <v>1</v>
      </c>
      <c r="J128" s="966"/>
      <c r="K128" s="53">
        <f t="shared" si="28"/>
        <v>1</v>
      </c>
      <c r="L128" s="966"/>
      <c r="M128" s="53">
        <f t="shared" si="29"/>
        <v>1</v>
      </c>
      <c r="N128" s="966"/>
      <c r="O128" s="53">
        <f t="shared" si="30"/>
        <v>1</v>
      </c>
      <c r="P128" s="966"/>
      <c r="Q128" s="53">
        <f t="shared" si="31"/>
        <v>1</v>
      </c>
      <c r="R128" s="493">
        <f t="shared" si="32"/>
        <v>0</v>
      </c>
      <c r="S128" s="802">
        <f t="shared" si="33"/>
        <v>0</v>
      </c>
    </row>
    <row r="129" spans="1:19">
      <c r="A129" s="968"/>
      <c r="B129" s="137"/>
      <c r="C129" s="53">
        <f t="shared" si="24"/>
        <v>1</v>
      </c>
      <c r="D129" s="966"/>
      <c r="E129" s="53">
        <f t="shared" si="25"/>
        <v>0.02</v>
      </c>
      <c r="F129" s="966"/>
      <c r="G129" s="53">
        <f t="shared" si="26"/>
        <v>1</v>
      </c>
      <c r="H129" s="966"/>
      <c r="I129" s="53">
        <f t="shared" si="27"/>
        <v>1</v>
      </c>
      <c r="J129" s="966"/>
      <c r="K129" s="53">
        <f t="shared" si="28"/>
        <v>1</v>
      </c>
      <c r="L129" s="966"/>
      <c r="M129" s="53">
        <f t="shared" si="29"/>
        <v>1</v>
      </c>
      <c r="N129" s="966"/>
      <c r="O129" s="53">
        <f t="shared" si="30"/>
        <v>1</v>
      </c>
      <c r="P129" s="966"/>
      <c r="Q129" s="53">
        <f t="shared" si="31"/>
        <v>1</v>
      </c>
      <c r="R129" s="493">
        <f t="shared" si="32"/>
        <v>0</v>
      </c>
      <c r="S129" s="802">
        <f t="shared" si="33"/>
        <v>0</v>
      </c>
    </row>
    <row r="130" spans="1:19">
      <c r="A130" s="968"/>
      <c r="B130" s="137"/>
      <c r="C130" s="53">
        <f t="shared" si="24"/>
        <v>1</v>
      </c>
      <c r="D130" s="966"/>
      <c r="E130" s="53">
        <f t="shared" si="25"/>
        <v>0.02</v>
      </c>
      <c r="F130" s="966"/>
      <c r="G130" s="53">
        <f t="shared" si="26"/>
        <v>1</v>
      </c>
      <c r="H130" s="966"/>
      <c r="I130" s="53">
        <f t="shared" si="27"/>
        <v>1</v>
      </c>
      <c r="J130" s="966"/>
      <c r="K130" s="53">
        <f t="shared" si="28"/>
        <v>1</v>
      </c>
      <c r="L130" s="966"/>
      <c r="M130" s="53">
        <f t="shared" si="29"/>
        <v>1</v>
      </c>
      <c r="N130" s="966"/>
      <c r="O130" s="53">
        <f t="shared" si="30"/>
        <v>1</v>
      </c>
      <c r="P130" s="966"/>
      <c r="Q130" s="53">
        <f t="shared" si="31"/>
        <v>1</v>
      </c>
      <c r="R130" s="493">
        <f t="shared" si="32"/>
        <v>0</v>
      </c>
      <c r="S130" s="802">
        <f t="shared" si="33"/>
        <v>0</v>
      </c>
    </row>
    <row r="131" spans="1:19">
      <c r="A131" s="968"/>
      <c r="B131" s="137"/>
      <c r="C131" s="53">
        <f t="shared" si="24"/>
        <v>1</v>
      </c>
      <c r="D131" s="966"/>
      <c r="E131" s="53">
        <f t="shared" si="25"/>
        <v>0.02</v>
      </c>
      <c r="F131" s="966"/>
      <c r="G131" s="53">
        <f t="shared" si="26"/>
        <v>1</v>
      </c>
      <c r="H131" s="966"/>
      <c r="I131" s="53">
        <f t="shared" si="27"/>
        <v>1</v>
      </c>
      <c r="J131" s="966"/>
      <c r="K131" s="53">
        <f t="shared" si="28"/>
        <v>1</v>
      </c>
      <c r="L131" s="966"/>
      <c r="M131" s="53">
        <f t="shared" si="29"/>
        <v>1</v>
      </c>
      <c r="N131" s="966"/>
      <c r="O131" s="53">
        <f t="shared" si="30"/>
        <v>1</v>
      </c>
      <c r="P131" s="966"/>
      <c r="Q131" s="53">
        <f t="shared" si="31"/>
        <v>1</v>
      </c>
      <c r="R131" s="493">
        <f t="shared" si="32"/>
        <v>0</v>
      </c>
      <c r="S131" s="802">
        <f t="shared" si="33"/>
        <v>0</v>
      </c>
    </row>
    <row r="132" spans="1:19">
      <c r="A132" s="968"/>
      <c r="B132" s="137"/>
      <c r="C132" s="53">
        <f t="shared" si="24"/>
        <v>1</v>
      </c>
      <c r="D132" s="966"/>
      <c r="E132" s="53">
        <f t="shared" si="25"/>
        <v>0.02</v>
      </c>
      <c r="F132" s="966"/>
      <c r="G132" s="53">
        <f t="shared" si="26"/>
        <v>1</v>
      </c>
      <c r="H132" s="966"/>
      <c r="I132" s="53">
        <f t="shared" si="27"/>
        <v>1</v>
      </c>
      <c r="J132" s="966"/>
      <c r="K132" s="53">
        <f t="shared" si="28"/>
        <v>1</v>
      </c>
      <c r="L132" s="966"/>
      <c r="M132" s="53">
        <f t="shared" si="29"/>
        <v>1</v>
      </c>
      <c r="N132" s="966"/>
      <c r="O132" s="53">
        <f t="shared" si="30"/>
        <v>1</v>
      </c>
      <c r="P132" s="966"/>
      <c r="Q132" s="53">
        <f t="shared" si="31"/>
        <v>1</v>
      </c>
      <c r="R132" s="493">
        <f t="shared" si="32"/>
        <v>0</v>
      </c>
      <c r="S132" s="802">
        <f t="shared" si="33"/>
        <v>0</v>
      </c>
    </row>
    <row r="133" spans="1:19">
      <c r="A133" s="968"/>
      <c r="B133" s="137"/>
      <c r="C133" s="53">
        <f t="shared" si="24"/>
        <v>1</v>
      </c>
      <c r="D133" s="966"/>
      <c r="E133" s="53">
        <f t="shared" si="25"/>
        <v>0.02</v>
      </c>
      <c r="F133" s="966"/>
      <c r="G133" s="53">
        <f t="shared" si="26"/>
        <v>1</v>
      </c>
      <c r="H133" s="966"/>
      <c r="I133" s="53">
        <f t="shared" si="27"/>
        <v>1</v>
      </c>
      <c r="J133" s="966"/>
      <c r="K133" s="53">
        <f t="shared" si="28"/>
        <v>1</v>
      </c>
      <c r="L133" s="966"/>
      <c r="M133" s="53">
        <f t="shared" si="29"/>
        <v>1</v>
      </c>
      <c r="N133" s="966"/>
      <c r="O133" s="53">
        <f t="shared" si="30"/>
        <v>1</v>
      </c>
      <c r="P133" s="966"/>
      <c r="Q133" s="53">
        <f t="shared" si="31"/>
        <v>1</v>
      </c>
      <c r="R133" s="493">
        <f t="shared" si="32"/>
        <v>0</v>
      </c>
      <c r="S133" s="802">
        <f t="shared" si="33"/>
        <v>0</v>
      </c>
    </row>
    <row r="134" spans="1:19">
      <c r="A134" s="968"/>
      <c r="B134" s="137"/>
      <c r="C134" s="53">
        <f t="shared" si="24"/>
        <v>1</v>
      </c>
      <c r="D134" s="966"/>
      <c r="E134" s="53">
        <f t="shared" si="25"/>
        <v>0.02</v>
      </c>
      <c r="F134" s="966"/>
      <c r="G134" s="53">
        <f t="shared" si="26"/>
        <v>1</v>
      </c>
      <c r="H134" s="966"/>
      <c r="I134" s="53">
        <f t="shared" si="27"/>
        <v>1</v>
      </c>
      <c r="J134" s="966"/>
      <c r="K134" s="53">
        <f t="shared" si="28"/>
        <v>1</v>
      </c>
      <c r="L134" s="966"/>
      <c r="M134" s="53">
        <f t="shared" si="29"/>
        <v>1</v>
      </c>
      <c r="N134" s="966"/>
      <c r="O134" s="53">
        <f t="shared" si="30"/>
        <v>1</v>
      </c>
      <c r="P134" s="966"/>
      <c r="Q134" s="53">
        <f t="shared" si="31"/>
        <v>1</v>
      </c>
      <c r="R134" s="493">
        <f t="shared" si="32"/>
        <v>0</v>
      </c>
      <c r="S134" s="802">
        <f t="shared" si="33"/>
        <v>0</v>
      </c>
    </row>
    <row r="135" spans="1:19">
      <c r="A135" s="968"/>
      <c r="B135" s="137"/>
      <c r="C135" s="53">
        <f t="shared" si="24"/>
        <v>1</v>
      </c>
      <c r="D135" s="966"/>
      <c r="E135" s="53">
        <f t="shared" si="25"/>
        <v>0.02</v>
      </c>
      <c r="F135" s="966"/>
      <c r="G135" s="53">
        <f t="shared" si="26"/>
        <v>1</v>
      </c>
      <c r="H135" s="966"/>
      <c r="I135" s="53">
        <f t="shared" si="27"/>
        <v>1</v>
      </c>
      <c r="J135" s="966"/>
      <c r="K135" s="53">
        <f t="shared" si="28"/>
        <v>1</v>
      </c>
      <c r="L135" s="966"/>
      <c r="M135" s="53">
        <f t="shared" si="29"/>
        <v>1</v>
      </c>
      <c r="N135" s="966"/>
      <c r="O135" s="53">
        <f t="shared" si="30"/>
        <v>1</v>
      </c>
      <c r="P135" s="966"/>
      <c r="Q135" s="53">
        <f t="shared" si="31"/>
        <v>1</v>
      </c>
      <c r="R135" s="493">
        <f t="shared" si="32"/>
        <v>0</v>
      </c>
      <c r="S135" s="802">
        <f t="shared" si="33"/>
        <v>0</v>
      </c>
    </row>
    <row r="136" spans="1:19">
      <c r="A136" s="968"/>
      <c r="B136" s="137"/>
      <c r="C136" s="53">
        <f t="shared" si="24"/>
        <v>1</v>
      </c>
      <c r="D136" s="966"/>
      <c r="E136" s="53">
        <f t="shared" si="25"/>
        <v>0.02</v>
      </c>
      <c r="F136" s="966"/>
      <c r="G136" s="53">
        <f t="shared" si="26"/>
        <v>1</v>
      </c>
      <c r="H136" s="966"/>
      <c r="I136" s="53">
        <f t="shared" si="27"/>
        <v>1</v>
      </c>
      <c r="J136" s="966"/>
      <c r="K136" s="53">
        <f t="shared" si="28"/>
        <v>1</v>
      </c>
      <c r="L136" s="966"/>
      <c r="M136" s="53">
        <f t="shared" si="29"/>
        <v>1</v>
      </c>
      <c r="N136" s="966"/>
      <c r="O136" s="53">
        <f t="shared" si="30"/>
        <v>1</v>
      </c>
      <c r="P136" s="966"/>
      <c r="Q136" s="53">
        <f t="shared" si="31"/>
        <v>1</v>
      </c>
      <c r="R136" s="493">
        <f t="shared" si="32"/>
        <v>0</v>
      </c>
      <c r="S136" s="802">
        <f t="shared" si="33"/>
        <v>0</v>
      </c>
    </row>
    <row r="137" spans="1:19">
      <c r="A137" s="968"/>
      <c r="B137" s="137"/>
      <c r="C137" s="53">
        <f t="shared" si="24"/>
        <v>1</v>
      </c>
      <c r="D137" s="966"/>
      <c r="E137" s="53">
        <f t="shared" si="25"/>
        <v>0.02</v>
      </c>
      <c r="F137" s="966"/>
      <c r="G137" s="53">
        <f t="shared" si="26"/>
        <v>1</v>
      </c>
      <c r="H137" s="966"/>
      <c r="I137" s="53">
        <f t="shared" si="27"/>
        <v>1</v>
      </c>
      <c r="J137" s="966"/>
      <c r="K137" s="53">
        <f t="shared" si="28"/>
        <v>1</v>
      </c>
      <c r="L137" s="966"/>
      <c r="M137" s="53">
        <f t="shared" si="29"/>
        <v>1</v>
      </c>
      <c r="N137" s="966"/>
      <c r="O137" s="53">
        <f t="shared" si="30"/>
        <v>1</v>
      </c>
      <c r="P137" s="966"/>
      <c r="Q137" s="53">
        <f t="shared" si="31"/>
        <v>1</v>
      </c>
      <c r="R137" s="493">
        <f t="shared" si="32"/>
        <v>0</v>
      </c>
      <c r="S137" s="802">
        <f t="shared" si="33"/>
        <v>0</v>
      </c>
    </row>
    <row r="138" spans="1:19">
      <c r="A138" s="968"/>
      <c r="B138" s="137"/>
      <c r="C138" s="53">
        <f t="shared" si="24"/>
        <v>1</v>
      </c>
      <c r="D138" s="966"/>
      <c r="E138" s="53">
        <f t="shared" si="25"/>
        <v>0.02</v>
      </c>
      <c r="F138" s="966"/>
      <c r="G138" s="53">
        <f t="shared" si="26"/>
        <v>1</v>
      </c>
      <c r="H138" s="966"/>
      <c r="I138" s="53">
        <f t="shared" si="27"/>
        <v>1</v>
      </c>
      <c r="J138" s="966"/>
      <c r="K138" s="53">
        <f t="shared" si="28"/>
        <v>1</v>
      </c>
      <c r="L138" s="966"/>
      <c r="M138" s="53">
        <f t="shared" si="29"/>
        <v>1</v>
      </c>
      <c r="N138" s="966"/>
      <c r="O138" s="53">
        <f t="shared" si="30"/>
        <v>1</v>
      </c>
      <c r="P138" s="966"/>
      <c r="Q138" s="53">
        <f t="shared" si="31"/>
        <v>1</v>
      </c>
      <c r="R138" s="493">
        <f t="shared" si="32"/>
        <v>0</v>
      </c>
      <c r="S138" s="802">
        <f t="shared" si="33"/>
        <v>0</v>
      </c>
    </row>
    <row r="139" spans="1:19">
      <c r="A139" s="968"/>
      <c r="B139" s="137"/>
      <c r="C139" s="53">
        <f t="shared" si="24"/>
        <v>1</v>
      </c>
      <c r="D139" s="966"/>
      <c r="E139" s="53">
        <f t="shared" si="25"/>
        <v>0.02</v>
      </c>
      <c r="F139" s="966"/>
      <c r="G139" s="53">
        <f t="shared" si="26"/>
        <v>1</v>
      </c>
      <c r="H139" s="966"/>
      <c r="I139" s="53">
        <f t="shared" si="27"/>
        <v>1</v>
      </c>
      <c r="J139" s="966"/>
      <c r="K139" s="53">
        <f t="shared" si="28"/>
        <v>1</v>
      </c>
      <c r="L139" s="966"/>
      <c r="M139" s="53">
        <f t="shared" si="29"/>
        <v>1</v>
      </c>
      <c r="N139" s="966"/>
      <c r="O139" s="53">
        <f t="shared" si="30"/>
        <v>1</v>
      </c>
      <c r="P139" s="966"/>
      <c r="Q139" s="53">
        <f t="shared" si="31"/>
        <v>1</v>
      </c>
      <c r="R139" s="493">
        <f t="shared" si="32"/>
        <v>0</v>
      </c>
      <c r="S139" s="802">
        <f t="shared" si="33"/>
        <v>0</v>
      </c>
    </row>
    <row r="140" spans="1:19">
      <c r="A140" s="968"/>
      <c r="B140" s="137"/>
      <c r="C140" s="53">
        <f t="shared" si="24"/>
        <v>1</v>
      </c>
      <c r="D140" s="966"/>
      <c r="E140" s="53">
        <f t="shared" si="25"/>
        <v>0.02</v>
      </c>
      <c r="F140" s="966"/>
      <c r="G140" s="53">
        <f t="shared" si="26"/>
        <v>1</v>
      </c>
      <c r="H140" s="966"/>
      <c r="I140" s="53">
        <f t="shared" si="27"/>
        <v>1</v>
      </c>
      <c r="J140" s="966"/>
      <c r="K140" s="53">
        <f t="shared" si="28"/>
        <v>1</v>
      </c>
      <c r="L140" s="966"/>
      <c r="M140" s="53">
        <f t="shared" si="29"/>
        <v>1</v>
      </c>
      <c r="N140" s="966"/>
      <c r="O140" s="53">
        <f t="shared" si="30"/>
        <v>1</v>
      </c>
      <c r="P140" s="966"/>
      <c r="Q140" s="53">
        <f t="shared" si="31"/>
        <v>1</v>
      </c>
      <c r="R140" s="493">
        <f t="shared" si="32"/>
        <v>0</v>
      </c>
      <c r="S140" s="802">
        <f t="shared" si="33"/>
        <v>0</v>
      </c>
    </row>
    <row r="141" spans="1:19">
      <c r="A141" s="968"/>
      <c r="B141" s="137"/>
      <c r="C141" s="53">
        <f t="shared" si="24"/>
        <v>1</v>
      </c>
      <c r="D141" s="966"/>
      <c r="E141" s="53">
        <f t="shared" si="25"/>
        <v>0.02</v>
      </c>
      <c r="F141" s="966"/>
      <c r="G141" s="53">
        <f t="shared" si="26"/>
        <v>1</v>
      </c>
      <c r="H141" s="966"/>
      <c r="I141" s="53">
        <f t="shared" si="27"/>
        <v>1</v>
      </c>
      <c r="J141" s="966"/>
      <c r="K141" s="53">
        <f t="shared" si="28"/>
        <v>1</v>
      </c>
      <c r="L141" s="966"/>
      <c r="M141" s="53">
        <f t="shared" si="29"/>
        <v>1</v>
      </c>
      <c r="N141" s="966"/>
      <c r="O141" s="53">
        <f t="shared" si="30"/>
        <v>1</v>
      </c>
      <c r="P141" s="966"/>
      <c r="Q141" s="53">
        <f t="shared" si="31"/>
        <v>1</v>
      </c>
      <c r="R141" s="493">
        <f t="shared" si="32"/>
        <v>0</v>
      </c>
      <c r="S141" s="802">
        <f t="shared" si="33"/>
        <v>0</v>
      </c>
    </row>
    <row r="142" spans="1:19">
      <c r="A142" s="968"/>
      <c r="B142" s="137"/>
      <c r="C142" s="53">
        <f t="shared" si="24"/>
        <v>1</v>
      </c>
      <c r="D142" s="966"/>
      <c r="E142" s="53">
        <f t="shared" si="25"/>
        <v>0.02</v>
      </c>
      <c r="F142" s="966"/>
      <c r="G142" s="53">
        <f t="shared" si="26"/>
        <v>1</v>
      </c>
      <c r="H142" s="966"/>
      <c r="I142" s="53">
        <f t="shared" si="27"/>
        <v>1</v>
      </c>
      <c r="J142" s="966"/>
      <c r="K142" s="53">
        <f t="shared" si="28"/>
        <v>1</v>
      </c>
      <c r="L142" s="966"/>
      <c r="M142" s="53">
        <f t="shared" si="29"/>
        <v>1</v>
      </c>
      <c r="N142" s="966"/>
      <c r="O142" s="53">
        <f t="shared" si="30"/>
        <v>1</v>
      </c>
      <c r="P142" s="966"/>
      <c r="Q142" s="53">
        <f t="shared" si="31"/>
        <v>1</v>
      </c>
      <c r="R142" s="493">
        <f t="shared" si="32"/>
        <v>0</v>
      </c>
      <c r="S142" s="802">
        <f t="shared" si="33"/>
        <v>0</v>
      </c>
    </row>
    <row r="143" spans="1:19">
      <c r="A143" s="968"/>
      <c r="B143" s="137"/>
      <c r="C143" s="53">
        <f t="shared" si="24"/>
        <v>1</v>
      </c>
      <c r="D143" s="966"/>
      <c r="E143" s="53">
        <f t="shared" si="25"/>
        <v>0.02</v>
      </c>
      <c r="F143" s="966"/>
      <c r="G143" s="53">
        <f t="shared" si="26"/>
        <v>1</v>
      </c>
      <c r="H143" s="966"/>
      <c r="I143" s="53">
        <f t="shared" si="27"/>
        <v>1</v>
      </c>
      <c r="J143" s="966"/>
      <c r="K143" s="53">
        <f t="shared" si="28"/>
        <v>1</v>
      </c>
      <c r="L143" s="966"/>
      <c r="M143" s="53">
        <f t="shared" si="29"/>
        <v>1</v>
      </c>
      <c r="N143" s="966"/>
      <c r="O143" s="53">
        <f t="shared" si="30"/>
        <v>1</v>
      </c>
      <c r="P143" s="966"/>
      <c r="Q143" s="53">
        <f t="shared" si="31"/>
        <v>1</v>
      </c>
      <c r="R143" s="493">
        <f t="shared" si="32"/>
        <v>0</v>
      </c>
      <c r="S143" s="802">
        <f t="shared" si="33"/>
        <v>0</v>
      </c>
    </row>
    <row r="144" spans="1:19">
      <c r="A144" s="968"/>
      <c r="B144" s="137"/>
      <c r="C144" s="53">
        <f t="shared" si="24"/>
        <v>1</v>
      </c>
      <c r="D144" s="966"/>
      <c r="E144" s="53">
        <f t="shared" si="25"/>
        <v>0.02</v>
      </c>
      <c r="F144" s="966"/>
      <c r="G144" s="53">
        <f t="shared" si="26"/>
        <v>1</v>
      </c>
      <c r="H144" s="966"/>
      <c r="I144" s="53">
        <f t="shared" si="27"/>
        <v>1</v>
      </c>
      <c r="J144" s="966"/>
      <c r="K144" s="53">
        <f t="shared" si="28"/>
        <v>1</v>
      </c>
      <c r="L144" s="966"/>
      <c r="M144" s="53">
        <f t="shared" si="29"/>
        <v>1</v>
      </c>
      <c r="N144" s="966"/>
      <c r="O144" s="53">
        <f t="shared" si="30"/>
        <v>1</v>
      </c>
      <c r="P144" s="966"/>
      <c r="Q144" s="53">
        <f t="shared" si="31"/>
        <v>1</v>
      </c>
      <c r="R144" s="493">
        <f t="shared" si="32"/>
        <v>0</v>
      </c>
      <c r="S144" s="802">
        <f t="shared" si="33"/>
        <v>0</v>
      </c>
    </row>
    <row r="145" spans="1:19">
      <c r="A145" s="968"/>
      <c r="B145" s="137"/>
      <c r="C145" s="53">
        <f t="shared" si="24"/>
        <v>1</v>
      </c>
      <c r="D145" s="966"/>
      <c r="E145" s="53">
        <f t="shared" si="25"/>
        <v>0.02</v>
      </c>
      <c r="F145" s="966"/>
      <c r="G145" s="53">
        <f t="shared" si="26"/>
        <v>1</v>
      </c>
      <c r="H145" s="966"/>
      <c r="I145" s="53">
        <f t="shared" si="27"/>
        <v>1</v>
      </c>
      <c r="J145" s="966"/>
      <c r="K145" s="53">
        <f t="shared" si="28"/>
        <v>1</v>
      </c>
      <c r="L145" s="966"/>
      <c r="M145" s="53">
        <f t="shared" si="29"/>
        <v>1</v>
      </c>
      <c r="N145" s="966"/>
      <c r="O145" s="53">
        <f t="shared" si="30"/>
        <v>1</v>
      </c>
      <c r="P145" s="966"/>
      <c r="Q145" s="53">
        <f t="shared" si="31"/>
        <v>1</v>
      </c>
      <c r="R145" s="493">
        <f t="shared" si="32"/>
        <v>0</v>
      </c>
      <c r="S145" s="802">
        <f t="shared" si="33"/>
        <v>0</v>
      </c>
    </row>
    <row r="146" spans="1:19">
      <c r="A146" s="968"/>
      <c r="B146" s="137"/>
      <c r="C146" s="53">
        <f t="shared" si="24"/>
        <v>1</v>
      </c>
      <c r="D146" s="966"/>
      <c r="E146" s="53">
        <f t="shared" si="25"/>
        <v>0.02</v>
      </c>
      <c r="F146" s="966"/>
      <c r="G146" s="53">
        <f t="shared" si="26"/>
        <v>1</v>
      </c>
      <c r="H146" s="966"/>
      <c r="I146" s="53">
        <f t="shared" si="27"/>
        <v>1</v>
      </c>
      <c r="J146" s="966"/>
      <c r="K146" s="53">
        <f t="shared" si="28"/>
        <v>1</v>
      </c>
      <c r="L146" s="966"/>
      <c r="M146" s="53">
        <f t="shared" si="29"/>
        <v>1</v>
      </c>
      <c r="N146" s="966"/>
      <c r="O146" s="53">
        <f t="shared" si="30"/>
        <v>1</v>
      </c>
      <c r="P146" s="966"/>
      <c r="Q146" s="53">
        <f t="shared" si="31"/>
        <v>1</v>
      </c>
      <c r="R146" s="493">
        <f t="shared" si="32"/>
        <v>0</v>
      </c>
      <c r="S146" s="802">
        <f t="shared" si="33"/>
        <v>0</v>
      </c>
    </row>
    <row r="147" spans="1:19">
      <c r="A147" s="968"/>
      <c r="B147" s="137"/>
      <c r="C147" s="53">
        <f t="shared" si="24"/>
        <v>1</v>
      </c>
      <c r="D147" s="966"/>
      <c r="E147" s="53">
        <f t="shared" si="25"/>
        <v>0.02</v>
      </c>
      <c r="F147" s="966"/>
      <c r="G147" s="53">
        <f t="shared" si="26"/>
        <v>1</v>
      </c>
      <c r="H147" s="966"/>
      <c r="I147" s="53">
        <f t="shared" si="27"/>
        <v>1</v>
      </c>
      <c r="J147" s="966"/>
      <c r="K147" s="53">
        <f t="shared" si="28"/>
        <v>1</v>
      </c>
      <c r="L147" s="966"/>
      <c r="M147" s="53">
        <f t="shared" si="29"/>
        <v>1</v>
      </c>
      <c r="N147" s="966"/>
      <c r="O147" s="53">
        <f t="shared" si="30"/>
        <v>1</v>
      </c>
      <c r="P147" s="966"/>
      <c r="Q147" s="53">
        <f t="shared" si="31"/>
        <v>1</v>
      </c>
      <c r="R147" s="493">
        <f t="shared" si="32"/>
        <v>0</v>
      </c>
      <c r="S147" s="802">
        <f t="shared" si="33"/>
        <v>0</v>
      </c>
    </row>
    <row r="148" spans="1:19">
      <c r="A148" s="968"/>
      <c r="B148" s="137"/>
      <c r="C148" s="53">
        <f t="shared" si="24"/>
        <v>1</v>
      </c>
      <c r="D148" s="966"/>
      <c r="E148" s="53">
        <f t="shared" si="25"/>
        <v>0.02</v>
      </c>
      <c r="F148" s="966"/>
      <c r="G148" s="53">
        <f t="shared" si="26"/>
        <v>1</v>
      </c>
      <c r="H148" s="966"/>
      <c r="I148" s="53">
        <f t="shared" si="27"/>
        <v>1</v>
      </c>
      <c r="J148" s="966"/>
      <c r="K148" s="53">
        <f t="shared" si="28"/>
        <v>1</v>
      </c>
      <c r="L148" s="966"/>
      <c r="M148" s="53">
        <f t="shared" si="29"/>
        <v>1</v>
      </c>
      <c r="N148" s="966"/>
      <c r="O148" s="53">
        <f t="shared" si="30"/>
        <v>1</v>
      </c>
      <c r="P148" s="966"/>
      <c r="Q148" s="53">
        <f t="shared" si="31"/>
        <v>1</v>
      </c>
      <c r="R148" s="493">
        <f t="shared" si="32"/>
        <v>0</v>
      </c>
      <c r="S148" s="802">
        <f t="shared" si="33"/>
        <v>0</v>
      </c>
    </row>
    <row r="149" spans="1:19">
      <c r="A149" s="968"/>
      <c r="B149" s="137"/>
      <c r="C149" s="53">
        <f t="shared" si="24"/>
        <v>1</v>
      </c>
      <c r="D149" s="966"/>
      <c r="E149" s="53">
        <f t="shared" si="25"/>
        <v>0.02</v>
      </c>
      <c r="F149" s="966"/>
      <c r="G149" s="53">
        <f t="shared" si="26"/>
        <v>1</v>
      </c>
      <c r="H149" s="966"/>
      <c r="I149" s="53">
        <f t="shared" si="27"/>
        <v>1</v>
      </c>
      <c r="J149" s="966"/>
      <c r="K149" s="53">
        <f t="shared" si="28"/>
        <v>1</v>
      </c>
      <c r="L149" s="966"/>
      <c r="M149" s="53">
        <f t="shared" si="29"/>
        <v>1</v>
      </c>
      <c r="N149" s="966"/>
      <c r="O149" s="53">
        <f t="shared" si="30"/>
        <v>1</v>
      </c>
      <c r="P149" s="966"/>
      <c r="Q149" s="53">
        <f t="shared" si="31"/>
        <v>1</v>
      </c>
      <c r="R149" s="493">
        <f t="shared" si="32"/>
        <v>0</v>
      </c>
      <c r="S149" s="802">
        <f t="shared" si="33"/>
        <v>0</v>
      </c>
    </row>
    <row r="150" spans="1:19">
      <c r="A150" s="968"/>
      <c r="B150" s="137"/>
      <c r="C150" s="53">
        <f t="shared" si="24"/>
        <v>1</v>
      </c>
      <c r="D150" s="966"/>
      <c r="E150" s="53">
        <f t="shared" si="25"/>
        <v>0.02</v>
      </c>
      <c r="F150" s="966"/>
      <c r="G150" s="53">
        <f t="shared" si="26"/>
        <v>1</v>
      </c>
      <c r="H150" s="966"/>
      <c r="I150" s="53">
        <f t="shared" si="27"/>
        <v>1</v>
      </c>
      <c r="J150" s="966"/>
      <c r="K150" s="53">
        <f t="shared" si="28"/>
        <v>1</v>
      </c>
      <c r="L150" s="966"/>
      <c r="M150" s="53">
        <f t="shared" si="29"/>
        <v>1</v>
      </c>
      <c r="N150" s="966"/>
      <c r="O150" s="53">
        <f t="shared" si="30"/>
        <v>1</v>
      </c>
      <c r="P150" s="966"/>
      <c r="Q150" s="53">
        <f t="shared" si="31"/>
        <v>1</v>
      </c>
      <c r="R150" s="493">
        <f t="shared" si="32"/>
        <v>0</v>
      </c>
      <c r="S150" s="802">
        <f t="shared" si="33"/>
        <v>0</v>
      </c>
    </row>
    <row r="151" spans="1:19">
      <c r="A151" s="968"/>
      <c r="B151" s="137"/>
      <c r="C151" s="53">
        <f t="shared" si="24"/>
        <v>1</v>
      </c>
      <c r="D151" s="966"/>
      <c r="E151" s="53">
        <f t="shared" si="25"/>
        <v>0.02</v>
      </c>
      <c r="F151" s="966"/>
      <c r="G151" s="53">
        <f t="shared" si="26"/>
        <v>1</v>
      </c>
      <c r="H151" s="966"/>
      <c r="I151" s="53">
        <f t="shared" si="27"/>
        <v>1</v>
      </c>
      <c r="J151" s="966"/>
      <c r="K151" s="53">
        <f t="shared" si="28"/>
        <v>1</v>
      </c>
      <c r="L151" s="966"/>
      <c r="M151" s="53">
        <f t="shared" si="29"/>
        <v>1</v>
      </c>
      <c r="N151" s="966"/>
      <c r="O151" s="53">
        <f t="shared" si="30"/>
        <v>1</v>
      </c>
      <c r="P151" s="966"/>
      <c r="Q151" s="53">
        <f t="shared" si="31"/>
        <v>1</v>
      </c>
      <c r="R151" s="493">
        <f t="shared" si="32"/>
        <v>0</v>
      </c>
      <c r="S151" s="802">
        <f t="shared" si="33"/>
        <v>0</v>
      </c>
    </row>
    <row r="152" spans="1:19">
      <c r="A152" s="968"/>
      <c r="B152" s="137"/>
      <c r="C152" s="53">
        <f t="shared" si="24"/>
        <v>1</v>
      </c>
      <c r="D152" s="966"/>
      <c r="E152" s="53">
        <f t="shared" si="25"/>
        <v>0.02</v>
      </c>
      <c r="F152" s="966"/>
      <c r="G152" s="53">
        <f t="shared" si="26"/>
        <v>1</v>
      </c>
      <c r="H152" s="966"/>
      <c r="I152" s="53">
        <f t="shared" si="27"/>
        <v>1</v>
      </c>
      <c r="J152" s="966"/>
      <c r="K152" s="53">
        <f t="shared" si="28"/>
        <v>1</v>
      </c>
      <c r="L152" s="966"/>
      <c r="M152" s="53">
        <f t="shared" si="29"/>
        <v>1</v>
      </c>
      <c r="N152" s="966"/>
      <c r="O152" s="53">
        <f t="shared" si="30"/>
        <v>1</v>
      </c>
      <c r="P152" s="966"/>
      <c r="Q152" s="53">
        <f t="shared" si="31"/>
        <v>1</v>
      </c>
      <c r="R152" s="493">
        <f t="shared" si="32"/>
        <v>0</v>
      </c>
      <c r="S152" s="802">
        <f t="shared" si="33"/>
        <v>0</v>
      </c>
    </row>
    <row r="153" spans="1:19">
      <c r="A153" s="968"/>
      <c r="B153" s="137"/>
      <c r="C153" s="53">
        <f t="shared" si="24"/>
        <v>1</v>
      </c>
      <c r="D153" s="966"/>
      <c r="E153" s="53">
        <f t="shared" si="25"/>
        <v>0.02</v>
      </c>
      <c r="F153" s="966"/>
      <c r="G153" s="53">
        <f t="shared" si="26"/>
        <v>1</v>
      </c>
      <c r="H153" s="966"/>
      <c r="I153" s="53">
        <f t="shared" si="27"/>
        <v>1</v>
      </c>
      <c r="J153" s="966"/>
      <c r="K153" s="53">
        <f t="shared" si="28"/>
        <v>1</v>
      </c>
      <c r="L153" s="966"/>
      <c r="M153" s="53">
        <f t="shared" si="29"/>
        <v>1</v>
      </c>
      <c r="N153" s="966"/>
      <c r="O153" s="53">
        <f t="shared" si="30"/>
        <v>1</v>
      </c>
      <c r="P153" s="966"/>
      <c r="Q153" s="53">
        <f t="shared" si="31"/>
        <v>1</v>
      </c>
      <c r="R153" s="493">
        <f t="shared" si="32"/>
        <v>0</v>
      </c>
      <c r="S153" s="802">
        <f t="shared" si="33"/>
        <v>0</v>
      </c>
    </row>
    <row r="154" spans="1:19">
      <c r="A154" s="968"/>
      <c r="B154" s="137"/>
      <c r="C154" s="53">
        <f t="shared" ref="C154:C217" si="34">IF(B154="",1,(LOOKUP(B154,$3:$3,$4:$4)-LOOKUP($B$24,$3:$3,$4:$4)+100)/100)</f>
        <v>1</v>
      </c>
      <c r="D154" s="966"/>
      <c r="E154" s="53">
        <f t="shared" ref="E154:E217" si="35">(SUMIF($5:$5,D154,$6:$6)-SUMIF($5:$5,$D$24,$6:$6)+100)/100</f>
        <v>0.02</v>
      </c>
      <c r="F154" s="966"/>
      <c r="G154" s="53">
        <f t="shared" ref="G154:G217" si="36">(SUMIF($7:$7,F154,$8:$8)-SUMIF($7:$7,$F$24,$8:$8)+100)/100</f>
        <v>1</v>
      </c>
      <c r="H154" s="966"/>
      <c r="I154" s="53">
        <f t="shared" ref="I154:I217" si="37">(SUMIF($9:$9,H154,$10:$10)-SUMIF($9:$9,$H$24,$10:$10)+100)/100</f>
        <v>1</v>
      </c>
      <c r="J154" s="966"/>
      <c r="K154" s="53">
        <f t="shared" ref="K154:K217" si="38">(SUMIF($11:$11,J154,$12:$12)-SUMIF($11:$11,$J$24,$12:$12)+100)/100</f>
        <v>1</v>
      </c>
      <c r="L154" s="966"/>
      <c r="M154" s="53">
        <f t="shared" ref="M154:M217" si="39">(SUMIF($13:$13,L154,$14:$14)-SUMIF($13:$13,$L$24,$14:$14)+100)/100</f>
        <v>1</v>
      </c>
      <c r="N154" s="966"/>
      <c r="O154" s="53">
        <f t="shared" ref="O154:O217" si="40">(SUMIF($15:$15,N154,$16:$16)-SUMIF($15:$15,$N$24,$16:$16)+100)/100</f>
        <v>1</v>
      </c>
      <c r="P154" s="966"/>
      <c r="Q154" s="53">
        <f t="shared" ref="Q154:Q217" si="41">(SUMIF($17:$17,P154,$18:$18)-SUMIF($17:$17,$P$24,$18:$18)+100)/100</f>
        <v>1</v>
      </c>
      <c r="R154" s="493">
        <f t="shared" ref="R154:R217" si="42">IF(B154="",0,ROUND($R$24*C154*E154*G154*I154*K154*M154*O154*Q154,0))</f>
        <v>0</v>
      </c>
      <c r="S154" s="802">
        <f t="shared" si="33"/>
        <v>0</v>
      </c>
    </row>
    <row r="155" spans="1:19">
      <c r="A155" s="968"/>
      <c r="B155" s="137"/>
      <c r="C155" s="53">
        <f t="shared" si="34"/>
        <v>1</v>
      </c>
      <c r="D155" s="966"/>
      <c r="E155" s="53">
        <f t="shared" si="35"/>
        <v>0.02</v>
      </c>
      <c r="F155" s="966"/>
      <c r="G155" s="53">
        <f t="shared" si="36"/>
        <v>1</v>
      </c>
      <c r="H155" s="966"/>
      <c r="I155" s="53">
        <f t="shared" si="37"/>
        <v>1</v>
      </c>
      <c r="J155" s="966"/>
      <c r="K155" s="53">
        <f t="shared" si="38"/>
        <v>1</v>
      </c>
      <c r="L155" s="966"/>
      <c r="M155" s="53">
        <f t="shared" si="39"/>
        <v>1</v>
      </c>
      <c r="N155" s="966"/>
      <c r="O155" s="53">
        <f t="shared" si="40"/>
        <v>1</v>
      </c>
      <c r="P155" s="966"/>
      <c r="Q155" s="53">
        <f t="shared" si="41"/>
        <v>1</v>
      </c>
      <c r="R155" s="493">
        <f t="shared" si="42"/>
        <v>0</v>
      </c>
      <c r="S155" s="802">
        <f t="shared" si="33"/>
        <v>0</v>
      </c>
    </row>
    <row r="156" spans="1:19">
      <c r="A156" s="968"/>
      <c r="B156" s="137"/>
      <c r="C156" s="53">
        <f t="shared" si="34"/>
        <v>1</v>
      </c>
      <c r="D156" s="966"/>
      <c r="E156" s="53">
        <f t="shared" si="35"/>
        <v>0.02</v>
      </c>
      <c r="F156" s="966"/>
      <c r="G156" s="53">
        <f t="shared" si="36"/>
        <v>1</v>
      </c>
      <c r="H156" s="966"/>
      <c r="I156" s="53">
        <f t="shared" si="37"/>
        <v>1</v>
      </c>
      <c r="J156" s="966"/>
      <c r="K156" s="53">
        <f t="shared" si="38"/>
        <v>1</v>
      </c>
      <c r="L156" s="966"/>
      <c r="M156" s="53">
        <f t="shared" si="39"/>
        <v>1</v>
      </c>
      <c r="N156" s="966"/>
      <c r="O156" s="53">
        <f t="shared" si="40"/>
        <v>1</v>
      </c>
      <c r="P156" s="966"/>
      <c r="Q156" s="53">
        <f t="shared" si="41"/>
        <v>1</v>
      </c>
      <c r="R156" s="493">
        <f t="shared" si="42"/>
        <v>0</v>
      </c>
      <c r="S156" s="802">
        <f t="shared" si="33"/>
        <v>0</v>
      </c>
    </row>
    <row r="157" spans="1:19">
      <c r="A157" s="968"/>
      <c r="B157" s="137"/>
      <c r="C157" s="53">
        <f t="shared" si="34"/>
        <v>1</v>
      </c>
      <c r="D157" s="966"/>
      <c r="E157" s="53">
        <f t="shared" si="35"/>
        <v>0.02</v>
      </c>
      <c r="F157" s="966"/>
      <c r="G157" s="53">
        <f t="shared" si="36"/>
        <v>1</v>
      </c>
      <c r="H157" s="966"/>
      <c r="I157" s="53">
        <f t="shared" si="37"/>
        <v>1</v>
      </c>
      <c r="J157" s="966"/>
      <c r="K157" s="53">
        <f t="shared" si="38"/>
        <v>1</v>
      </c>
      <c r="L157" s="966"/>
      <c r="M157" s="53">
        <f t="shared" si="39"/>
        <v>1</v>
      </c>
      <c r="N157" s="966"/>
      <c r="O157" s="53">
        <f t="shared" si="40"/>
        <v>1</v>
      </c>
      <c r="P157" s="966"/>
      <c r="Q157" s="53">
        <f t="shared" si="41"/>
        <v>1</v>
      </c>
      <c r="R157" s="493">
        <f t="shared" si="42"/>
        <v>0</v>
      </c>
      <c r="S157" s="802">
        <f t="shared" si="33"/>
        <v>0</v>
      </c>
    </row>
    <row r="158" spans="1:19">
      <c r="A158" s="968"/>
      <c r="B158" s="137"/>
      <c r="C158" s="53">
        <f t="shared" si="34"/>
        <v>1</v>
      </c>
      <c r="D158" s="966"/>
      <c r="E158" s="53">
        <f t="shared" si="35"/>
        <v>0.02</v>
      </c>
      <c r="F158" s="966"/>
      <c r="G158" s="53">
        <f t="shared" si="36"/>
        <v>1</v>
      </c>
      <c r="H158" s="966"/>
      <c r="I158" s="53">
        <f t="shared" si="37"/>
        <v>1</v>
      </c>
      <c r="J158" s="966"/>
      <c r="K158" s="53">
        <f t="shared" si="38"/>
        <v>1</v>
      </c>
      <c r="L158" s="966"/>
      <c r="M158" s="53">
        <f t="shared" si="39"/>
        <v>1</v>
      </c>
      <c r="N158" s="966"/>
      <c r="O158" s="53">
        <f t="shared" si="40"/>
        <v>1</v>
      </c>
      <c r="P158" s="966"/>
      <c r="Q158" s="53">
        <f t="shared" si="41"/>
        <v>1</v>
      </c>
      <c r="R158" s="493">
        <f t="shared" si="42"/>
        <v>0</v>
      </c>
      <c r="S158" s="802">
        <f t="shared" si="33"/>
        <v>0</v>
      </c>
    </row>
    <row r="159" spans="1:19">
      <c r="A159" s="968"/>
      <c r="B159" s="137"/>
      <c r="C159" s="53">
        <f t="shared" si="34"/>
        <v>1</v>
      </c>
      <c r="D159" s="966"/>
      <c r="E159" s="53">
        <f t="shared" si="35"/>
        <v>0.02</v>
      </c>
      <c r="F159" s="966"/>
      <c r="G159" s="53">
        <f t="shared" si="36"/>
        <v>1</v>
      </c>
      <c r="H159" s="966"/>
      <c r="I159" s="53">
        <f t="shared" si="37"/>
        <v>1</v>
      </c>
      <c r="J159" s="966"/>
      <c r="K159" s="53">
        <f t="shared" si="38"/>
        <v>1</v>
      </c>
      <c r="L159" s="966"/>
      <c r="M159" s="53">
        <f t="shared" si="39"/>
        <v>1</v>
      </c>
      <c r="N159" s="966"/>
      <c r="O159" s="53">
        <f t="shared" si="40"/>
        <v>1</v>
      </c>
      <c r="P159" s="966"/>
      <c r="Q159" s="53">
        <f t="shared" si="41"/>
        <v>1</v>
      </c>
      <c r="R159" s="493">
        <f t="shared" si="42"/>
        <v>0</v>
      </c>
      <c r="S159" s="802">
        <f t="shared" si="33"/>
        <v>0</v>
      </c>
    </row>
    <row r="160" spans="1:19">
      <c r="A160" s="968"/>
      <c r="B160" s="137"/>
      <c r="C160" s="53">
        <f t="shared" si="34"/>
        <v>1</v>
      </c>
      <c r="D160" s="966"/>
      <c r="E160" s="53">
        <f t="shared" si="35"/>
        <v>0.02</v>
      </c>
      <c r="F160" s="966"/>
      <c r="G160" s="53">
        <f t="shared" si="36"/>
        <v>1</v>
      </c>
      <c r="H160" s="966"/>
      <c r="I160" s="53">
        <f t="shared" si="37"/>
        <v>1</v>
      </c>
      <c r="J160" s="966"/>
      <c r="K160" s="53">
        <f t="shared" si="38"/>
        <v>1</v>
      </c>
      <c r="L160" s="966"/>
      <c r="M160" s="53">
        <f t="shared" si="39"/>
        <v>1</v>
      </c>
      <c r="N160" s="966"/>
      <c r="O160" s="53">
        <f t="shared" si="40"/>
        <v>1</v>
      </c>
      <c r="P160" s="966"/>
      <c r="Q160" s="53">
        <f t="shared" si="41"/>
        <v>1</v>
      </c>
      <c r="R160" s="493">
        <f t="shared" si="42"/>
        <v>0</v>
      </c>
      <c r="S160" s="802">
        <f t="shared" si="33"/>
        <v>0</v>
      </c>
    </row>
    <row r="161" spans="1:19">
      <c r="A161" s="968"/>
      <c r="B161" s="137"/>
      <c r="C161" s="53">
        <f t="shared" si="34"/>
        <v>1</v>
      </c>
      <c r="D161" s="966"/>
      <c r="E161" s="53">
        <f t="shared" si="35"/>
        <v>0.02</v>
      </c>
      <c r="F161" s="966"/>
      <c r="G161" s="53">
        <f t="shared" si="36"/>
        <v>1</v>
      </c>
      <c r="H161" s="966"/>
      <c r="I161" s="53">
        <f t="shared" si="37"/>
        <v>1</v>
      </c>
      <c r="J161" s="966"/>
      <c r="K161" s="53">
        <f t="shared" si="38"/>
        <v>1</v>
      </c>
      <c r="L161" s="966"/>
      <c r="M161" s="53">
        <f t="shared" si="39"/>
        <v>1</v>
      </c>
      <c r="N161" s="966"/>
      <c r="O161" s="53">
        <f t="shared" si="40"/>
        <v>1</v>
      </c>
      <c r="P161" s="966"/>
      <c r="Q161" s="53">
        <f t="shared" si="41"/>
        <v>1</v>
      </c>
      <c r="R161" s="493">
        <f t="shared" si="42"/>
        <v>0</v>
      </c>
      <c r="S161" s="802">
        <f t="shared" si="33"/>
        <v>0</v>
      </c>
    </row>
    <row r="162" spans="1:19">
      <c r="A162" s="968"/>
      <c r="B162" s="137"/>
      <c r="C162" s="53">
        <f t="shared" si="34"/>
        <v>1</v>
      </c>
      <c r="D162" s="966"/>
      <c r="E162" s="53">
        <f t="shared" si="35"/>
        <v>0.02</v>
      </c>
      <c r="F162" s="966"/>
      <c r="G162" s="53">
        <f t="shared" si="36"/>
        <v>1</v>
      </c>
      <c r="H162" s="966"/>
      <c r="I162" s="53">
        <f t="shared" si="37"/>
        <v>1</v>
      </c>
      <c r="J162" s="966"/>
      <c r="K162" s="53">
        <f t="shared" si="38"/>
        <v>1</v>
      </c>
      <c r="L162" s="966"/>
      <c r="M162" s="53">
        <f t="shared" si="39"/>
        <v>1</v>
      </c>
      <c r="N162" s="966"/>
      <c r="O162" s="53">
        <f t="shared" si="40"/>
        <v>1</v>
      </c>
      <c r="P162" s="966"/>
      <c r="Q162" s="53">
        <f t="shared" si="41"/>
        <v>1</v>
      </c>
      <c r="R162" s="493">
        <f t="shared" si="42"/>
        <v>0</v>
      </c>
      <c r="S162" s="802">
        <f t="shared" si="33"/>
        <v>0</v>
      </c>
    </row>
    <row r="163" spans="1:19">
      <c r="A163" s="968"/>
      <c r="B163" s="137"/>
      <c r="C163" s="53">
        <f t="shared" si="34"/>
        <v>1</v>
      </c>
      <c r="D163" s="966"/>
      <c r="E163" s="53">
        <f t="shared" si="35"/>
        <v>0.02</v>
      </c>
      <c r="F163" s="966"/>
      <c r="G163" s="53">
        <f t="shared" si="36"/>
        <v>1</v>
      </c>
      <c r="H163" s="966"/>
      <c r="I163" s="53">
        <f t="shared" si="37"/>
        <v>1</v>
      </c>
      <c r="J163" s="966"/>
      <c r="K163" s="53">
        <f t="shared" si="38"/>
        <v>1</v>
      </c>
      <c r="L163" s="966"/>
      <c r="M163" s="53">
        <f t="shared" si="39"/>
        <v>1</v>
      </c>
      <c r="N163" s="966"/>
      <c r="O163" s="53">
        <f t="shared" si="40"/>
        <v>1</v>
      </c>
      <c r="P163" s="966"/>
      <c r="Q163" s="53">
        <f t="shared" si="41"/>
        <v>1</v>
      </c>
      <c r="R163" s="493">
        <f t="shared" si="42"/>
        <v>0</v>
      </c>
      <c r="S163" s="802">
        <f t="shared" si="33"/>
        <v>0</v>
      </c>
    </row>
    <row r="164" spans="1:19">
      <c r="A164" s="968"/>
      <c r="B164" s="137"/>
      <c r="C164" s="53">
        <f t="shared" si="34"/>
        <v>1</v>
      </c>
      <c r="D164" s="966"/>
      <c r="E164" s="53">
        <f t="shared" si="35"/>
        <v>0.02</v>
      </c>
      <c r="F164" s="966"/>
      <c r="G164" s="53">
        <f t="shared" si="36"/>
        <v>1</v>
      </c>
      <c r="H164" s="966"/>
      <c r="I164" s="53">
        <f t="shared" si="37"/>
        <v>1</v>
      </c>
      <c r="J164" s="966"/>
      <c r="K164" s="53">
        <f t="shared" si="38"/>
        <v>1</v>
      </c>
      <c r="L164" s="966"/>
      <c r="M164" s="53">
        <f t="shared" si="39"/>
        <v>1</v>
      </c>
      <c r="N164" s="966"/>
      <c r="O164" s="53">
        <f t="shared" si="40"/>
        <v>1</v>
      </c>
      <c r="P164" s="966"/>
      <c r="Q164" s="53">
        <f t="shared" si="41"/>
        <v>1</v>
      </c>
      <c r="R164" s="493">
        <f t="shared" si="42"/>
        <v>0</v>
      </c>
      <c r="S164" s="802">
        <f t="shared" si="33"/>
        <v>0</v>
      </c>
    </row>
    <row r="165" spans="1:19">
      <c r="A165" s="968"/>
      <c r="B165" s="137"/>
      <c r="C165" s="53">
        <f t="shared" si="34"/>
        <v>1</v>
      </c>
      <c r="D165" s="966"/>
      <c r="E165" s="53">
        <f t="shared" si="35"/>
        <v>0.02</v>
      </c>
      <c r="F165" s="966"/>
      <c r="G165" s="53">
        <f t="shared" si="36"/>
        <v>1</v>
      </c>
      <c r="H165" s="966"/>
      <c r="I165" s="53">
        <f t="shared" si="37"/>
        <v>1</v>
      </c>
      <c r="J165" s="966"/>
      <c r="K165" s="53">
        <f t="shared" si="38"/>
        <v>1</v>
      </c>
      <c r="L165" s="966"/>
      <c r="M165" s="53">
        <f t="shared" si="39"/>
        <v>1</v>
      </c>
      <c r="N165" s="966"/>
      <c r="O165" s="53">
        <f t="shared" si="40"/>
        <v>1</v>
      </c>
      <c r="P165" s="966"/>
      <c r="Q165" s="53">
        <f t="shared" si="41"/>
        <v>1</v>
      </c>
      <c r="R165" s="493">
        <f t="shared" si="42"/>
        <v>0</v>
      </c>
      <c r="S165" s="802">
        <f t="shared" si="33"/>
        <v>0</v>
      </c>
    </row>
    <row r="166" spans="1:19">
      <c r="A166" s="968"/>
      <c r="B166" s="137"/>
      <c r="C166" s="53">
        <f t="shared" si="34"/>
        <v>1</v>
      </c>
      <c r="D166" s="966"/>
      <c r="E166" s="53">
        <f t="shared" si="35"/>
        <v>0.02</v>
      </c>
      <c r="F166" s="966"/>
      <c r="G166" s="53">
        <f t="shared" si="36"/>
        <v>1</v>
      </c>
      <c r="H166" s="966"/>
      <c r="I166" s="53">
        <f t="shared" si="37"/>
        <v>1</v>
      </c>
      <c r="J166" s="966"/>
      <c r="K166" s="53">
        <f t="shared" si="38"/>
        <v>1</v>
      </c>
      <c r="L166" s="966"/>
      <c r="M166" s="53">
        <f t="shared" si="39"/>
        <v>1</v>
      </c>
      <c r="N166" s="966"/>
      <c r="O166" s="53">
        <f t="shared" si="40"/>
        <v>1</v>
      </c>
      <c r="P166" s="966"/>
      <c r="Q166" s="53">
        <f t="shared" si="41"/>
        <v>1</v>
      </c>
      <c r="R166" s="493">
        <f t="shared" si="42"/>
        <v>0</v>
      </c>
      <c r="S166" s="802">
        <f t="shared" si="33"/>
        <v>0</v>
      </c>
    </row>
    <row r="167" spans="1:19">
      <c r="A167" s="968"/>
      <c r="B167" s="137"/>
      <c r="C167" s="53">
        <f t="shared" si="34"/>
        <v>1</v>
      </c>
      <c r="D167" s="966"/>
      <c r="E167" s="53">
        <f t="shared" si="35"/>
        <v>0.02</v>
      </c>
      <c r="F167" s="966"/>
      <c r="G167" s="53">
        <f t="shared" si="36"/>
        <v>1</v>
      </c>
      <c r="H167" s="966"/>
      <c r="I167" s="53">
        <f t="shared" si="37"/>
        <v>1</v>
      </c>
      <c r="J167" s="966"/>
      <c r="K167" s="53">
        <f t="shared" si="38"/>
        <v>1</v>
      </c>
      <c r="L167" s="966"/>
      <c r="M167" s="53">
        <f t="shared" si="39"/>
        <v>1</v>
      </c>
      <c r="N167" s="966"/>
      <c r="O167" s="53">
        <f t="shared" si="40"/>
        <v>1</v>
      </c>
      <c r="P167" s="966"/>
      <c r="Q167" s="53">
        <f t="shared" si="41"/>
        <v>1</v>
      </c>
      <c r="R167" s="493">
        <f t="shared" si="42"/>
        <v>0</v>
      </c>
      <c r="S167" s="802">
        <f t="shared" si="33"/>
        <v>0</v>
      </c>
    </row>
    <row r="168" spans="1:19">
      <c r="A168" s="968"/>
      <c r="B168" s="137"/>
      <c r="C168" s="53">
        <f t="shared" si="34"/>
        <v>1</v>
      </c>
      <c r="D168" s="966"/>
      <c r="E168" s="53">
        <f t="shared" si="35"/>
        <v>0.02</v>
      </c>
      <c r="F168" s="966"/>
      <c r="G168" s="53">
        <f t="shared" si="36"/>
        <v>1</v>
      </c>
      <c r="H168" s="966"/>
      <c r="I168" s="53">
        <f t="shared" si="37"/>
        <v>1</v>
      </c>
      <c r="J168" s="966"/>
      <c r="K168" s="53">
        <f t="shared" si="38"/>
        <v>1</v>
      </c>
      <c r="L168" s="966"/>
      <c r="M168" s="53">
        <f t="shared" si="39"/>
        <v>1</v>
      </c>
      <c r="N168" s="966"/>
      <c r="O168" s="53">
        <f t="shared" si="40"/>
        <v>1</v>
      </c>
      <c r="P168" s="966"/>
      <c r="Q168" s="53">
        <f t="shared" si="41"/>
        <v>1</v>
      </c>
      <c r="R168" s="493">
        <f t="shared" si="42"/>
        <v>0</v>
      </c>
      <c r="S168" s="802">
        <f t="shared" si="33"/>
        <v>0</v>
      </c>
    </row>
    <row r="169" spans="1:19">
      <c r="A169" s="968"/>
      <c r="B169" s="137"/>
      <c r="C169" s="53">
        <f t="shared" si="34"/>
        <v>1</v>
      </c>
      <c r="D169" s="966"/>
      <c r="E169" s="53">
        <f t="shared" si="35"/>
        <v>0.02</v>
      </c>
      <c r="F169" s="966"/>
      <c r="G169" s="53">
        <f t="shared" si="36"/>
        <v>1</v>
      </c>
      <c r="H169" s="966"/>
      <c r="I169" s="53">
        <f t="shared" si="37"/>
        <v>1</v>
      </c>
      <c r="J169" s="966"/>
      <c r="K169" s="53">
        <f t="shared" si="38"/>
        <v>1</v>
      </c>
      <c r="L169" s="966"/>
      <c r="M169" s="53">
        <f t="shared" si="39"/>
        <v>1</v>
      </c>
      <c r="N169" s="966"/>
      <c r="O169" s="53">
        <f t="shared" si="40"/>
        <v>1</v>
      </c>
      <c r="P169" s="966"/>
      <c r="Q169" s="53">
        <f t="shared" si="41"/>
        <v>1</v>
      </c>
      <c r="R169" s="493">
        <f t="shared" si="42"/>
        <v>0</v>
      </c>
      <c r="S169" s="802">
        <f t="shared" si="33"/>
        <v>0</v>
      </c>
    </row>
    <row r="170" spans="1:19">
      <c r="A170" s="968"/>
      <c r="B170" s="137"/>
      <c r="C170" s="53">
        <f t="shared" si="34"/>
        <v>1</v>
      </c>
      <c r="D170" s="966"/>
      <c r="E170" s="53">
        <f t="shared" si="35"/>
        <v>0.02</v>
      </c>
      <c r="F170" s="966"/>
      <c r="G170" s="53">
        <f t="shared" si="36"/>
        <v>1</v>
      </c>
      <c r="H170" s="966"/>
      <c r="I170" s="53">
        <f t="shared" si="37"/>
        <v>1</v>
      </c>
      <c r="J170" s="966"/>
      <c r="K170" s="53">
        <f t="shared" si="38"/>
        <v>1</v>
      </c>
      <c r="L170" s="966"/>
      <c r="M170" s="53">
        <f t="shared" si="39"/>
        <v>1</v>
      </c>
      <c r="N170" s="966"/>
      <c r="O170" s="53">
        <f t="shared" si="40"/>
        <v>1</v>
      </c>
      <c r="P170" s="966"/>
      <c r="Q170" s="53">
        <f t="shared" si="41"/>
        <v>1</v>
      </c>
      <c r="R170" s="493">
        <f t="shared" si="42"/>
        <v>0</v>
      </c>
      <c r="S170" s="802">
        <f t="shared" si="33"/>
        <v>0</v>
      </c>
    </row>
    <row r="171" spans="1:19">
      <c r="A171" s="968"/>
      <c r="B171" s="137"/>
      <c r="C171" s="53">
        <f t="shared" si="34"/>
        <v>1</v>
      </c>
      <c r="D171" s="966"/>
      <c r="E171" s="53">
        <f t="shared" si="35"/>
        <v>0.02</v>
      </c>
      <c r="F171" s="966"/>
      <c r="G171" s="53">
        <f t="shared" si="36"/>
        <v>1</v>
      </c>
      <c r="H171" s="966"/>
      <c r="I171" s="53">
        <f t="shared" si="37"/>
        <v>1</v>
      </c>
      <c r="J171" s="966"/>
      <c r="K171" s="53">
        <f t="shared" si="38"/>
        <v>1</v>
      </c>
      <c r="L171" s="966"/>
      <c r="M171" s="53">
        <f t="shared" si="39"/>
        <v>1</v>
      </c>
      <c r="N171" s="966"/>
      <c r="O171" s="53">
        <f t="shared" si="40"/>
        <v>1</v>
      </c>
      <c r="P171" s="966"/>
      <c r="Q171" s="53">
        <f t="shared" si="41"/>
        <v>1</v>
      </c>
      <c r="R171" s="493">
        <f t="shared" si="42"/>
        <v>0</v>
      </c>
      <c r="S171" s="802">
        <f t="shared" si="33"/>
        <v>0</v>
      </c>
    </row>
    <row r="172" spans="1:19">
      <c r="A172" s="968"/>
      <c r="B172" s="137"/>
      <c r="C172" s="53">
        <f t="shared" si="34"/>
        <v>1</v>
      </c>
      <c r="D172" s="966"/>
      <c r="E172" s="53">
        <f t="shared" si="35"/>
        <v>0.02</v>
      </c>
      <c r="F172" s="966"/>
      <c r="G172" s="53">
        <f t="shared" si="36"/>
        <v>1</v>
      </c>
      <c r="H172" s="966"/>
      <c r="I172" s="53">
        <f t="shared" si="37"/>
        <v>1</v>
      </c>
      <c r="J172" s="966"/>
      <c r="K172" s="53">
        <f t="shared" si="38"/>
        <v>1</v>
      </c>
      <c r="L172" s="966"/>
      <c r="M172" s="53">
        <f t="shared" si="39"/>
        <v>1</v>
      </c>
      <c r="N172" s="966"/>
      <c r="O172" s="53">
        <f t="shared" si="40"/>
        <v>1</v>
      </c>
      <c r="P172" s="966"/>
      <c r="Q172" s="53">
        <f t="shared" si="41"/>
        <v>1</v>
      </c>
      <c r="R172" s="493">
        <f t="shared" si="42"/>
        <v>0</v>
      </c>
      <c r="S172" s="802">
        <f t="shared" si="33"/>
        <v>0</v>
      </c>
    </row>
    <row r="173" spans="1:19">
      <c r="A173" s="968"/>
      <c r="B173" s="137"/>
      <c r="C173" s="53">
        <f t="shared" si="34"/>
        <v>1</v>
      </c>
      <c r="D173" s="966"/>
      <c r="E173" s="53">
        <f t="shared" si="35"/>
        <v>0.02</v>
      </c>
      <c r="F173" s="966"/>
      <c r="G173" s="53">
        <f t="shared" si="36"/>
        <v>1</v>
      </c>
      <c r="H173" s="966"/>
      <c r="I173" s="53">
        <f t="shared" si="37"/>
        <v>1</v>
      </c>
      <c r="J173" s="966"/>
      <c r="K173" s="53">
        <f t="shared" si="38"/>
        <v>1</v>
      </c>
      <c r="L173" s="966"/>
      <c r="M173" s="53">
        <f t="shared" si="39"/>
        <v>1</v>
      </c>
      <c r="N173" s="966"/>
      <c r="O173" s="53">
        <f t="shared" si="40"/>
        <v>1</v>
      </c>
      <c r="P173" s="966"/>
      <c r="Q173" s="53">
        <f t="shared" si="41"/>
        <v>1</v>
      </c>
      <c r="R173" s="493">
        <f t="shared" si="42"/>
        <v>0</v>
      </c>
      <c r="S173" s="802">
        <f t="shared" si="33"/>
        <v>0</v>
      </c>
    </row>
    <row r="174" spans="1:19">
      <c r="A174" s="968"/>
      <c r="B174" s="137"/>
      <c r="C174" s="53">
        <f t="shared" si="34"/>
        <v>1</v>
      </c>
      <c r="D174" s="966"/>
      <c r="E174" s="53">
        <f t="shared" si="35"/>
        <v>0.02</v>
      </c>
      <c r="F174" s="966"/>
      <c r="G174" s="53">
        <f t="shared" si="36"/>
        <v>1</v>
      </c>
      <c r="H174" s="966"/>
      <c r="I174" s="53">
        <f t="shared" si="37"/>
        <v>1</v>
      </c>
      <c r="J174" s="966"/>
      <c r="K174" s="53">
        <f t="shared" si="38"/>
        <v>1</v>
      </c>
      <c r="L174" s="966"/>
      <c r="M174" s="53">
        <f t="shared" si="39"/>
        <v>1</v>
      </c>
      <c r="N174" s="966"/>
      <c r="O174" s="53">
        <f t="shared" si="40"/>
        <v>1</v>
      </c>
      <c r="P174" s="966"/>
      <c r="Q174" s="53">
        <f t="shared" si="41"/>
        <v>1</v>
      </c>
      <c r="R174" s="493">
        <f t="shared" si="42"/>
        <v>0</v>
      </c>
      <c r="S174" s="802">
        <f t="shared" si="33"/>
        <v>0</v>
      </c>
    </row>
    <row r="175" spans="1:19">
      <c r="A175" s="968"/>
      <c r="B175" s="137"/>
      <c r="C175" s="53">
        <f t="shared" si="34"/>
        <v>1</v>
      </c>
      <c r="D175" s="966"/>
      <c r="E175" s="53">
        <f t="shared" si="35"/>
        <v>0.02</v>
      </c>
      <c r="F175" s="966"/>
      <c r="G175" s="53">
        <f t="shared" si="36"/>
        <v>1</v>
      </c>
      <c r="H175" s="966"/>
      <c r="I175" s="53">
        <f t="shared" si="37"/>
        <v>1</v>
      </c>
      <c r="J175" s="966"/>
      <c r="K175" s="53">
        <f t="shared" si="38"/>
        <v>1</v>
      </c>
      <c r="L175" s="966"/>
      <c r="M175" s="53">
        <f t="shared" si="39"/>
        <v>1</v>
      </c>
      <c r="N175" s="966"/>
      <c r="O175" s="53">
        <f t="shared" si="40"/>
        <v>1</v>
      </c>
      <c r="P175" s="966"/>
      <c r="Q175" s="53">
        <f t="shared" si="41"/>
        <v>1</v>
      </c>
      <c r="R175" s="493">
        <f t="shared" si="42"/>
        <v>0</v>
      </c>
      <c r="S175" s="802">
        <f t="shared" si="33"/>
        <v>0</v>
      </c>
    </row>
    <row r="176" spans="1:19">
      <c r="A176" s="968"/>
      <c r="B176" s="137"/>
      <c r="C176" s="53">
        <f t="shared" si="34"/>
        <v>1</v>
      </c>
      <c r="D176" s="966"/>
      <c r="E176" s="53">
        <f t="shared" si="35"/>
        <v>0.02</v>
      </c>
      <c r="F176" s="966"/>
      <c r="G176" s="53">
        <f t="shared" si="36"/>
        <v>1</v>
      </c>
      <c r="H176" s="966"/>
      <c r="I176" s="53">
        <f t="shared" si="37"/>
        <v>1</v>
      </c>
      <c r="J176" s="966"/>
      <c r="K176" s="53">
        <f t="shared" si="38"/>
        <v>1</v>
      </c>
      <c r="L176" s="966"/>
      <c r="M176" s="53">
        <f t="shared" si="39"/>
        <v>1</v>
      </c>
      <c r="N176" s="966"/>
      <c r="O176" s="53">
        <f t="shared" si="40"/>
        <v>1</v>
      </c>
      <c r="P176" s="966"/>
      <c r="Q176" s="53">
        <f t="shared" si="41"/>
        <v>1</v>
      </c>
      <c r="R176" s="493">
        <f t="shared" si="42"/>
        <v>0</v>
      </c>
      <c r="S176" s="802">
        <f t="shared" si="33"/>
        <v>0</v>
      </c>
    </row>
    <row r="177" spans="1:19">
      <c r="A177" s="968"/>
      <c r="B177" s="137"/>
      <c r="C177" s="53">
        <f t="shared" si="34"/>
        <v>1</v>
      </c>
      <c r="D177" s="966"/>
      <c r="E177" s="53">
        <f t="shared" si="35"/>
        <v>0.02</v>
      </c>
      <c r="F177" s="966"/>
      <c r="G177" s="53">
        <f t="shared" si="36"/>
        <v>1</v>
      </c>
      <c r="H177" s="966"/>
      <c r="I177" s="53">
        <f t="shared" si="37"/>
        <v>1</v>
      </c>
      <c r="J177" s="966"/>
      <c r="K177" s="53">
        <f t="shared" si="38"/>
        <v>1</v>
      </c>
      <c r="L177" s="966"/>
      <c r="M177" s="53">
        <f t="shared" si="39"/>
        <v>1</v>
      </c>
      <c r="N177" s="966"/>
      <c r="O177" s="53">
        <f t="shared" si="40"/>
        <v>1</v>
      </c>
      <c r="P177" s="966"/>
      <c r="Q177" s="53">
        <f t="shared" si="41"/>
        <v>1</v>
      </c>
      <c r="R177" s="493">
        <f t="shared" si="42"/>
        <v>0</v>
      </c>
      <c r="S177" s="802">
        <f t="shared" si="33"/>
        <v>0</v>
      </c>
    </row>
    <row r="178" spans="1:19">
      <c r="A178" s="968"/>
      <c r="B178" s="137"/>
      <c r="C178" s="53">
        <f t="shared" si="34"/>
        <v>1</v>
      </c>
      <c r="D178" s="966"/>
      <c r="E178" s="53">
        <f t="shared" si="35"/>
        <v>0.02</v>
      </c>
      <c r="F178" s="966"/>
      <c r="G178" s="53">
        <f t="shared" si="36"/>
        <v>1</v>
      </c>
      <c r="H178" s="966"/>
      <c r="I178" s="53">
        <f t="shared" si="37"/>
        <v>1</v>
      </c>
      <c r="J178" s="966"/>
      <c r="K178" s="53">
        <f t="shared" si="38"/>
        <v>1</v>
      </c>
      <c r="L178" s="966"/>
      <c r="M178" s="53">
        <f t="shared" si="39"/>
        <v>1</v>
      </c>
      <c r="N178" s="966"/>
      <c r="O178" s="53">
        <f t="shared" si="40"/>
        <v>1</v>
      </c>
      <c r="P178" s="966"/>
      <c r="Q178" s="53">
        <f t="shared" si="41"/>
        <v>1</v>
      </c>
      <c r="R178" s="493">
        <f t="shared" si="42"/>
        <v>0</v>
      </c>
      <c r="S178" s="802">
        <f t="shared" si="33"/>
        <v>0</v>
      </c>
    </row>
    <row r="179" spans="1:19">
      <c r="A179" s="968"/>
      <c r="B179" s="137"/>
      <c r="C179" s="53">
        <f t="shared" si="34"/>
        <v>1</v>
      </c>
      <c r="D179" s="966"/>
      <c r="E179" s="53">
        <f t="shared" si="35"/>
        <v>0.02</v>
      </c>
      <c r="F179" s="966"/>
      <c r="G179" s="53">
        <f t="shared" si="36"/>
        <v>1</v>
      </c>
      <c r="H179" s="966"/>
      <c r="I179" s="53">
        <f t="shared" si="37"/>
        <v>1</v>
      </c>
      <c r="J179" s="966"/>
      <c r="K179" s="53">
        <f t="shared" si="38"/>
        <v>1</v>
      </c>
      <c r="L179" s="966"/>
      <c r="M179" s="53">
        <f t="shared" si="39"/>
        <v>1</v>
      </c>
      <c r="N179" s="966"/>
      <c r="O179" s="53">
        <f t="shared" si="40"/>
        <v>1</v>
      </c>
      <c r="P179" s="966"/>
      <c r="Q179" s="53">
        <f t="shared" si="41"/>
        <v>1</v>
      </c>
      <c r="R179" s="493">
        <f t="shared" si="42"/>
        <v>0</v>
      </c>
      <c r="S179" s="802">
        <f t="shared" si="33"/>
        <v>0</v>
      </c>
    </row>
    <row r="180" spans="1:19">
      <c r="A180" s="968"/>
      <c r="B180" s="137"/>
      <c r="C180" s="53">
        <f t="shared" si="34"/>
        <v>1</v>
      </c>
      <c r="D180" s="966"/>
      <c r="E180" s="53">
        <f t="shared" si="35"/>
        <v>0.02</v>
      </c>
      <c r="F180" s="966"/>
      <c r="G180" s="53">
        <f t="shared" si="36"/>
        <v>1</v>
      </c>
      <c r="H180" s="966"/>
      <c r="I180" s="53">
        <f t="shared" si="37"/>
        <v>1</v>
      </c>
      <c r="J180" s="966"/>
      <c r="K180" s="53">
        <f t="shared" si="38"/>
        <v>1</v>
      </c>
      <c r="L180" s="966"/>
      <c r="M180" s="53">
        <f t="shared" si="39"/>
        <v>1</v>
      </c>
      <c r="N180" s="966"/>
      <c r="O180" s="53">
        <f t="shared" si="40"/>
        <v>1</v>
      </c>
      <c r="P180" s="966"/>
      <c r="Q180" s="53">
        <f t="shared" si="41"/>
        <v>1</v>
      </c>
      <c r="R180" s="493">
        <f t="shared" si="42"/>
        <v>0</v>
      </c>
      <c r="S180" s="802">
        <f t="shared" si="33"/>
        <v>0</v>
      </c>
    </row>
    <row r="181" spans="1:19">
      <c r="A181" s="968"/>
      <c r="B181" s="137"/>
      <c r="C181" s="53">
        <f t="shared" si="34"/>
        <v>1</v>
      </c>
      <c r="D181" s="966"/>
      <c r="E181" s="53">
        <f t="shared" si="35"/>
        <v>0.02</v>
      </c>
      <c r="F181" s="966"/>
      <c r="G181" s="53">
        <f t="shared" si="36"/>
        <v>1</v>
      </c>
      <c r="H181" s="966"/>
      <c r="I181" s="53">
        <f t="shared" si="37"/>
        <v>1</v>
      </c>
      <c r="J181" s="966"/>
      <c r="K181" s="53">
        <f t="shared" si="38"/>
        <v>1</v>
      </c>
      <c r="L181" s="966"/>
      <c r="M181" s="53">
        <f t="shared" si="39"/>
        <v>1</v>
      </c>
      <c r="N181" s="966"/>
      <c r="O181" s="53">
        <f t="shared" si="40"/>
        <v>1</v>
      </c>
      <c r="P181" s="966"/>
      <c r="Q181" s="53">
        <f t="shared" si="41"/>
        <v>1</v>
      </c>
      <c r="R181" s="493">
        <f t="shared" si="42"/>
        <v>0</v>
      </c>
      <c r="S181" s="802">
        <f t="shared" si="33"/>
        <v>0</v>
      </c>
    </row>
    <row r="182" spans="1:19">
      <c r="A182" s="968"/>
      <c r="B182" s="137"/>
      <c r="C182" s="53">
        <f t="shared" si="34"/>
        <v>1</v>
      </c>
      <c r="D182" s="966"/>
      <c r="E182" s="53">
        <f t="shared" si="35"/>
        <v>0.02</v>
      </c>
      <c r="F182" s="966"/>
      <c r="G182" s="53">
        <f t="shared" si="36"/>
        <v>1</v>
      </c>
      <c r="H182" s="966"/>
      <c r="I182" s="53">
        <f t="shared" si="37"/>
        <v>1</v>
      </c>
      <c r="J182" s="966"/>
      <c r="K182" s="53">
        <f t="shared" si="38"/>
        <v>1</v>
      </c>
      <c r="L182" s="966"/>
      <c r="M182" s="53">
        <f t="shared" si="39"/>
        <v>1</v>
      </c>
      <c r="N182" s="966"/>
      <c r="O182" s="53">
        <f t="shared" si="40"/>
        <v>1</v>
      </c>
      <c r="P182" s="966"/>
      <c r="Q182" s="53">
        <f t="shared" si="41"/>
        <v>1</v>
      </c>
      <c r="R182" s="493">
        <f t="shared" si="42"/>
        <v>0</v>
      </c>
      <c r="S182" s="802">
        <f t="shared" si="33"/>
        <v>0</v>
      </c>
    </row>
    <row r="183" spans="1:19">
      <c r="A183" s="968"/>
      <c r="B183" s="137"/>
      <c r="C183" s="53">
        <f t="shared" si="34"/>
        <v>1</v>
      </c>
      <c r="D183" s="966"/>
      <c r="E183" s="53">
        <f t="shared" si="35"/>
        <v>0.02</v>
      </c>
      <c r="F183" s="966"/>
      <c r="G183" s="53">
        <f t="shared" si="36"/>
        <v>1</v>
      </c>
      <c r="H183" s="966"/>
      <c r="I183" s="53">
        <f t="shared" si="37"/>
        <v>1</v>
      </c>
      <c r="J183" s="966"/>
      <c r="K183" s="53">
        <f t="shared" si="38"/>
        <v>1</v>
      </c>
      <c r="L183" s="966"/>
      <c r="M183" s="53">
        <f t="shared" si="39"/>
        <v>1</v>
      </c>
      <c r="N183" s="966"/>
      <c r="O183" s="53">
        <f t="shared" si="40"/>
        <v>1</v>
      </c>
      <c r="P183" s="966"/>
      <c r="Q183" s="53">
        <f t="shared" si="41"/>
        <v>1</v>
      </c>
      <c r="R183" s="493">
        <f t="shared" si="42"/>
        <v>0</v>
      </c>
      <c r="S183" s="802">
        <f t="shared" si="33"/>
        <v>0</v>
      </c>
    </row>
    <row r="184" spans="1:19">
      <c r="A184" s="968"/>
      <c r="B184" s="137"/>
      <c r="C184" s="53">
        <f t="shared" si="34"/>
        <v>1</v>
      </c>
      <c r="D184" s="966"/>
      <c r="E184" s="53">
        <f t="shared" si="35"/>
        <v>0.02</v>
      </c>
      <c r="F184" s="966"/>
      <c r="G184" s="53">
        <f t="shared" si="36"/>
        <v>1</v>
      </c>
      <c r="H184" s="966"/>
      <c r="I184" s="53">
        <f t="shared" si="37"/>
        <v>1</v>
      </c>
      <c r="J184" s="966"/>
      <c r="K184" s="53">
        <f t="shared" si="38"/>
        <v>1</v>
      </c>
      <c r="L184" s="966"/>
      <c r="M184" s="53">
        <f t="shared" si="39"/>
        <v>1</v>
      </c>
      <c r="N184" s="966"/>
      <c r="O184" s="53">
        <f t="shared" si="40"/>
        <v>1</v>
      </c>
      <c r="P184" s="966"/>
      <c r="Q184" s="53">
        <f t="shared" si="41"/>
        <v>1</v>
      </c>
      <c r="R184" s="493">
        <f t="shared" si="42"/>
        <v>0</v>
      </c>
      <c r="S184" s="802">
        <f t="shared" si="33"/>
        <v>0</v>
      </c>
    </row>
    <row r="185" spans="1:19">
      <c r="A185" s="968"/>
      <c r="B185" s="137"/>
      <c r="C185" s="53">
        <f t="shared" si="34"/>
        <v>1</v>
      </c>
      <c r="D185" s="966"/>
      <c r="E185" s="53">
        <f t="shared" si="35"/>
        <v>0.02</v>
      </c>
      <c r="F185" s="966"/>
      <c r="G185" s="53">
        <f t="shared" si="36"/>
        <v>1</v>
      </c>
      <c r="H185" s="966"/>
      <c r="I185" s="53">
        <f t="shared" si="37"/>
        <v>1</v>
      </c>
      <c r="J185" s="966"/>
      <c r="K185" s="53">
        <f t="shared" si="38"/>
        <v>1</v>
      </c>
      <c r="L185" s="966"/>
      <c r="M185" s="53">
        <f t="shared" si="39"/>
        <v>1</v>
      </c>
      <c r="N185" s="966"/>
      <c r="O185" s="53">
        <f t="shared" si="40"/>
        <v>1</v>
      </c>
      <c r="P185" s="966"/>
      <c r="Q185" s="53">
        <f t="shared" si="41"/>
        <v>1</v>
      </c>
      <c r="R185" s="493">
        <f t="shared" si="42"/>
        <v>0</v>
      </c>
      <c r="S185" s="802">
        <f t="shared" si="33"/>
        <v>0</v>
      </c>
    </row>
    <row r="186" spans="1:19">
      <c r="A186" s="968"/>
      <c r="B186" s="137"/>
      <c r="C186" s="53">
        <f t="shared" si="34"/>
        <v>1</v>
      </c>
      <c r="D186" s="966"/>
      <c r="E186" s="53">
        <f t="shared" si="35"/>
        <v>0.02</v>
      </c>
      <c r="F186" s="966"/>
      <c r="G186" s="53">
        <f t="shared" si="36"/>
        <v>1</v>
      </c>
      <c r="H186" s="966"/>
      <c r="I186" s="53">
        <f t="shared" si="37"/>
        <v>1</v>
      </c>
      <c r="J186" s="966"/>
      <c r="K186" s="53">
        <f t="shared" si="38"/>
        <v>1</v>
      </c>
      <c r="L186" s="966"/>
      <c r="M186" s="53">
        <f t="shared" si="39"/>
        <v>1</v>
      </c>
      <c r="N186" s="966"/>
      <c r="O186" s="53">
        <f t="shared" si="40"/>
        <v>1</v>
      </c>
      <c r="P186" s="966"/>
      <c r="Q186" s="53">
        <f t="shared" si="41"/>
        <v>1</v>
      </c>
      <c r="R186" s="493">
        <f t="shared" si="42"/>
        <v>0</v>
      </c>
      <c r="S186" s="802">
        <f t="shared" si="33"/>
        <v>0</v>
      </c>
    </row>
    <row r="187" spans="1:19">
      <c r="A187" s="968"/>
      <c r="B187" s="137"/>
      <c r="C187" s="53">
        <f t="shared" si="34"/>
        <v>1</v>
      </c>
      <c r="D187" s="966"/>
      <c r="E187" s="53">
        <f t="shared" si="35"/>
        <v>0.02</v>
      </c>
      <c r="F187" s="966"/>
      <c r="G187" s="53">
        <f t="shared" si="36"/>
        <v>1</v>
      </c>
      <c r="H187" s="966"/>
      <c r="I187" s="53">
        <f t="shared" si="37"/>
        <v>1</v>
      </c>
      <c r="J187" s="966"/>
      <c r="K187" s="53">
        <f t="shared" si="38"/>
        <v>1</v>
      </c>
      <c r="L187" s="966"/>
      <c r="M187" s="53">
        <f t="shared" si="39"/>
        <v>1</v>
      </c>
      <c r="N187" s="966"/>
      <c r="O187" s="53">
        <f t="shared" si="40"/>
        <v>1</v>
      </c>
      <c r="P187" s="966"/>
      <c r="Q187" s="53">
        <f t="shared" si="41"/>
        <v>1</v>
      </c>
      <c r="R187" s="493">
        <f t="shared" si="42"/>
        <v>0</v>
      </c>
      <c r="S187" s="802">
        <f t="shared" ref="S187:S222" si="43">ROUND(R187*B187/10000,0)</f>
        <v>0</v>
      </c>
    </row>
    <row r="188" spans="1:19">
      <c r="A188" s="968"/>
      <c r="B188" s="137"/>
      <c r="C188" s="53">
        <f t="shared" si="34"/>
        <v>1</v>
      </c>
      <c r="D188" s="966"/>
      <c r="E188" s="53">
        <f t="shared" si="35"/>
        <v>0.02</v>
      </c>
      <c r="F188" s="966"/>
      <c r="G188" s="53">
        <f t="shared" si="36"/>
        <v>1</v>
      </c>
      <c r="H188" s="966"/>
      <c r="I188" s="53">
        <f t="shared" si="37"/>
        <v>1</v>
      </c>
      <c r="J188" s="966"/>
      <c r="K188" s="53">
        <f t="shared" si="38"/>
        <v>1</v>
      </c>
      <c r="L188" s="966"/>
      <c r="M188" s="53">
        <f t="shared" si="39"/>
        <v>1</v>
      </c>
      <c r="N188" s="966"/>
      <c r="O188" s="53">
        <f t="shared" si="40"/>
        <v>1</v>
      </c>
      <c r="P188" s="966"/>
      <c r="Q188" s="53">
        <f t="shared" si="41"/>
        <v>1</v>
      </c>
      <c r="R188" s="493">
        <f t="shared" si="42"/>
        <v>0</v>
      </c>
      <c r="S188" s="802">
        <f t="shared" si="43"/>
        <v>0</v>
      </c>
    </row>
    <row r="189" spans="1:19">
      <c r="A189" s="968"/>
      <c r="B189" s="137"/>
      <c r="C189" s="53">
        <f t="shared" si="34"/>
        <v>1</v>
      </c>
      <c r="D189" s="966"/>
      <c r="E189" s="53">
        <f t="shared" si="35"/>
        <v>0.02</v>
      </c>
      <c r="F189" s="966"/>
      <c r="G189" s="53">
        <f t="shared" si="36"/>
        <v>1</v>
      </c>
      <c r="H189" s="966"/>
      <c r="I189" s="53">
        <f t="shared" si="37"/>
        <v>1</v>
      </c>
      <c r="J189" s="966"/>
      <c r="K189" s="53">
        <f t="shared" si="38"/>
        <v>1</v>
      </c>
      <c r="L189" s="966"/>
      <c r="M189" s="53">
        <f t="shared" si="39"/>
        <v>1</v>
      </c>
      <c r="N189" s="966"/>
      <c r="O189" s="53">
        <f t="shared" si="40"/>
        <v>1</v>
      </c>
      <c r="P189" s="966"/>
      <c r="Q189" s="53">
        <f t="shared" si="41"/>
        <v>1</v>
      </c>
      <c r="R189" s="493">
        <f t="shared" si="42"/>
        <v>0</v>
      </c>
      <c r="S189" s="802">
        <f t="shared" si="43"/>
        <v>0</v>
      </c>
    </row>
    <row r="190" spans="1:19">
      <c r="A190" s="968"/>
      <c r="B190" s="137"/>
      <c r="C190" s="53">
        <f t="shared" si="34"/>
        <v>1</v>
      </c>
      <c r="D190" s="966"/>
      <c r="E190" s="53">
        <f t="shared" si="35"/>
        <v>0.02</v>
      </c>
      <c r="F190" s="966"/>
      <c r="G190" s="53">
        <f t="shared" si="36"/>
        <v>1</v>
      </c>
      <c r="H190" s="966"/>
      <c r="I190" s="53">
        <f t="shared" si="37"/>
        <v>1</v>
      </c>
      <c r="J190" s="966"/>
      <c r="K190" s="53">
        <f t="shared" si="38"/>
        <v>1</v>
      </c>
      <c r="L190" s="966"/>
      <c r="M190" s="53">
        <f t="shared" si="39"/>
        <v>1</v>
      </c>
      <c r="N190" s="966"/>
      <c r="O190" s="53">
        <f t="shared" si="40"/>
        <v>1</v>
      </c>
      <c r="P190" s="966"/>
      <c r="Q190" s="53">
        <f t="shared" si="41"/>
        <v>1</v>
      </c>
      <c r="R190" s="493">
        <f t="shared" si="42"/>
        <v>0</v>
      </c>
      <c r="S190" s="802">
        <f t="shared" si="43"/>
        <v>0</v>
      </c>
    </row>
    <row r="191" spans="1:19">
      <c r="A191" s="968"/>
      <c r="B191" s="137"/>
      <c r="C191" s="53">
        <f t="shared" si="34"/>
        <v>1</v>
      </c>
      <c r="D191" s="966"/>
      <c r="E191" s="53">
        <f t="shared" si="35"/>
        <v>0.02</v>
      </c>
      <c r="F191" s="966"/>
      <c r="G191" s="53">
        <f t="shared" si="36"/>
        <v>1</v>
      </c>
      <c r="H191" s="966"/>
      <c r="I191" s="53">
        <f t="shared" si="37"/>
        <v>1</v>
      </c>
      <c r="J191" s="966"/>
      <c r="K191" s="53">
        <f t="shared" si="38"/>
        <v>1</v>
      </c>
      <c r="L191" s="966"/>
      <c r="M191" s="53">
        <f t="shared" si="39"/>
        <v>1</v>
      </c>
      <c r="N191" s="966"/>
      <c r="O191" s="53">
        <f t="shared" si="40"/>
        <v>1</v>
      </c>
      <c r="P191" s="966"/>
      <c r="Q191" s="53">
        <f t="shared" si="41"/>
        <v>1</v>
      </c>
      <c r="R191" s="493">
        <f t="shared" si="42"/>
        <v>0</v>
      </c>
      <c r="S191" s="802">
        <f t="shared" si="43"/>
        <v>0</v>
      </c>
    </row>
    <row r="192" spans="1:19">
      <c r="A192" s="968"/>
      <c r="B192" s="137"/>
      <c r="C192" s="53">
        <f t="shared" si="34"/>
        <v>1</v>
      </c>
      <c r="D192" s="966"/>
      <c r="E192" s="53">
        <f t="shared" si="35"/>
        <v>0.02</v>
      </c>
      <c r="F192" s="966"/>
      <c r="G192" s="53">
        <f t="shared" si="36"/>
        <v>1</v>
      </c>
      <c r="H192" s="966"/>
      <c r="I192" s="53">
        <f t="shared" si="37"/>
        <v>1</v>
      </c>
      <c r="J192" s="966"/>
      <c r="K192" s="53">
        <f t="shared" si="38"/>
        <v>1</v>
      </c>
      <c r="L192" s="966"/>
      <c r="M192" s="53">
        <f t="shared" si="39"/>
        <v>1</v>
      </c>
      <c r="N192" s="966"/>
      <c r="O192" s="53">
        <f t="shared" si="40"/>
        <v>1</v>
      </c>
      <c r="P192" s="966"/>
      <c r="Q192" s="53">
        <f t="shared" si="41"/>
        <v>1</v>
      </c>
      <c r="R192" s="493">
        <f t="shared" si="42"/>
        <v>0</v>
      </c>
      <c r="S192" s="802">
        <f t="shared" si="43"/>
        <v>0</v>
      </c>
    </row>
    <row r="193" spans="1:19">
      <c r="A193" s="968"/>
      <c r="B193" s="137"/>
      <c r="C193" s="53">
        <f t="shared" si="34"/>
        <v>1</v>
      </c>
      <c r="D193" s="966"/>
      <c r="E193" s="53">
        <f t="shared" si="35"/>
        <v>0.02</v>
      </c>
      <c r="F193" s="966"/>
      <c r="G193" s="53">
        <f t="shared" si="36"/>
        <v>1</v>
      </c>
      <c r="H193" s="966"/>
      <c r="I193" s="53">
        <f t="shared" si="37"/>
        <v>1</v>
      </c>
      <c r="J193" s="966"/>
      <c r="K193" s="53">
        <f t="shared" si="38"/>
        <v>1</v>
      </c>
      <c r="L193" s="966"/>
      <c r="M193" s="53">
        <f t="shared" si="39"/>
        <v>1</v>
      </c>
      <c r="N193" s="966"/>
      <c r="O193" s="53">
        <f t="shared" si="40"/>
        <v>1</v>
      </c>
      <c r="P193" s="966"/>
      <c r="Q193" s="53">
        <f t="shared" si="41"/>
        <v>1</v>
      </c>
      <c r="R193" s="493">
        <f t="shared" si="42"/>
        <v>0</v>
      </c>
      <c r="S193" s="802">
        <f t="shared" si="43"/>
        <v>0</v>
      </c>
    </row>
    <row r="194" spans="1:19">
      <c r="A194" s="968"/>
      <c r="B194" s="137"/>
      <c r="C194" s="53">
        <f t="shared" si="34"/>
        <v>1</v>
      </c>
      <c r="D194" s="966"/>
      <c r="E194" s="53">
        <f t="shared" si="35"/>
        <v>0.02</v>
      </c>
      <c r="F194" s="966"/>
      <c r="G194" s="53">
        <f t="shared" si="36"/>
        <v>1</v>
      </c>
      <c r="H194" s="966"/>
      <c r="I194" s="53">
        <f t="shared" si="37"/>
        <v>1</v>
      </c>
      <c r="J194" s="966"/>
      <c r="K194" s="53">
        <f t="shared" si="38"/>
        <v>1</v>
      </c>
      <c r="L194" s="966"/>
      <c r="M194" s="53">
        <f t="shared" si="39"/>
        <v>1</v>
      </c>
      <c r="N194" s="966"/>
      <c r="O194" s="53">
        <f t="shared" si="40"/>
        <v>1</v>
      </c>
      <c r="P194" s="966"/>
      <c r="Q194" s="53">
        <f t="shared" si="41"/>
        <v>1</v>
      </c>
      <c r="R194" s="493">
        <f t="shared" si="42"/>
        <v>0</v>
      </c>
      <c r="S194" s="802">
        <f t="shared" si="43"/>
        <v>0</v>
      </c>
    </row>
    <row r="195" spans="1:19">
      <c r="A195" s="968"/>
      <c r="B195" s="137"/>
      <c r="C195" s="53">
        <f t="shared" si="34"/>
        <v>1</v>
      </c>
      <c r="D195" s="966"/>
      <c r="E195" s="53">
        <f t="shared" si="35"/>
        <v>0.02</v>
      </c>
      <c r="F195" s="966"/>
      <c r="G195" s="53">
        <f t="shared" si="36"/>
        <v>1</v>
      </c>
      <c r="H195" s="966"/>
      <c r="I195" s="53">
        <f t="shared" si="37"/>
        <v>1</v>
      </c>
      <c r="J195" s="966"/>
      <c r="K195" s="53">
        <f t="shared" si="38"/>
        <v>1</v>
      </c>
      <c r="L195" s="966"/>
      <c r="M195" s="53">
        <f t="shared" si="39"/>
        <v>1</v>
      </c>
      <c r="N195" s="966"/>
      <c r="O195" s="53">
        <f t="shared" si="40"/>
        <v>1</v>
      </c>
      <c r="P195" s="966"/>
      <c r="Q195" s="53">
        <f t="shared" si="41"/>
        <v>1</v>
      </c>
      <c r="R195" s="493">
        <f t="shared" si="42"/>
        <v>0</v>
      </c>
      <c r="S195" s="802">
        <f t="shared" si="43"/>
        <v>0</v>
      </c>
    </row>
    <row r="196" spans="1:19">
      <c r="A196" s="968"/>
      <c r="B196" s="137"/>
      <c r="C196" s="53">
        <f t="shared" si="34"/>
        <v>1</v>
      </c>
      <c r="D196" s="966"/>
      <c r="E196" s="53">
        <f t="shared" si="35"/>
        <v>0.02</v>
      </c>
      <c r="F196" s="966"/>
      <c r="G196" s="53">
        <f t="shared" si="36"/>
        <v>1</v>
      </c>
      <c r="H196" s="966"/>
      <c r="I196" s="53">
        <f t="shared" si="37"/>
        <v>1</v>
      </c>
      <c r="J196" s="966"/>
      <c r="K196" s="53">
        <f t="shared" si="38"/>
        <v>1</v>
      </c>
      <c r="L196" s="966"/>
      <c r="M196" s="53">
        <f t="shared" si="39"/>
        <v>1</v>
      </c>
      <c r="N196" s="966"/>
      <c r="O196" s="53">
        <f t="shared" si="40"/>
        <v>1</v>
      </c>
      <c r="P196" s="966"/>
      <c r="Q196" s="53">
        <f t="shared" si="41"/>
        <v>1</v>
      </c>
      <c r="R196" s="493">
        <f t="shared" si="42"/>
        <v>0</v>
      </c>
      <c r="S196" s="802">
        <f t="shared" si="43"/>
        <v>0</v>
      </c>
    </row>
    <row r="197" spans="1:19">
      <c r="A197" s="968"/>
      <c r="B197" s="137"/>
      <c r="C197" s="53">
        <f t="shared" si="34"/>
        <v>1</v>
      </c>
      <c r="D197" s="966"/>
      <c r="E197" s="53">
        <f t="shared" si="35"/>
        <v>0.02</v>
      </c>
      <c r="F197" s="966"/>
      <c r="G197" s="53">
        <f t="shared" si="36"/>
        <v>1</v>
      </c>
      <c r="H197" s="966"/>
      <c r="I197" s="53">
        <f t="shared" si="37"/>
        <v>1</v>
      </c>
      <c r="J197" s="966"/>
      <c r="K197" s="53">
        <f t="shared" si="38"/>
        <v>1</v>
      </c>
      <c r="L197" s="966"/>
      <c r="M197" s="53">
        <f t="shared" si="39"/>
        <v>1</v>
      </c>
      <c r="N197" s="966"/>
      <c r="O197" s="53">
        <f t="shared" si="40"/>
        <v>1</v>
      </c>
      <c r="P197" s="966"/>
      <c r="Q197" s="53">
        <f t="shared" si="41"/>
        <v>1</v>
      </c>
      <c r="R197" s="493">
        <f t="shared" si="42"/>
        <v>0</v>
      </c>
      <c r="S197" s="802">
        <f t="shared" si="43"/>
        <v>0</v>
      </c>
    </row>
    <row r="198" spans="1:19">
      <c r="A198" s="968"/>
      <c r="B198" s="137"/>
      <c r="C198" s="53">
        <f t="shared" si="34"/>
        <v>1</v>
      </c>
      <c r="D198" s="966"/>
      <c r="E198" s="53">
        <f t="shared" si="35"/>
        <v>0.02</v>
      </c>
      <c r="F198" s="966"/>
      <c r="G198" s="53">
        <f t="shared" si="36"/>
        <v>1</v>
      </c>
      <c r="H198" s="966"/>
      <c r="I198" s="53">
        <f t="shared" si="37"/>
        <v>1</v>
      </c>
      <c r="J198" s="966"/>
      <c r="K198" s="53">
        <f t="shared" si="38"/>
        <v>1</v>
      </c>
      <c r="L198" s="966"/>
      <c r="M198" s="53">
        <f t="shared" si="39"/>
        <v>1</v>
      </c>
      <c r="N198" s="966"/>
      <c r="O198" s="53">
        <f t="shared" si="40"/>
        <v>1</v>
      </c>
      <c r="P198" s="966"/>
      <c r="Q198" s="53">
        <f t="shared" si="41"/>
        <v>1</v>
      </c>
      <c r="R198" s="493">
        <f t="shared" si="42"/>
        <v>0</v>
      </c>
      <c r="S198" s="802">
        <f t="shared" si="43"/>
        <v>0</v>
      </c>
    </row>
    <row r="199" spans="1:19">
      <c r="A199" s="968"/>
      <c r="B199" s="137"/>
      <c r="C199" s="53">
        <f t="shared" si="34"/>
        <v>1</v>
      </c>
      <c r="D199" s="966"/>
      <c r="E199" s="53">
        <f t="shared" si="35"/>
        <v>0.02</v>
      </c>
      <c r="F199" s="966"/>
      <c r="G199" s="53">
        <f t="shared" si="36"/>
        <v>1</v>
      </c>
      <c r="H199" s="966"/>
      <c r="I199" s="53">
        <f t="shared" si="37"/>
        <v>1</v>
      </c>
      <c r="J199" s="966"/>
      <c r="K199" s="53">
        <f t="shared" si="38"/>
        <v>1</v>
      </c>
      <c r="L199" s="966"/>
      <c r="M199" s="53">
        <f t="shared" si="39"/>
        <v>1</v>
      </c>
      <c r="N199" s="966"/>
      <c r="O199" s="53">
        <f t="shared" si="40"/>
        <v>1</v>
      </c>
      <c r="P199" s="966"/>
      <c r="Q199" s="53">
        <f t="shared" si="41"/>
        <v>1</v>
      </c>
      <c r="R199" s="493">
        <f t="shared" si="42"/>
        <v>0</v>
      </c>
      <c r="S199" s="802">
        <f t="shared" si="43"/>
        <v>0</v>
      </c>
    </row>
    <row r="200" spans="1:19">
      <c r="A200" s="968"/>
      <c r="B200" s="137"/>
      <c r="C200" s="53">
        <f t="shared" si="34"/>
        <v>1</v>
      </c>
      <c r="D200" s="966"/>
      <c r="E200" s="53">
        <f t="shared" si="35"/>
        <v>0.02</v>
      </c>
      <c r="F200" s="966"/>
      <c r="G200" s="53">
        <f t="shared" si="36"/>
        <v>1</v>
      </c>
      <c r="H200" s="966"/>
      <c r="I200" s="53">
        <f t="shared" si="37"/>
        <v>1</v>
      </c>
      <c r="J200" s="966"/>
      <c r="K200" s="53">
        <f t="shared" si="38"/>
        <v>1</v>
      </c>
      <c r="L200" s="966"/>
      <c r="M200" s="53">
        <f t="shared" si="39"/>
        <v>1</v>
      </c>
      <c r="N200" s="966"/>
      <c r="O200" s="53">
        <f t="shared" si="40"/>
        <v>1</v>
      </c>
      <c r="P200" s="966"/>
      <c r="Q200" s="53">
        <f t="shared" si="41"/>
        <v>1</v>
      </c>
      <c r="R200" s="493">
        <f t="shared" si="42"/>
        <v>0</v>
      </c>
      <c r="S200" s="802">
        <f t="shared" si="43"/>
        <v>0</v>
      </c>
    </row>
    <row r="201" spans="1:19">
      <c r="A201" s="968"/>
      <c r="B201" s="137"/>
      <c r="C201" s="53">
        <f t="shared" si="34"/>
        <v>1</v>
      </c>
      <c r="D201" s="966"/>
      <c r="E201" s="53">
        <f t="shared" si="35"/>
        <v>0.02</v>
      </c>
      <c r="F201" s="966"/>
      <c r="G201" s="53">
        <f t="shared" si="36"/>
        <v>1</v>
      </c>
      <c r="H201" s="966"/>
      <c r="I201" s="53">
        <f t="shared" si="37"/>
        <v>1</v>
      </c>
      <c r="J201" s="966"/>
      <c r="K201" s="53">
        <f t="shared" si="38"/>
        <v>1</v>
      </c>
      <c r="L201" s="966"/>
      <c r="M201" s="53">
        <f t="shared" si="39"/>
        <v>1</v>
      </c>
      <c r="N201" s="966"/>
      <c r="O201" s="53">
        <f t="shared" si="40"/>
        <v>1</v>
      </c>
      <c r="P201" s="966"/>
      <c r="Q201" s="53">
        <f t="shared" si="41"/>
        <v>1</v>
      </c>
      <c r="R201" s="493">
        <f t="shared" si="42"/>
        <v>0</v>
      </c>
      <c r="S201" s="802">
        <f t="shared" si="43"/>
        <v>0</v>
      </c>
    </row>
    <row r="202" spans="1:19">
      <c r="A202" s="968"/>
      <c r="B202" s="137"/>
      <c r="C202" s="53">
        <f t="shared" si="34"/>
        <v>1</v>
      </c>
      <c r="D202" s="966"/>
      <c r="E202" s="53">
        <f t="shared" si="35"/>
        <v>0.02</v>
      </c>
      <c r="F202" s="966"/>
      <c r="G202" s="53">
        <f t="shared" si="36"/>
        <v>1</v>
      </c>
      <c r="H202" s="966"/>
      <c r="I202" s="53">
        <f t="shared" si="37"/>
        <v>1</v>
      </c>
      <c r="J202" s="966"/>
      <c r="K202" s="53">
        <f t="shared" si="38"/>
        <v>1</v>
      </c>
      <c r="L202" s="966"/>
      <c r="M202" s="53">
        <f t="shared" si="39"/>
        <v>1</v>
      </c>
      <c r="N202" s="966"/>
      <c r="O202" s="53">
        <f t="shared" si="40"/>
        <v>1</v>
      </c>
      <c r="P202" s="966"/>
      <c r="Q202" s="53">
        <f t="shared" si="41"/>
        <v>1</v>
      </c>
      <c r="R202" s="493">
        <f t="shared" si="42"/>
        <v>0</v>
      </c>
      <c r="S202" s="802">
        <f t="shared" si="43"/>
        <v>0</v>
      </c>
    </row>
    <row r="203" spans="1:19">
      <c r="A203" s="968"/>
      <c r="B203" s="137"/>
      <c r="C203" s="53">
        <f t="shared" si="34"/>
        <v>1</v>
      </c>
      <c r="D203" s="966"/>
      <c r="E203" s="53">
        <f t="shared" si="35"/>
        <v>0.02</v>
      </c>
      <c r="F203" s="966"/>
      <c r="G203" s="53">
        <f t="shared" si="36"/>
        <v>1</v>
      </c>
      <c r="H203" s="966"/>
      <c r="I203" s="53">
        <f t="shared" si="37"/>
        <v>1</v>
      </c>
      <c r="J203" s="966"/>
      <c r="K203" s="53">
        <f t="shared" si="38"/>
        <v>1</v>
      </c>
      <c r="L203" s="966"/>
      <c r="M203" s="53">
        <f t="shared" si="39"/>
        <v>1</v>
      </c>
      <c r="N203" s="966"/>
      <c r="O203" s="53">
        <f t="shared" si="40"/>
        <v>1</v>
      </c>
      <c r="P203" s="966"/>
      <c r="Q203" s="53">
        <f t="shared" si="41"/>
        <v>1</v>
      </c>
      <c r="R203" s="493">
        <f t="shared" si="42"/>
        <v>0</v>
      </c>
      <c r="S203" s="802">
        <f t="shared" si="43"/>
        <v>0</v>
      </c>
    </row>
    <row r="204" spans="1:19">
      <c r="A204" s="968"/>
      <c r="B204" s="137"/>
      <c r="C204" s="53">
        <f t="shared" si="34"/>
        <v>1</v>
      </c>
      <c r="D204" s="966"/>
      <c r="E204" s="53">
        <f t="shared" si="35"/>
        <v>0.02</v>
      </c>
      <c r="F204" s="966"/>
      <c r="G204" s="53">
        <f t="shared" si="36"/>
        <v>1</v>
      </c>
      <c r="H204" s="966"/>
      <c r="I204" s="53">
        <f t="shared" si="37"/>
        <v>1</v>
      </c>
      <c r="J204" s="966"/>
      <c r="K204" s="53">
        <f t="shared" si="38"/>
        <v>1</v>
      </c>
      <c r="L204" s="966"/>
      <c r="M204" s="53">
        <f t="shared" si="39"/>
        <v>1</v>
      </c>
      <c r="N204" s="966"/>
      <c r="O204" s="53">
        <f t="shared" si="40"/>
        <v>1</v>
      </c>
      <c r="P204" s="966"/>
      <c r="Q204" s="53">
        <f t="shared" si="41"/>
        <v>1</v>
      </c>
      <c r="R204" s="493">
        <f t="shared" si="42"/>
        <v>0</v>
      </c>
      <c r="S204" s="802">
        <f t="shared" si="43"/>
        <v>0</v>
      </c>
    </row>
    <row r="205" spans="1:19">
      <c r="A205" s="968"/>
      <c r="B205" s="137"/>
      <c r="C205" s="53">
        <f t="shared" si="34"/>
        <v>1</v>
      </c>
      <c r="D205" s="966"/>
      <c r="E205" s="53">
        <f t="shared" si="35"/>
        <v>0.02</v>
      </c>
      <c r="F205" s="966"/>
      <c r="G205" s="53">
        <f t="shared" si="36"/>
        <v>1</v>
      </c>
      <c r="H205" s="966"/>
      <c r="I205" s="53">
        <f t="shared" si="37"/>
        <v>1</v>
      </c>
      <c r="J205" s="966"/>
      <c r="K205" s="53">
        <f t="shared" si="38"/>
        <v>1</v>
      </c>
      <c r="L205" s="966"/>
      <c r="M205" s="53">
        <f t="shared" si="39"/>
        <v>1</v>
      </c>
      <c r="N205" s="966"/>
      <c r="O205" s="53">
        <f t="shared" si="40"/>
        <v>1</v>
      </c>
      <c r="P205" s="966"/>
      <c r="Q205" s="53">
        <f t="shared" si="41"/>
        <v>1</v>
      </c>
      <c r="R205" s="493">
        <f t="shared" si="42"/>
        <v>0</v>
      </c>
      <c r="S205" s="802">
        <f t="shared" si="43"/>
        <v>0</v>
      </c>
    </row>
    <row r="206" spans="1:19">
      <c r="A206" s="968"/>
      <c r="B206" s="137"/>
      <c r="C206" s="53">
        <f t="shared" si="34"/>
        <v>1</v>
      </c>
      <c r="D206" s="966"/>
      <c r="E206" s="53">
        <f t="shared" si="35"/>
        <v>0.02</v>
      </c>
      <c r="F206" s="966"/>
      <c r="G206" s="53">
        <f t="shared" si="36"/>
        <v>1</v>
      </c>
      <c r="H206" s="966"/>
      <c r="I206" s="53">
        <f t="shared" si="37"/>
        <v>1</v>
      </c>
      <c r="J206" s="966"/>
      <c r="K206" s="53">
        <f t="shared" si="38"/>
        <v>1</v>
      </c>
      <c r="L206" s="966"/>
      <c r="M206" s="53">
        <f t="shared" si="39"/>
        <v>1</v>
      </c>
      <c r="N206" s="966"/>
      <c r="O206" s="53">
        <f t="shared" si="40"/>
        <v>1</v>
      </c>
      <c r="P206" s="966"/>
      <c r="Q206" s="53">
        <f t="shared" si="41"/>
        <v>1</v>
      </c>
      <c r="R206" s="493">
        <f t="shared" si="42"/>
        <v>0</v>
      </c>
      <c r="S206" s="802">
        <f t="shared" si="43"/>
        <v>0</v>
      </c>
    </row>
    <row r="207" spans="1:19">
      <c r="A207" s="968"/>
      <c r="B207" s="137"/>
      <c r="C207" s="53">
        <f t="shared" si="34"/>
        <v>1</v>
      </c>
      <c r="D207" s="966"/>
      <c r="E207" s="53">
        <f t="shared" si="35"/>
        <v>0.02</v>
      </c>
      <c r="F207" s="966"/>
      <c r="G207" s="53">
        <f t="shared" si="36"/>
        <v>1</v>
      </c>
      <c r="H207" s="966"/>
      <c r="I207" s="53">
        <f t="shared" si="37"/>
        <v>1</v>
      </c>
      <c r="J207" s="966"/>
      <c r="K207" s="53">
        <f t="shared" si="38"/>
        <v>1</v>
      </c>
      <c r="L207" s="966"/>
      <c r="M207" s="53">
        <f t="shared" si="39"/>
        <v>1</v>
      </c>
      <c r="N207" s="966"/>
      <c r="O207" s="53">
        <f t="shared" si="40"/>
        <v>1</v>
      </c>
      <c r="P207" s="966"/>
      <c r="Q207" s="53">
        <f t="shared" si="41"/>
        <v>1</v>
      </c>
      <c r="R207" s="493">
        <f t="shared" si="42"/>
        <v>0</v>
      </c>
      <c r="S207" s="802">
        <f t="shared" si="43"/>
        <v>0</v>
      </c>
    </row>
    <row r="208" spans="1:19">
      <c r="A208" s="968"/>
      <c r="B208" s="137"/>
      <c r="C208" s="53">
        <f t="shared" si="34"/>
        <v>1</v>
      </c>
      <c r="D208" s="966"/>
      <c r="E208" s="53">
        <f t="shared" si="35"/>
        <v>0.02</v>
      </c>
      <c r="F208" s="966"/>
      <c r="G208" s="53">
        <f t="shared" si="36"/>
        <v>1</v>
      </c>
      <c r="H208" s="966"/>
      <c r="I208" s="53">
        <f t="shared" si="37"/>
        <v>1</v>
      </c>
      <c r="J208" s="966"/>
      <c r="K208" s="53">
        <f t="shared" si="38"/>
        <v>1</v>
      </c>
      <c r="L208" s="966"/>
      <c r="M208" s="53">
        <f t="shared" si="39"/>
        <v>1</v>
      </c>
      <c r="N208" s="966"/>
      <c r="O208" s="53">
        <f t="shared" si="40"/>
        <v>1</v>
      </c>
      <c r="P208" s="966"/>
      <c r="Q208" s="53">
        <f t="shared" si="41"/>
        <v>1</v>
      </c>
      <c r="R208" s="493">
        <f t="shared" si="42"/>
        <v>0</v>
      </c>
      <c r="S208" s="802">
        <f t="shared" si="43"/>
        <v>0</v>
      </c>
    </row>
    <row r="209" spans="1:19">
      <c r="A209" s="968"/>
      <c r="B209" s="137"/>
      <c r="C209" s="53">
        <f t="shared" si="34"/>
        <v>1</v>
      </c>
      <c r="D209" s="966"/>
      <c r="E209" s="53">
        <f t="shared" si="35"/>
        <v>0.02</v>
      </c>
      <c r="F209" s="966"/>
      <c r="G209" s="53">
        <f t="shared" si="36"/>
        <v>1</v>
      </c>
      <c r="H209" s="966"/>
      <c r="I209" s="53">
        <f t="shared" si="37"/>
        <v>1</v>
      </c>
      <c r="J209" s="966"/>
      <c r="K209" s="53">
        <f t="shared" si="38"/>
        <v>1</v>
      </c>
      <c r="L209" s="966"/>
      <c r="M209" s="53">
        <f t="shared" si="39"/>
        <v>1</v>
      </c>
      <c r="N209" s="966"/>
      <c r="O209" s="53">
        <f t="shared" si="40"/>
        <v>1</v>
      </c>
      <c r="P209" s="966"/>
      <c r="Q209" s="53">
        <f t="shared" si="41"/>
        <v>1</v>
      </c>
      <c r="R209" s="493">
        <f t="shared" si="42"/>
        <v>0</v>
      </c>
      <c r="S209" s="802">
        <f t="shared" si="43"/>
        <v>0</v>
      </c>
    </row>
    <row r="210" spans="1:19">
      <c r="A210" s="968"/>
      <c r="B210" s="137"/>
      <c r="C210" s="53">
        <f t="shared" si="34"/>
        <v>1</v>
      </c>
      <c r="D210" s="966"/>
      <c r="E210" s="53">
        <f t="shared" si="35"/>
        <v>0.02</v>
      </c>
      <c r="F210" s="966"/>
      <c r="G210" s="53">
        <f t="shared" si="36"/>
        <v>1</v>
      </c>
      <c r="H210" s="966"/>
      <c r="I210" s="53">
        <f t="shared" si="37"/>
        <v>1</v>
      </c>
      <c r="J210" s="966"/>
      <c r="K210" s="53">
        <f t="shared" si="38"/>
        <v>1</v>
      </c>
      <c r="L210" s="966"/>
      <c r="M210" s="53">
        <f t="shared" si="39"/>
        <v>1</v>
      </c>
      <c r="N210" s="966"/>
      <c r="O210" s="53">
        <f t="shared" si="40"/>
        <v>1</v>
      </c>
      <c r="P210" s="966"/>
      <c r="Q210" s="53">
        <f t="shared" si="41"/>
        <v>1</v>
      </c>
      <c r="R210" s="493">
        <f t="shared" si="42"/>
        <v>0</v>
      </c>
      <c r="S210" s="802">
        <f t="shared" si="43"/>
        <v>0</v>
      </c>
    </row>
    <row r="211" spans="1:19">
      <c r="A211" s="968"/>
      <c r="B211" s="137"/>
      <c r="C211" s="53">
        <f t="shared" si="34"/>
        <v>1</v>
      </c>
      <c r="D211" s="966"/>
      <c r="E211" s="53">
        <f t="shared" si="35"/>
        <v>0.02</v>
      </c>
      <c r="F211" s="966"/>
      <c r="G211" s="53">
        <f t="shared" si="36"/>
        <v>1</v>
      </c>
      <c r="H211" s="966"/>
      <c r="I211" s="53">
        <f t="shared" si="37"/>
        <v>1</v>
      </c>
      <c r="J211" s="966"/>
      <c r="K211" s="53">
        <f t="shared" si="38"/>
        <v>1</v>
      </c>
      <c r="L211" s="966"/>
      <c r="M211" s="53">
        <f t="shared" si="39"/>
        <v>1</v>
      </c>
      <c r="N211" s="966"/>
      <c r="O211" s="53">
        <f t="shared" si="40"/>
        <v>1</v>
      </c>
      <c r="P211" s="966"/>
      <c r="Q211" s="53">
        <f t="shared" si="41"/>
        <v>1</v>
      </c>
      <c r="R211" s="493">
        <f t="shared" si="42"/>
        <v>0</v>
      </c>
      <c r="S211" s="802">
        <f t="shared" si="43"/>
        <v>0</v>
      </c>
    </row>
    <row r="212" spans="1:19">
      <c r="A212" s="968"/>
      <c r="B212" s="137"/>
      <c r="C212" s="53">
        <f t="shared" si="34"/>
        <v>1</v>
      </c>
      <c r="D212" s="966"/>
      <c r="E212" s="53">
        <f t="shared" si="35"/>
        <v>0.02</v>
      </c>
      <c r="F212" s="966"/>
      <c r="G212" s="53">
        <f t="shared" si="36"/>
        <v>1</v>
      </c>
      <c r="H212" s="966"/>
      <c r="I212" s="53">
        <f t="shared" si="37"/>
        <v>1</v>
      </c>
      <c r="J212" s="966"/>
      <c r="K212" s="53">
        <f t="shared" si="38"/>
        <v>1</v>
      </c>
      <c r="L212" s="966"/>
      <c r="M212" s="53">
        <f t="shared" si="39"/>
        <v>1</v>
      </c>
      <c r="N212" s="966"/>
      <c r="O212" s="53">
        <f t="shared" si="40"/>
        <v>1</v>
      </c>
      <c r="P212" s="966"/>
      <c r="Q212" s="53">
        <f t="shared" si="41"/>
        <v>1</v>
      </c>
      <c r="R212" s="493">
        <f t="shared" si="42"/>
        <v>0</v>
      </c>
      <c r="S212" s="802">
        <f t="shared" si="43"/>
        <v>0</v>
      </c>
    </row>
    <row r="213" spans="1:19">
      <c r="A213" s="968"/>
      <c r="B213" s="137"/>
      <c r="C213" s="53">
        <f t="shared" si="34"/>
        <v>1</v>
      </c>
      <c r="D213" s="966"/>
      <c r="E213" s="53">
        <f t="shared" si="35"/>
        <v>0.02</v>
      </c>
      <c r="F213" s="966"/>
      <c r="G213" s="53">
        <f t="shared" si="36"/>
        <v>1</v>
      </c>
      <c r="H213" s="966"/>
      <c r="I213" s="53">
        <f t="shared" si="37"/>
        <v>1</v>
      </c>
      <c r="J213" s="966"/>
      <c r="K213" s="53">
        <f t="shared" si="38"/>
        <v>1</v>
      </c>
      <c r="L213" s="966"/>
      <c r="M213" s="53">
        <f t="shared" si="39"/>
        <v>1</v>
      </c>
      <c r="N213" s="966"/>
      <c r="O213" s="53">
        <f t="shared" si="40"/>
        <v>1</v>
      </c>
      <c r="P213" s="966"/>
      <c r="Q213" s="53">
        <f t="shared" si="41"/>
        <v>1</v>
      </c>
      <c r="R213" s="493">
        <f t="shared" si="42"/>
        <v>0</v>
      </c>
      <c r="S213" s="802">
        <f t="shared" si="43"/>
        <v>0</v>
      </c>
    </row>
    <row r="214" spans="1:19">
      <c r="A214" s="968"/>
      <c r="B214" s="137"/>
      <c r="C214" s="53">
        <f t="shared" si="34"/>
        <v>1</v>
      </c>
      <c r="D214" s="966"/>
      <c r="E214" s="53">
        <f t="shared" si="35"/>
        <v>0.02</v>
      </c>
      <c r="F214" s="966"/>
      <c r="G214" s="53">
        <f t="shared" si="36"/>
        <v>1</v>
      </c>
      <c r="H214" s="966"/>
      <c r="I214" s="53">
        <f t="shared" si="37"/>
        <v>1</v>
      </c>
      <c r="J214" s="966"/>
      <c r="K214" s="53">
        <f t="shared" si="38"/>
        <v>1</v>
      </c>
      <c r="L214" s="966"/>
      <c r="M214" s="53">
        <f t="shared" si="39"/>
        <v>1</v>
      </c>
      <c r="N214" s="966"/>
      <c r="O214" s="53">
        <f t="shared" si="40"/>
        <v>1</v>
      </c>
      <c r="P214" s="966"/>
      <c r="Q214" s="53">
        <f t="shared" si="41"/>
        <v>1</v>
      </c>
      <c r="R214" s="493">
        <f t="shared" si="42"/>
        <v>0</v>
      </c>
      <c r="S214" s="802">
        <f t="shared" si="43"/>
        <v>0</v>
      </c>
    </row>
    <row r="215" spans="1:19">
      <c r="A215" s="968"/>
      <c r="B215" s="137"/>
      <c r="C215" s="53">
        <f t="shared" si="34"/>
        <v>1</v>
      </c>
      <c r="D215" s="966"/>
      <c r="E215" s="53">
        <f t="shared" si="35"/>
        <v>0.02</v>
      </c>
      <c r="F215" s="966"/>
      <c r="G215" s="53">
        <f t="shared" si="36"/>
        <v>1</v>
      </c>
      <c r="H215" s="966"/>
      <c r="I215" s="53">
        <f t="shared" si="37"/>
        <v>1</v>
      </c>
      <c r="J215" s="966"/>
      <c r="K215" s="53">
        <f t="shared" si="38"/>
        <v>1</v>
      </c>
      <c r="L215" s="966"/>
      <c r="M215" s="53">
        <f t="shared" si="39"/>
        <v>1</v>
      </c>
      <c r="N215" s="966"/>
      <c r="O215" s="53">
        <f t="shared" si="40"/>
        <v>1</v>
      </c>
      <c r="P215" s="966"/>
      <c r="Q215" s="53">
        <f t="shared" si="41"/>
        <v>1</v>
      </c>
      <c r="R215" s="493">
        <f t="shared" si="42"/>
        <v>0</v>
      </c>
      <c r="S215" s="802">
        <f t="shared" si="43"/>
        <v>0</v>
      </c>
    </row>
    <row r="216" spans="1:19">
      <c r="A216" s="968"/>
      <c r="B216" s="137"/>
      <c r="C216" s="53">
        <f t="shared" si="34"/>
        <v>1</v>
      </c>
      <c r="D216" s="966"/>
      <c r="E216" s="53">
        <f t="shared" si="35"/>
        <v>0.02</v>
      </c>
      <c r="F216" s="966"/>
      <c r="G216" s="53">
        <f t="shared" si="36"/>
        <v>1</v>
      </c>
      <c r="H216" s="966"/>
      <c r="I216" s="53">
        <f t="shared" si="37"/>
        <v>1</v>
      </c>
      <c r="J216" s="966"/>
      <c r="K216" s="53">
        <f t="shared" si="38"/>
        <v>1</v>
      </c>
      <c r="L216" s="966"/>
      <c r="M216" s="53">
        <f t="shared" si="39"/>
        <v>1</v>
      </c>
      <c r="N216" s="966"/>
      <c r="O216" s="53">
        <f t="shared" si="40"/>
        <v>1</v>
      </c>
      <c r="P216" s="966"/>
      <c r="Q216" s="53">
        <f t="shared" si="41"/>
        <v>1</v>
      </c>
      <c r="R216" s="493">
        <f t="shared" si="42"/>
        <v>0</v>
      </c>
      <c r="S216" s="802">
        <f t="shared" si="43"/>
        <v>0</v>
      </c>
    </row>
    <row r="217" spans="1:19">
      <c r="A217" s="968"/>
      <c r="B217" s="137"/>
      <c r="C217" s="53">
        <f t="shared" si="34"/>
        <v>1</v>
      </c>
      <c r="D217" s="966"/>
      <c r="E217" s="53">
        <f t="shared" si="35"/>
        <v>0.02</v>
      </c>
      <c r="F217" s="966"/>
      <c r="G217" s="53">
        <f t="shared" si="36"/>
        <v>1</v>
      </c>
      <c r="H217" s="966"/>
      <c r="I217" s="53">
        <f t="shared" si="37"/>
        <v>1</v>
      </c>
      <c r="J217" s="966"/>
      <c r="K217" s="53">
        <f t="shared" si="38"/>
        <v>1</v>
      </c>
      <c r="L217" s="966"/>
      <c r="M217" s="53">
        <f t="shared" si="39"/>
        <v>1</v>
      </c>
      <c r="N217" s="966"/>
      <c r="O217" s="53">
        <f t="shared" si="40"/>
        <v>1</v>
      </c>
      <c r="P217" s="966"/>
      <c r="Q217" s="53">
        <f t="shared" si="41"/>
        <v>1</v>
      </c>
      <c r="R217" s="493">
        <f t="shared" si="42"/>
        <v>0</v>
      </c>
      <c r="S217" s="802">
        <f t="shared" si="43"/>
        <v>0</v>
      </c>
    </row>
    <row r="218" spans="1:19">
      <c r="A218" s="968"/>
      <c r="B218" s="137"/>
      <c r="C218" s="53">
        <f t="shared" ref="C218:C281" si="44">IF(B218="",1,(LOOKUP(B218,$3:$3,$4:$4)-LOOKUP($B$24,$3:$3,$4:$4)+100)/100)</f>
        <v>1</v>
      </c>
      <c r="D218" s="966"/>
      <c r="E218" s="53">
        <f t="shared" ref="E218:E281" si="45">(SUMIF($5:$5,D218,$6:$6)-SUMIF($5:$5,$D$24,$6:$6)+100)/100</f>
        <v>0.02</v>
      </c>
      <c r="F218" s="966"/>
      <c r="G218" s="53">
        <f t="shared" ref="G218:G281" si="46">(SUMIF($7:$7,F218,$8:$8)-SUMIF($7:$7,$F$24,$8:$8)+100)/100</f>
        <v>1</v>
      </c>
      <c r="H218" s="966"/>
      <c r="I218" s="53">
        <f t="shared" ref="I218:I281" si="47">(SUMIF($9:$9,H218,$10:$10)-SUMIF($9:$9,$H$24,$10:$10)+100)/100</f>
        <v>1</v>
      </c>
      <c r="J218" s="966"/>
      <c r="K218" s="53">
        <f t="shared" ref="K218:K281" si="48">(SUMIF($11:$11,J218,$12:$12)-SUMIF($11:$11,$J$24,$12:$12)+100)/100</f>
        <v>1</v>
      </c>
      <c r="L218" s="966"/>
      <c r="M218" s="53">
        <f t="shared" ref="M218:M281" si="49">(SUMIF($13:$13,L218,$14:$14)-SUMIF($13:$13,$L$24,$14:$14)+100)/100</f>
        <v>1</v>
      </c>
      <c r="N218" s="966"/>
      <c r="O218" s="53">
        <f t="shared" ref="O218:O281" si="50">(SUMIF($15:$15,N218,$16:$16)-SUMIF($15:$15,$N$24,$16:$16)+100)/100</f>
        <v>1</v>
      </c>
      <c r="P218" s="966"/>
      <c r="Q218" s="53">
        <f t="shared" ref="Q218:Q281" si="51">(SUMIF($17:$17,P218,$18:$18)-SUMIF($17:$17,$P$24,$18:$18)+100)/100</f>
        <v>1</v>
      </c>
      <c r="R218" s="493">
        <f t="shared" ref="R218:R281" si="52">IF(B218="",0,ROUND($R$24*C218*E218*G218*I218*K218*M218*O218*Q218,0))</f>
        <v>0</v>
      </c>
      <c r="S218" s="802">
        <f t="shared" si="43"/>
        <v>0</v>
      </c>
    </row>
    <row r="219" spans="1:19">
      <c r="A219" s="968"/>
      <c r="B219" s="137"/>
      <c r="C219" s="53">
        <f t="shared" si="44"/>
        <v>1</v>
      </c>
      <c r="D219" s="966"/>
      <c r="E219" s="53">
        <f t="shared" si="45"/>
        <v>0.02</v>
      </c>
      <c r="F219" s="966"/>
      <c r="G219" s="53">
        <f t="shared" si="46"/>
        <v>1</v>
      </c>
      <c r="H219" s="966"/>
      <c r="I219" s="53">
        <f t="shared" si="47"/>
        <v>1</v>
      </c>
      <c r="J219" s="966"/>
      <c r="K219" s="53">
        <f t="shared" si="48"/>
        <v>1</v>
      </c>
      <c r="L219" s="966"/>
      <c r="M219" s="53">
        <f t="shared" si="49"/>
        <v>1</v>
      </c>
      <c r="N219" s="966"/>
      <c r="O219" s="53">
        <f t="shared" si="50"/>
        <v>1</v>
      </c>
      <c r="P219" s="966"/>
      <c r="Q219" s="53">
        <f t="shared" si="51"/>
        <v>1</v>
      </c>
      <c r="R219" s="493">
        <f t="shared" si="52"/>
        <v>0</v>
      </c>
      <c r="S219" s="802">
        <f t="shared" si="43"/>
        <v>0</v>
      </c>
    </row>
    <row r="220" spans="1:19">
      <c r="A220" s="968"/>
      <c r="B220" s="137"/>
      <c r="C220" s="53">
        <f t="shared" si="44"/>
        <v>1</v>
      </c>
      <c r="D220" s="966"/>
      <c r="E220" s="53">
        <f t="shared" si="45"/>
        <v>0.02</v>
      </c>
      <c r="F220" s="966"/>
      <c r="G220" s="53">
        <f t="shared" si="46"/>
        <v>1</v>
      </c>
      <c r="H220" s="966"/>
      <c r="I220" s="53">
        <f t="shared" si="47"/>
        <v>1</v>
      </c>
      <c r="J220" s="966"/>
      <c r="K220" s="53">
        <f t="shared" si="48"/>
        <v>1</v>
      </c>
      <c r="L220" s="966"/>
      <c r="M220" s="53">
        <f t="shared" si="49"/>
        <v>1</v>
      </c>
      <c r="N220" s="966"/>
      <c r="O220" s="53">
        <f t="shared" si="50"/>
        <v>1</v>
      </c>
      <c r="P220" s="966"/>
      <c r="Q220" s="53">
        <f t="shared" si="51"/>
        <v>1</v>
      </c>
      <c r="R220" s="493">
        <f t="shared" si="52"/>
        <v>0</v>
      </c>
      <c r="S220" s="802">
        <f t="shared" si="43"/>
        <v>0</v>
      </c>
    </row>
    <row r="221" spans="1:19">
      <c r="A221" s="968"/>
      <c r="B221" s="137"/>
      <c r="C221" s="53">
        <f t="shared" si="44"/>
        <v>1</v>
      </c>
      <c r="D221" s="966"/>
      <c r="E221" s="53">
        <f t="shared" si="45"/>
        <v>0.02</v>
      </c>
      <c r="F221" s="966"/>
      <c r="G221" s="53">
        <f t="shared" si="46"/>
        <v>1</v>
      </c>
      <c r="H221" s="966"/>
      <c r="I221" s="53">
        <f t="shared" si="47"/>
        <v>1</v>
      </c>
      <c r="J221" s="966"/>
      <c r="K221" s="53">
        <f t="shared" si="48"/>
        <v>1</v>
      </c>
      <c r="L221" s="966"/>
      <c r="M221" s="53">
        <f t="shared" si="49"/>
        <v>1</v>
      </c>
      <c r="N221" s="966"/>
      <c r="O221" s="53">
        <f t="shared" si="50"/>
        <v>1</v>
      </c>
      <c r="P221" s="966"/>
      <c r="Q221" s="53">
        <f t="shared" si="51"/>
        <v>1</v>
      </c>
      <c r="R221" s="493">
        <f t="shared" si="52"/>
        <v>0</v>
      </c>
      <c r="S221" s="802">
        <f t="shared" si="43"/>
        <v>0</v>
      </c>
    </row>
    <row r="222" spans="1:19">
      <c r="A222" s="968"/>
      <c r="B222" s="137"/>
      <c r="C222" s="53">
        <f t="shared" si="44"/>
        <v>1</v>
      </c>
      <c r="D222" s="966"/>
      <c r="E222" s="53">
        <f t="shared" si="45"/>
        <v>0.02</v>
      </c>
      <c r="F222" s="966"/>
      <c r="G222" s="53">
        <f t="shared" si="46"/>
        <v>1</v>
      </c>
      <c r="H222" s="966"/>
      <c r="I222" s="53">
        <f t="shared" si="47"/>
        <v>1</v>
      </c>
      <c r="J222" s="966"/>
      <c r="K222" s="53">
        <f t="shared" si="48"/>
        <v>1</v>
      </c>
      <c r="L222" s="966"/>
      <c r="M222" s="53">
        <f t="shared" si="49"/>
        <v>1</v>
      </c>
      <c r="N222" s="966"/>
      <c r="O222" s="53">
        <f t="shared" si="50"/>
        <v>1</v>
      </c>
      <c r="P222" s="966"/>
      <c r="Q222" s="53">
        <f t="shared" si="51"/>
        <v>1</v>
      </c>
      <c r="R222" s="493">
        <f t="shared" si="52"/>
        <v>0</v>
      </c>
      <c r="S222" s="802">
        <f t="shared" si="43"/>
        <v>0</v>
      </c>
    </row>
    <row r="223" spans="1:19">
      <c r="A223" s="968"/>
      <c r="B223" s="137"/>
      <c r="C223" s="53">
        <f t="shared" si="44"/>
        <v>1</v>
      </c>
      <c r="D223" s="966"/>
      <c r="E223" s="53">
        <f t="shared" si="45"/>
        <v>0.02</v>
      </c>
      <c r="F223" s="966"/>
      <c r="G223" s="53">
        <f t="shared" si="46"/>
        <v>1</v>
      </c>
      <c r="H223" s="966"/>
      <c r="I223" s="53">
        <f t="shared" si="47"/>
        <v>1</v>
      </c>
      <c r="J223" s="966"/>
      <c r="K223" s="53">
        <f t="shared" si="48"/>
        <v>1</v>
      </c>
      <c r="L223" s="966"/>
      <c r="M223" s="53">
        <f t="shared" si="49"/>
        <v>1</v>
      </c>
      <c r="N223" s="966"/>
      <c r="O223" s="53">
        <f t="shared" si="50"/>
        <v>1</v>
      </c>
      <c r="P223" s="966"/>
      <c r="Q223" s="53">
        <f t="shared" si="51"/>
        <v>1</v>
      </c>
      <c r="R223" s="493">
        <f t="shared" si="52"/>
        <v>0</v>
      </c>
      <c r="S223" s="802">
        <f t="shared" ref="S223:S286" si="53">ROUND(R223*B223/10000,0)</f>
        <v>0</v>
      </c>
    </row>
    <row r="224" spans="1:19">
      <c r="A224" s="968"/>
      <c r="B224" s="137"/>
      <c r="C224" s="53">
        <f t="shared" si="44"/>
        <v>1</v>
      </c>
      <c r="D224" s="966"/>
      <c r="E224" s="53">
        <f t="shared" si="45"/>
        <v>0.02</v>
      </c>
      <c r="F224" s="966"/>
      <c r="G224" s="53">
        <f t="shared" si="46"/>
        <v>1</v>
      </c>
      <c r="H224" s="966"/>
      <c r="I224" s="53">
        <f t="shared" si="47"/>
        <v>1</v>
      </c>
      <c r="J224" s="966"/>
      <c r="K224" s="53">
        <f t="shared" si="48"/>
        <v>1</v>
      </c>
      <c r="L224" s="966"/>
      <c r="M224" s="53">
        <f t="shared" si="49"/>
        <v>1</v>
      </c>
      <c r="N224" s="966"/>
      <c r="O224" s="53">
        <f t="shared" si="50"/>
        <v>1</v>
      </c>
      <c r="P224" s="966"/>
      <c r="Q224" s="53">
        <f t="shared" si="51"/>
        <v>1</v>
      </c>
      <c r="R224" s="493">
        <f t="shared" si="52"/>
        <v>0</v>
      </c>
      <c r="S224" s="802">
        <f t="shared" si="53"/>
        <v>0</v>
      </c>
    </row>
    <row r="225" spans="1:19">
      <c r="A225" s="968"/>
      <c r="B225" s="137"/>
      <c r="C225" s="53">
        <f t="shared" si="44"/>
        <v>1</v>
      </c>
      <c r="D225" s="966"/>
      <c r="E225" s="53">
        <f t="shared" si="45"/>
        <v>0.02</v>
      </c>
      <c r="F225" s="966"/>
      <c r="G225" s="53">
        <f t="shared" si="46"/>
        <v>1</v>
      </c>
      <c r="H225" s="966"/>
      <c r="I225" s="53">
        <f t="shared" si="47"/>
        <v>1</v>
      </c>
      <c r="J225" s="966"/>
      <c r="K225" s="53">
        <f t="shared" si="48"/>
        <v>1</v>
      </c>
      <c r="L225" s="966"/>
      <c r="M225" s="53">
        <f t="shared" si="49"/>
        <v>1</v>
      </c>
      <c r="N225" s="966"/>
      <c r="O225" s="53">
        <f t="shared" si="50"/>
        <v>1</v>
      </c>
      <c r="P225" s="966"/>
      <c r="Q225" s="53">
        <f t="shared" si="51"/>
        <v>1</v>
      </c>
      <c r="R225" s="493">
        <f t="shared" si="52"/>
        <v>0</v>
      </c>
      <c r="S225" s="802">
        <f t="shared" si="53"/>
        <v>0</v>
      </c>
    </row>
    <row r="226" spans="1:19">
      <c r="A226" s="968"/>
      <c r="B226" s="137"/>
      <c r="C226" s="53">
        <f t="shared" si="44"/>
        <v>1</v>
      </c>
      <c r="D226" s="966"/>
      <c r="E226" s="53">
        <f t="shared" si="45"/>
        <v>0.02</v>
      </c>
      <c r="F226" s="966"/>
      <c r="G226" s="53">
        <f t="shared" si="46"/>
        <v>1</v>
      </c>
      <c r="H226" s="966"/>
      <c r="I226" s="53">
        <f t="shared" si="47"/>
        <v>1</v>
      </c>
      <c r="J226" s="966"/>
      <c r="K226" s="53">
        <f t="shared" si="48"/>
        <v>1</v>
      </c>
      <c r="L226" s="966"/>
      <c r="M226" s="53">
        <f t="shared" si="49"/>
        <v>1</v>
      </c>
      <c r="N226" s="966"/>
      <c r="O226" s="53">
        <f t="shared" si="50"/>
        <v>1</v>
      </c>
      <c r="P226" s="966"/>
      <c r="Q226" s="53">
        <f t="shared" si="51"/>
        <v>1</v>
      </c>
      <c r="R226" s="493">
        <f t="shared" si="52"/>
        <v>0</v>
      </c>
      <c r="S226" s="802">
        <f t="shared" si="53"/>
        <v>0</v>
      </c>
    </row>
    <row r="227" spans="1:19">
      <c r="A227" s="968"/>
      <c r="B227" s="137"/>
      <c r="C227" s="53">
        <f t="shared" si="44"/>
        <v>1</v>
      </c>
      <c r="D227" s="966"/>
      <c r="E227" s="53">
        <f t="shared" si="45"/>
        <v>0.02</v>
      </c>
      <c r="F227" s="966"/>
      <c r="G227" s="53">
        <f t="shared" si="46"/>
        <v>1</v>
      </c>
      <c r="H227" s="966"/>
      <c r="I227" s="53">
        <f t="shared" si="47"/>
        <v>1</v>
      </c>
      <c r="J227" s="966"/>
      <c r="K227" s="53">
        <f t="shared" si="48"/>
        <v>1</v>
      </c>
      <c r="L227" s="966"/>
      <c r="M227" s="53">
        <f t="shared" si="49"/>
        <v>1</v>
      </c>
      <c r="N227" s="966"/>
      <c r="O227" s="53">
        <f t="shared" si="50"/>
        <v>1</v>
      </c>
      <c r="P227" s="966"/>
      <c r="Q227" s="53">
        <f t="shared" si="51"/>
        <v>1</v>
      </c>
      <c r="R227" s="493">
        <f t="shared" si="52"/>
        <v>0</v>
      </c>
      <c r="S227" s="802">
        <f t="shared" si="53"/>
        <v>0</v>
      </c>
    </row>
    <row r="228" spans="1:19">
      <c r="A228" s="968"/>
      <c r="B228" s="137"/>
      <c r="C228" s="53">
        <f t="shared" si="44"/>
        <v>1</v>
      </c>
      <c r="D228" s="966"/>
      <c r="E228" s="53">
        <f t="shared" si="45"/>
        <v>0.02</v>
      </c>
      <c r="F228" s="966"/>
      <c r="G228" s="53">
        <f t="shared" si="46"/>
        <v>1</v>
      </c>
      <c r="H228" s="966"/>
      <c r="I228" s="53">
        <f t="shared" si="47"/>
        <v>1</v>
      </c>
      <c r="J228" s="966"/>
      <c r="K228" s="53">
        <f t="shared" si="48"/>
        <v>1</v>
      </c>
      <c r="L228" s="966"/>
      <c r="M228" s="53">
        <f t="shared" si="49"/>
        <v>1</v>
      </c>
      <c r="N228" s="966"/>
      <c r="O228" s="53">
        <f t="shared" si="50"/>
        <v>1</v>
      </c>
      <c r="P228" s="966"/>
      <c r="Q228" s="53">
        <f t="shared" si="51"/>
        <v>1</v>
      </c>
      <c r="R228" s="493">
        <f t="shared" si="52"/>
        <v>0</v>
      </c>
      <c r="S228" s="802">
        <f t="shared" si="53"/>
        <v>0</v>
      </c>
    </row>
    <row r="229" spans="1:19">
      <c r="A229" s="968"/>
      <c r="B229" s="137"/>
      <c r="C229" s="53">
        <f t="shared" si="44"/>
        <v>1</v>
      </c>
      <c r="D229" s="966"/>
      <c r="E229" s="53">
        <f t="shared" si="45"/>
        <v>0.02</v>
      </c>
      <c r="F229" s="966"/>
      <c r="G229" s="53">
        <f t="shared" si="46"/>
        <v>1</v>
      </c>
      <c r="H229" s="966"/>
      <c r="I229" s="53">
        <f t="shared" si="47"/>
        <v>1</v>
      </c>
      <c r="J229" s="966"/>
      <c r="K229" s="53">
        <f t="shared" si="48"/>
        <v>1</v>
      </c>
      <c r="L229" s="966"/>
      <c r="M229" s="53">
        <f t="shared" si="49"/>
        <v>1</v>
      </c>
      <c r="N229" s="966"/>
      <c r="O229" s="53">
        <f t="shared" si="50"/>
        <v>1</v>
      </c>
      <c r="P229" s="966"/>
      <c r="Q229" s="53">
        <f t="shared" si="51"/>
        <v>1</v>
      </c>
      <c r="R229" s="493">
        <f t="shared" si="52"/>
        <v>0</v>
      </c>
      <c r="S229" s="802">
        <f t="shared" si="53"/>
        <v>0</v>
      </c>
    </row>
    <row r="230" spans="1:19">
      <c r="A230" s="968"/>
      <c r="B230" s="137"/>
      <c r="C230" s="53">
        <f t="shared" si="44"/>
        <v>1</v>
      </c>
      <c r="D230" s="966"/>
      <c r="E230" s="53">
        <f t="shared" si="45"/>
        <v>0.02</v>
      </c>
      <c r="F230" s="966"/>
      <c r="G230" s="53">
        <f t="shared" si="46"/>
        <v>1</v>
      </c>
      <c r="H230" s="966"/>
      <c r="I230" s="53">
        <f t="shared" si="47"/>
        <v>1</v>
      </c>
      <c r="J230" s="966"/>
      <c r="K230" s="53">
        <f t="shared" si="48"/>
        <v>1</v>
      </c>
      <c r="L230" s="966"/>
      <c r="M230" s="53">
        <f t="shared" si="49"/>
        <v>1</v>
      </c>
      <c r="N230" s="966"/>
      <c r="O230" s="53">
        <f t="shared" si="50"/>
        <v>1</v>
      </c>
      <c r="P230" s="966"/>
      <c r="Q230" s="53">
        <f t="shared" si="51"/>
        <v>1</v>
      </c>
      <c r="R230" s="493">
        <f t="shared" si="52"/>
        <v>0</v>
      </c>
      <c r="S230" s="802">
        <f t="shared" si="53"/>
        <v>0</v>
      </c>
    </row>
    <row r="231" spans="1:19">
      <c r="A231" s="968"/>
      <c r="B231" s="137"/>
      <c r="C231" s="53">
        <f t="shared" si="44"/>
        <v>1</v>
      </c>
      <c r="D231" s="966"/>
      <c r="E231" s="53">
        <f t="shared" si="45"/>
        <v>0.02</v>
      </c>
      <c r="F231" s="966"/>
      <c r="G231" s="53">
        <f t="shared" si="46"/>
        <v>1</v>
      </c>
      <c r="H231" s="966"/>
      <c r="I231" s="53">
        <f t="shared" si="47"/>
        <v>1</v>
      </c>
      <c r="J231" s="966"/>
      <c r="K231" s="53">
        <f t="shared" si="48"/>
        <v>1</v>
      </c>
      <c r="L231" s="966"/>
      <c r="M231" s="53">
        <f t="shared" si="49"/>
        <v>1</v>
      </c>
      <c r="N231" s="966"/>
      <c r="O231" s="53">
        <f t="shared" si="50"/>
        <v>1</v>
      </c>
      <c r="P231" s="966"/>
      <c r="Q231" s="53">
        <f t="shared" si="51"/>
        <v>1</v>
      </c>
      <c r="R231" s="493">
        <f t="shared" si="52"/>
        <v>0</v>
      </c>
      <c r="S231" s="802">
        <f t="shared" si="53"/>
        <v>0</v>
      </c>
    </row>
    <row r="232" spans="1:19">
      <c r="A232" s="968"/>
      <c r="B232" s="137"/>
      <c r="C232" s="53">
        <f t="shared" si="44"/>
        <v>1</v>
      </c>
      <c r="D232" s="966"/>
      <c r="E232" s="53">
        <f t="shared" si="45"/>
        <v>0.02</v>
      </c>
      <c r="F232" s="966"/>
      <c r="G232" s="53">
        <f t="shared" si="46"/>
        <v>1</v>
      </c>
      <c r="H232" s="966"/>
      <c r="I232" s="53">
        <f t="shared" si="47"/>
        <v>1</v>
      </c>
      <c r="J232" s="966"/>
      <c r="K232" s="53">
        <f t="shared" si="48"/>
        <v>1</v>
      </c>
      <c r="L232" s="966"/>
      <c r="M232" s="53">
        <f t="shared" si="49"/>
        <v>1</v>
      </c>
      <c r="N232" s="966"/>
      <c r="O232" s="53">
        <f t="shared" si="50"/>
        <v>1</v>
      </c>
      <c r="P232" s="966"/>
      <c r="Q232" s="53">
        <f t="shared" si="51"/>
        <v>1</v>
      </c>
      <c r="R232" s="493">
        <f t="shared" si="52"/>
        <v>0</v>
      </c>
      <c r="S232" s="802">
        <f t="shared" si="53"/>
        <v>0</v>
      </c>
    </row>
    <row r="233" spans="1:19">
      <c r="A233" s="968"/>
      <c r="B233" s="137"/>
      <c r="C233" s="53">
        <f t="shared" si="44"/>
        <v>1</v>
      </c>
      <c r="D233" s="966"/>
      <c r="E233" s="53">
        <f t="shared" si="45"/>
        <v>0.02</v>
      </c>
      <c r="F233" s="966"/>
      <c r="G233" s="53">
        <f t="shared" si="46"/>
        <v>1</v>
      </c>
      <c r="H233" s="966"/>
      <c r="I233" s="53">
        <f t="shared" si="47"/>
        <v>1</v>
      </c>
      <c r="J233" s="966"/>
      <c r="K233" s="53">
        <f t="shared" si="48"/>
        <v>1</v>
      </c>
      <c r="L233" s="966"/>
      <c r="M233" s="53">
        <f t="shared" si="49"/>
        <v>1</v>
      </c>
      <c r="N233" s="966"/>
      <c r="O233" s="53">
        <f t="shared" si="50"/>
        <v>1</v>
      </c>
      <c r="P233" s="966"/>
      <c r="Q233" s="53">
        <f t="shared" si="51"/>
        <v>1</v>
      </c>
      <c r="R233" s="493">
        <f t="shared" si="52"/>
        <v>0</v>
      </c>
      <c r="S233" s="802">
        <f t="shared" si="53"/>
        <v>0</v>
      </c>
    </row>
    <row r="234" spans="1:19">
      <c r="A234" s="968"/>
      <c r="B234" s="137"/>
      <c r="C234" s="53">
        <f t="shared" si="44"/>
        <v>1</v>
      </c>
      <c r="D234" s="966"/>
      <c r="E234" s="53">
        <f t="shared" si="45"/>
        <v>0.02</v>
      </c>
      <c r="F234" s="966"/>
      <c r="G234" s="53">
        <f t="shared" si="46"/>
        <v>1</v>
      </c>
      <c r="H234" s="966"/>
      <c r="I234" s="53">
        <f t="shared" si="47"/>
        <v>1</v>
      </c>
      <c r="J234" s="966"/>
      <c r="K234" s="53">
        <f t="shared" si="48"/>
        <v>1</v>
      </c>
      <c r="L234" s="966"/>
      <c r="M234" s="53">
        <f t="shared" si="49"/>
        <v>1</v>
      </c>
      <c r="N234" s="966"/>
      <c r="O234" s="53">
        <f t="shared" si="50"/>
        <v>1</v>
      </c>
      <c r="P234" s="966"/>
      <c r="Q234" s="53">
        <f t="shared" si="51"/>
        <v>1</v>
      </c>
      <c r="R234" s="493">
        <f t="shared" si="52"/>
        <v>0</v>
      </c>
      <c r="S234" s="802">
        <f t="shared" si="53"/>
        <v>0</v>
      </c>
    </row>
    <row r="235" spans="1:19">
      <c r="A235" s="968"/>
      <c r="B235" s="137"/>
      <c r="C235" s="53">
        <f t="shared" si="44"/>
        <v>1</v>
      </c>
      <c r="D235" s="966"/>
      <c r="E235" s="53">
        <f t="shared" si="45"/>
        <v>0.02</v>
      </c>
      <c r="F235" s="966"/>
      <c r="G235" s="53">
        <f t="shared" si="46"/>
        <v>1</v>
      </c>
      <c r="H235" s="966"/>
      <c r="I235" s="53">
        <f t="shared" si="47"/>
        <v>1</v>
      </c>
      <c r="J235" s="966"/>
      <c r="K235" s="53">
        <f t="shared" si="48"/>
        <v>1</v>
      </c>
      <c r="L235" s="966"/>
      <c r="M235" s="53">
        <f t="shared" si="49"/>
        <v>1</v>
      </c>
      <c r="N235" s="966"/>
      <c r="O235" s="53">
        <f t="shared" si="50"/>
        <v>1</v>
      </c>
      <c r="P235" s="966"/>
      <c r="Q235" s="53">
        <f t="shared" si="51"/>
        <v>1</v>
      </c>
      <c r="R235" s="493">
        <f t="shared" si="52"/>
        <v>0</v>
      </c>
      <c r="S235" s="802">
        <f t="shared" si="53"/>
        <v>0</v>
      </c>
    </row>
    <row r="236" spans="1:19">
      <c r="A236" s="968"/>
      <c r="B236" s="137"/>
      <c r="C236" s="53">
        <f t="shared" si="44"/>
        <v>1</v>
      </c>
      <c r="D236" s="966"/>
      <c r="E236" s="53">
        <f t="shared" si="45"/>
        <v>0.02</v>
      </c>
      <c r="F236" s="966"/>
      <c r="G236" s="53">
        <f t="shared" si="46"/>
        <v>1</v>
      </c>
      <c r="H236" s="966"/>
      <c r="I236" s="53">
        <f t="shared" si="47"/>
        <v>1</v>
      </c>
      <c r="J236" s="966"/>
      <c r="K236" s="53">
        <f t="shared" si="48"/>
        <v>1</v>
      </c>
      <c r="L236" s="966"/>
      <c r="M236" s="53">
        <f t="shared" si="49"/>
        <v>1</v>
      </c>
      <c r="N236" s="966"/>
      <c r="O236" s="53">
        <f t="shared" si="50"/>
        <v>1</v>
      </c>
      <c r="P236" s="966"/>
      <c r="Q236" s="53">
        <f t="shared" si="51"/>
        <v>1</v>
      </c>
      <c r="R236" s="493">
        <f t="shared" si="52"/>
        <v>0</v>
      </c>
      <c r="S236" s="802">
        <f t="shared" si="53"/>
        <v>0</v>
      </c>
    </row>
    <row r="237" spans="1:19">
      <c r="A237" s="968"/>
      <c r="B237" s="137"/>
      <c r="C237" s="53">
        <f t="shared" si="44"/>
        <v>1</v>
      </c>
      <c r="D237" s="966"/>
      <c r="E237" s="53">
        <f t="shared" si="45"/>
        <v>0.02</v>
      </c>
      <c r="F237" s="966"/>
      <c r="G237" s="53">
        <f t="shared" si="46"/>
        <v>1</v>
      </c>
      <c r="H237" s="966"/>
      <c r="I237" s="53">
        <f t="shared" si="47"/>
        <v>1</v>
      </c>
      <c r="J237" s="966"/>
      <c r="K237" s="53">
        <f t="shared" si="48"/>
        <v>1</v>
      </c>
      <c r="L237" s="966"/>
      <c r="M237" s="53">
        <f t="shared" si="49"/>
        <v>1</v>
      </c>
      <c r="N237" s="966"/>
      <c r="O237" s="53">
        <f t="shared" si="50"/>
        <v>1</v>
      </c>
      <c r="P237" s="966"/>
      <c r="Q237" s="53">
        <f t="shared" si="51"/>
        <v>1</v>
      </c>
      <c r="R237" s="493">
        <f t="shared" si="52"/>
        <v>0</v>
      </c>
      <c r="S237" s="802">
        <f t="shared" si="53"/>
        <v>0</v>
      </c>
    </row>
    <row r="238" spans="1:19">
      <c r="A238" s="968"/>
      <c r="B238" s="137"/>
      <c r="C238" s="53">
        <f t="shared" si="44"/>
        <v>1</v>
      </c>
      <c r="D238" s="966"/>
      <c r="E238" s="53">
        <f t="shared" si="45"/>
        <v>0.02</v>
      </c>
      <c r="F238" s="966"/>
      <c r="G238" s="53">
        <f t="shared" si="46"/>
        <v>1</v>
      </c>
      <c r="H238" s="966"/>
      <c r="I238" s="53">
        <f t="shared" si="47"/>
        <v>1</v>
      </c>
      <c r="J238" s="966"/>
      <c r="K238" s="53">
        <f t="shared" si="48"/>
        <v>1</v>
      </c>
      <c r="L238" s="966"/>
      <c r="M238" s="53">
        <f t="shared" si="49"/>
        <v>1</v>
      </c>
      <c r="N238" s="966"/>
      <c r="O238" s="53">
        <f t="shared" si="50"/>
        <v>1</v>
      </c>
      <c r="P238" s="966"/>
      <c r="Q238" s="53">
        <f t="shared" si="51"/>
        <v>1</v>
      </c>
      <c r="R238" s="493">
        <f t="shared" si="52"/>
        <v>0</v>
      </c>
      <c r="S238" s="802">
        <f t="shared" si="53"/>
        <v>0</v>
      </c>
    </row>
    <row r="239" spans="1:19">
      <c r="A239" s="968"/>
      <c r="B239" s="137"/>
      <c r="C239" s="53">
        <f t="shared" si="44"/>
        <v>1</v>
      </c>
      <c r="D239" s="966"/>
      <c r="E239" s="53">
        <f t="shared" si="45"/>
        <v>0.02</v>
      </c>
      <c r="F239" s="966"/>
      <c r="G239" s="53">
        <f t="shared" si="46"/>
        <v>1</v>
      </c>
      <c r="H239" s="966"/>
      <c r="I239" s="53">
        <f t="shared" si="47"/>
        <v>1</v>
      </c>
      <c r="J239" s="966"/>
      <c r="K239" s="53">
        <f t="shared" si="48"/>
        <v>1</v>
      </c>
      <c r="L239" s="966"/>
      <c r="M239" s="53">
        <f t="shared" si="49"/>
        <v>1</v>
      </c>
      <c r="N239" s="966"/>
      <c r="O239" s="53">
        <f t="shared" si="50"/>
        <v>1</v>
      </c>
      <c r="P239" s="966"/>
      <c r="Q239" s="53">
        <f t="shared" si="51"/>
        <v>1</v>
      </c>
      <c r="R239" s="493">
        <f t="shared" si="52"/>
        <v>0</v>
      </c>
      <c r="S239" s="802">
        <f t="shared" si="53"/>
        <v>0</v>
      </c>
    </row>
    <row r="240" spans="1:19">
      <c r="A240" s="968"/>
      <c r="B240" s="137"/>
      <c r="C240" s="53">
        <f t="shared" si="44"/>
        <v>1</v>
      </c>
      <c r="D240" s="966"/>
      <c r="E240" s="53">
        <f t="shared" si="45"/>
        <v>0.02</v>
      </c>
      <c r="F240" s="966"/>
      <c r="G240" s="53">
        <f t="shared" si="46"/>
        <v>1</v>
      </c>
      <c r="H240" s="966"/>
      <c r="I240" s="53">
        <f t="shared" si="47"/>
        <v>1</v>
      </c>
      <c r="J240" s="966"/>
      <c r="K240" s="53">
        <f t="shared" si="48"/>
        <v>1</v>
      </c>
      <c r="L240" s="966"/>
      <c r="M240" s="53">
        <f t="shared" si="49"/>
        <v>1</v>
      </c>
      <c r="N240" s="966"/>
      <c r="O240" s="53">
        <f t="shared" si="50"/>
        <v>1</v>
      </c>
      <c r="P240" s="966"/>
      <c r="Q240" s="53">
        <f t="shared" si="51"/>
        <v>1</v>
      </c>
      <c r="R240" s="493">
        <f t="shared" si="52"/>
        <v>0</v>
      </c>
      <c r="S240" s="802">
        <f t="shared" si="53"/>
        <v>0</v>
      </c>
    </row>
    <row r="241" spans="1:19">
      <c r="A241" s="968"/>
      <c r="B241" s="137"/>
      <c r="C241" s="53">
        <f t="shared" si="44"/>
        <v>1</v>
      </c>
      <c r="D241" s="966"/>
      <c r="E241" s="53">
        <f t="shared" si="45"/>
        <v>0.02</v>
      </c>
      <c r="F241" s="966"/>
      <c r="G241" s="53">
        <f t="shared" si="46"/>
        <v>1</v>
      </c>
      <c r="H241" s="966"/>
      <c r="I241" s="53">
        <f t="shared" si="47"/>
        <v>1</v>
      </c>
      <c r="J241" s="966"/>
      <c r="K241" s="53">
        <f t="shared" si="48"/>
        <v>1</v>
      </c>
      <c r="L241" s="966"/>
      <c r="M241" s="53">
        <f t="shared" si="49"/>
        <v>1</v>
      </c>
      <c r="N241" s="966"/>
      <c r="O241" s="53">
        <f t="shared" si="50"/>
        <v>1</v>
      </c>
      <c r="P241" s="966"/>
      <c r="Q241" s="53">
        <f t="shared" si="51"/>
        <v>1</v>
      </c>
      <c r="R241" s="493">
        <f t="shared" si="52"/>
        <v>0</v>
      </c>
      <c r="S241" s="802">
        <f t="shared" si="53"/>
        <v>0</v>
      </c>
    </row>
    <row r="242" spans="1:19">
      <c r="A242" s="968"/>
      <c r="B242" s="137"/>
      <c r="C242" s="53">
        <f t="shared" si="44"/>
        <v>1</v>
      </c>
      <c r="D242" s="966"/>
      <c r="E242" s="53">
        <f t="shared" si="45"/>
        <v>0.02</v>
      </c>
      <c r="F242" s="966"/>
      <c r="G242" s="53">
        <f t="shared" si="46"/>
        <v>1</v>
      </c>
      <c r="H242" s="966"/>
      <c r="I242" s="53">
        <f t="shared" si="47"/>
        <v>1</v>
      </c>
      <c r="J242" s="966"/>
      <c r="K242" s="53">
        <f t="shared" si="48"/>
        <v>1</v>
      </c>
      <c r="L242" s="966"/>
      <c r="M242" s="53">
        <f t="shared" si="49"/>
        <v>1</v>
      </c>
      <c r="N242" s="966"/>
      <c r="O242" s="53">
        <f t="shared" si="50"/>
        <v>1</v>
      </c>
      <c r="P242" s="966"/>
      <c r="Q242" s="53">
        <f t="shared" si="51"/>
        <v>1</v>
      </c>
      <c r="R242" s="493">
        <f t="shared" si="52"/>
        <v>0</v>
      </c>
      <c r="S242" s="802">
        <f t="shared" si="53"/>
        <v>0</v>
      </c>
    </row>
    <row r="243" spans="1:19">
      <c r="A243" s="968"/>
      <c r="B243" s="137"/>
      <c r="C243" s="53">
        <f t="shared" si="44"/>
        <v>1</v>
      </c>
      <c r="D243" s="966"/>
      <c r="E243" s="53">
        <f t="shared" si="45"/>
        <v>0.02</v>
      </c>
      <c r="F243" s="966"/>
      <c r="G243" s="53">
        <f t="shared" si="46"/>
        <v>1</v>
      </c>
      <c r="H243" s="966"/>
      <c r="I243" s="53">
        <f t="shared" si="47"/>
        <v>1</v>
      </c>
      <c r="J243" s="966"/>
      <c r="K243" s="53">
        <f t="shared" si="48"/>
        <v>1</v>
      </c>
      <c r="L243" s="966"/>
      <c r="M243" s="53">
        <f t="shared" si="49"/>
        <v>1</v>
      </c>
      <c r="N243" s="966"/>
      <c r="O243" s="53">
        <f t="shared" si="50"/>
        <v>1</v>
      </c>
      <c r="P243" s="966"/>
      <c r="Q243" s="53">
        <f t="shared" si="51"/>
        <v>1</v>
      </c>
      <c r="R243" s="493">
        <f t="shared" si="52"/>
        <v>0</v>
      </c>
      <c r="S243" s="802">
        <f t="shared" si="53"/>
        <v>0</v>
      </c>
    </row>
    <row r="244" spans="1:19">
      <c r="A244" s="968"/>
      <c r="B244" s="137"/>
      <c r="C244" s="53">
        <f t="shared" si="44"/>
        <v>1</v>
      </c>
      <c r="D244" s="966"/>
      <c r="E244" s="53">
        <f t="shared" si="45"/>
        <v>0.02</v>
      </c>
      <c r="F244" s="966"/>
      <c r="G244" s="53">
        <f t="shared" si="46"/>
        <v>1</v>
      </c>
      <c r="H244" s="966"/>
      <c r="I244" s="53">
        <f t="shared" si="47"/>
        <v>1</v>
      </c>
      <c r="J244" s="966"/>
      <c r="K244" s="53">
        <f t="shared" si="48"/>
        <v>1</v>
      </c>
      <c r="L244" s="966"/>
      <c r="M244" s="53">
        <f t="shared" si="49"/>
        <v>1</v>
      </c>
      <c r="N244" s="966"/>
      <c r="O244" s="53">
        <f t="shared" si="50"/>
        <v>1</v>
      </c>
      <c r="P244" s="966"/>
      <c r="Q244" s="53">
        <f t="shared" si="51"/>
        <v>1</v>
      </c>
      <c r="R244" s="493">
        <f t="shared" si="52"/>
        <v>0</v>
      </c>
      <c r="S244" s="802">
        <f t="shared" si="53"/>
        <v>0</v>
      </c>
    </row>
    <row r="245" spans="1:19">
      <c r="A245" s="968"/>
      <c r="B245" s="137"/>
      <c r="C245" s="53">
        <f t="shared" si="44"/>
        <v>1</v>
      </c>
      <c r="D245" s="966"/>
      <c r="E245" s="53">
        <f t="shared" si="45"/>
        <v>0.02</v>
      </c>
      <c r="F245" s="966"/>
      <c r="G245" s="53">
        <f t="shared" si="46"/>
        <v>1</v>
      </c>
      <c r="H245" s="966"/>
      <c r="I245" s="53">
        <f t="shared" si="47"/>
        <v>1</v>
      </c>
      <c r="J245" s="966"/>
      <c r="K245" s="53">
        <f t="shared" si="48"/>
        <v>1</v>
      </c>
      <c r="L245" s="966"/>
      <c r="M245" s="53">
        <f t="shared" si="49"/>
        <v>1</v>
      </c>
      <c r="N245" s="966"/>
      <c r="O245" s="53">
        <f t="shared" si="50"/>
        <v>1</v>
      </c>
      <c r="P245" s="966"/>
      <c r="Q245" s="53">
        <f t="shared" si="51"/>
        <v>1</v>
      </c>
      <c r="R245" s="493">
        <f t="shared" si="52"/>
        <v>0</v>
      </c>
      <c r="S245" s="802">
        <f t="shared" si="53"/>
        <v>0</v>
      </c>
    </row>
    <row r="246" spans="1:19">
      <c r="A246" s="968"/>
      <c r="B246" s="137"/>
      <c r="C246" s="53">
        <f t="shared" si="44"/>
        <v>1</v>
      </c>
      <c r="D246" s="966"/>
      <c r="E246" s="53">
        <f t="shared" si="45"/>
        <v>0.02</v>
      </c>
      <c r="F246" s="966"/>
      <c r="G246" s="53">
        <f t="shared" si="46"/>
        <v>1</v>
      </c>
      <c r="H246" s="966"/>
      <c r="I246" s="53">
        <f t="shared" si="47"/>
        <v>1</v>
      </c>
      <c r="J246" s="966"/>
      <c r="K246" s="53">
        <f t="shared" si="48"/>
        <v>1</v>
      </c>
      <c r="L246" s="966"/>
      <c r="M246" s="53">
        <f t="shared" si="49"/>
        <v>1</v>
      </c>
      <c r="N246" s="966"/>
      <c r="O246" s="53">
        <f t="shared" si="50"/>
        <v>1</v>
      </c>
      <c r="P246" s="966"/>
      <c r="Q246" s="53">
        <f t="shared" si="51"/>
        <v>1</v>
      </c>
      <c r="R246" s="493">
        <f t="shared" si="52"/>
        <v>0</v>
      </c>
      <c r="S246" s="802">
        <f t="shared" si="53"/>
        <v>0</v>
      </c>
    </row>
    <row r="247" spans="1:19">
      <c r="A247" s="968"/>
      <c r="B247" s="137"/>
      <c r="C247" s="53">
        <f t="shared" si="44"/>
        <v>1</v>
      </c>
      <c r="D247" s="966"/>
      <c r="E247" s="53">
        <f t="shared" si="45"/>
        <v>0.02</v>
      </c>
      <c r="F247" s="966"/>
      <c r="G247" s="53">
        <f t="shared" si="46"/>
        <v>1</v>
      </c>
      <c r="H247" s="966"/>
      <c r="I247" s="53">
        <f t="shared" si="47"/>
        <v>1</v>
      </c>
      <c r="J247" s="966"/>
      <c r="K247" s="53">
        <f t="shared" si="48"/>
        <v>1</v>
      </c>
      <c r="L247" s="966"/>
      <c r="M247" s="53">
        <f t="shared" si="49"/>
        <v>1</v>
      </c>
      <c r="N247" s="966"/>
      <c r="O247" s="53">
        <f t="shared" si="50"/>
        <v>1</v>
      </c>
      <c r="P247" s="966"/>
      <c r="Q247" s="53">
        <f t="shared" si="51"/>
        <v>1</v>
      </c>
      <c r="R247" s="493">
        <f t="shared" si="52"/>
        <v>0</v>
      </c>
      <c r="S247" s="802">
        <f t="shared" si="53"/>
        <v>0</v>
      </c>
    </row>
    <row r="248" spans="1:19">
      <c r="A248" s="968"/>
      <c r="B248" s="137"/>
      <c r="C248" s="53">
        <f t="shared" si="44"/>
        <v>1</v>
      </c>
      <c r="D248" s="966"/>
      <c r="E248" s="53">
        <f t="shared" si="45"/>
        <v>0.02</v>
      </c>
      <c r="F248" s="966"/>
      <c r="G248" s="53">
        <f t="shared" si="46"/>
        <v>1</v>
      </c>
      <c r="H248" s="966"/>
      <c r="I248" s="53">
        <f t="shared" si="47"/>
        <v>1</v>
      </c>
      <c r="J248" s="966"/>
      <c r="K248" s="53">
        <f t="shared" si="48"/>
        <v>1</v>
      </c>
      <c r="L248" s="966"/>
      <c r="M248" s="53">
        <f t="shared" si="49"/>
        <v>1</v>
      </c>
      <c r="N248" s="966"/>
      <c r="O248" s="53">
        <f t="shared" si="50"/>
        <v>1</v>
      </c>
      <c r="P248" s="966"/>
      <c r="Q248" s="53">
        <f t="shared" si="51"/>
        <v>1</v>
      </c>
      <c r="R248" s="493">
        <f t="shared" si="52"/>
        <v>0</v>
      </c>
      <c r="S248" s="802">
        <f t="shared" si="53"/>
        <v>0</v>
      </c>
    </row>
    <row r="249" spans="1:19">
      <c r="A249" s="968"/>
      <c r="B249" s="137"/>
      <c r="C249" s="53">
        <f t="shared" si="44"/>
        <v>1</v>
      </c>
      <c r="D249" s="966"/>
      <c r="E249" s="53">
        <f t="shared" si="45"/>
        <v>0.02</v>
      </c>
      <c r="F249" s="966"/>
      <c r="G249" s="53">
        <f t="shared" si="46"/>
        <v>1</v>
      </c>
      <c r="H249" s="966"/>
      <c r="I249" s="53">
        <f t="shared" si="47"/>
        <v>1</v>
      </c>
      <c r="J249" s="966"/>
      <c r="K249" s="53">
        <f t="shared" si="48"/>
        <v>1</v>
      </c>
      <c r="L249" s="966"/>
      <c r="M249" s="53">
        <f t="shared" si="49"/>
        <v>1</v>
      </c>
      <c r="N249" s="966"/>
      <c r="O249" s="53">
        <f t="shared" si="50"/>
        <v>1</v>
      </c>
      <c r="P249" s="966"/>
      <c r="Q249" s="53">
        <f t="shared" si="51"/>
        <v>1</v>
      </c>
      <c r="R249" s="493">
        <f t="shared" si="52"/>
        <v>0</v>
      </c>
      <c r="S249" s="802">
        <f t="shared" si="53"/>
        <v>0</v>
      </c>
    </row>
    <row r="250" spans="1:19">
      <c r="A250" s="968"/>
      <c r="B250" s="137"/>
      <c r="C250" s="53">
        <f t="shared" si="44"/>
        <v>1</v>
      </c>
      <c r="D250" s="966"/>
      <c r="E250" s="53">
        <f t="shared" si="45"/>
        <v>0.02</v>
      </c>
      <c r="F250" s="966"/>
      <c r="G250" s="53">
        <f t="shared" si="46"/>
        <v>1</v>
      </c>
      <c r="H250" s="966"/>
      <c r="I250" s="53">
        <f t="shared" si="47"/>
        <v>1</v>
      </c>
      <c r="J250" s="966"/>
      <c r="K250" s="53">
        <f t="shared" si="48"/>
        <v>1</v>
      </c>
      <c r="L250" s="966"/>
      <c r="M250" s="53">
        <f t="shared" si="49"/>
        <v>1</v>
      </c>
      <c r="N250" s="966"/>
      <c r="O250" s="53">
        <f t="shared" si="50"/>
        <v>1</v>
      </c>
      <c r="P250" s="966"/>
      <c r="Q250" s="53">
        <f t="shared" si="51"/>
        <v>1</v>
      </c>
      <c r="R250" s="493">
        <f t="shared" si="52"/>
        <v>0</v>
      </c>
      <c r="S250" s="802">
        <f t="shared" si="53"/>
        <v>0</v>
      </c>
    </row>
    <row r="251" spans="1:19">
      <c r="A251" s="968"/>
      <c r="B251" s="137"/>
      <c r="C251" s="53">
        <f t="shared" si="44"/>
        <v>1</v>
      </c>
      <c r="D251" s="966"/>
      <c r="E251" s="53">
        <f t="shared" si="45"/>
        <v>0.02</v>
      </c>
      <c r="F251" s="966"/>
      <c r="G251" s="53">
        <f t="shared" si="46"/>
        <v>1</v>
      </c>
      <c r="H251" s="966"/>
      <c r="I251" s="53">
        <f t="shared" si="47"/>
        <v>1</v>
      </c>
      <c r="J251" s="966"/>
      <c r="K251" s="53">
        <f t="shared" si="48"/>
        <v>1</v>
      </c>
      <c r="L251" s="966"/>
      <c r="M251" s="53">
        <f t="shared" si="49"/>
        <v>1</v>
      </c>
      <c r="N251" s="966"/>
      <c r="O251" s="53">
        <f t="shared" si="50"/>
        <v>1</v>
      </c>
      <c r="P251" s="966"/>
      <c r="Q251" s="53">
        <f t="shared" si="51"/>
        <v>1</v>
      </c>
      <c r="R251" s="493">
        <f t="shared" si="52"/>
        <v>0</v>
      </c>
      <c r="S251" s="802">
        <f t="shared" si="53"/>
        <v>0</v>
      </c>
    </row>
    <row r="252" spans="1:19">
      <c r="A252" s="968"/>
      <c r="B252" s="137"/>
      <c r="C252" s="53">
        <f t="shared" si="44"/>
        <v>1</v>
      </c>
      <c r="D252" s="966"/>
      <c r="E252" s="53">
        <f t="shared" si="45"/>
        <v>0.02</v>
      </c>
      <c r="F252" s="966"/>
      <c r="G252" s="53">
        <f t="shared" si="46"/>
        <v>1</v>
      </c>
      <c r="H252" s="966"/>
      <c r="I252" s="53">
        <f t="shared" si="47"/>
        <v>1</v>
      </c>
      <c r="J252" s="966"/>
      <c r="K252" s="53">
        <f t="shared" si="48"/>
        <v>1</v>
      </c>
      <c r="L252" s="966"/>
      <c r="M252" s="53">
        <f t="shared" si="49"/>
        <v>1</v>
      </c>
      <c r="N252" s="966"/>
      <c r="O252" s="53">
        <f t="shared" si="50"/>
        <v>1</v>
      </c>
      <c r="P252" s="966"/>
      <c r="Q252" s="53">
        <f t="shared" si="51"/>
        <v>1</v>
      </c>
      <c r="R252" s="493">
        <f t="shared" si="52"/>
        <v>0</v>
      </c>
      <c r="S252" s="802">
        <f t="shared" si="53"/>
        <v>0</v>
      </c>
    </row>
    <row r="253" spans="1:19">
      <c r="A253" s="968"/>
      <c r="B253" s="137"/>
      <c r="C253" s="53">
        <f t="shared" si="44"/>
        <v>1</v>
      </c>
      <c r="D253" s="966"/>
      <c r="E253" s="53">
        <f t="shared" si="45"/>
        <v>0.02</v>
      </c>
      <c r="F253" s="966"/>
      <c r="G253" s="53">
        <f t="shared" si="46"/>
        <v>1</v>
      </c>
      <c r="H253" s="966"/>
      <c r="I253" s="53">
        <f t="shared" si="47"/>
        <v>1</v>
      </c>
      <c r="J253" s="966"/>
      <c r="K253" s="53">
        <f t="shared" si="48"/>
        <v>1</v>
      </c>
      <c r="L253" s="966"/>
      <c r="M253" s="53">
        <f t="shared" si="49"/>
        <v>1</v>
      </c>
      <c r="N253" s="966"/>
      <c r="O253" s="53">
        <f t="shared" si="50"/>
        <v>1</v>
      </c>
      <c r="P253" s="966"/>
      <c r="Q253" s="53">
        <f t="shared" si="51"/>
        <v>1</v>
      </c>
      <c r="R253" s="493">
        <f t="shared" si="52"/>
        <v>0</v>
      </c>
      <c r="S253" s="802">
        <f t="shared" si="53"/>
        <v>0</v>
      </c>
    </row>
    <row r="254" spans="1:19">
      <c r="A254" s="968"/>
      <c r="B254" s="137"/>
      <c r="C254" s="53">
        <f t="shared" si="44"/>
        <v>1</v>
      </c>
      <c r="D254" s="966"/>
      <c r="E254" s="53">
        <f t="shared" si="45"/>
        <v>0.02</v>
      </c>
      <c r="F254" s="966"/>
      <c r="G254" s="53">
        <f t="shared" si="46"/>
        <v>1</v>
      </c>
      <c r="H254" s="966"/>
      <c r="I254" s="53">
        <f t="shared" si="47"/>
        <v>1</v>
      </c>
      <c r="J254" s="966"/>
      <c r="K254" s="53">
        <f t="shared" si="48"/>
        <v>1</v>
      </c>
      <c r="L254" s="966"/>
      <c r="M254" s="53">
        <f t="shared" si="49"/>
        <v>1</v>
      </c>
      <c r="N254" s="966"/>
      <c r="O254" s="53">
        <f t="shared" si="50"/>
        <v>1</v>
      </c>
      <c r="P254" s="966"/>
      <c r="Q254" s="53">
        <f t="shared" si="51"/>
        <v>1</v>
      </c>
      <c r="R254" s="493">
        <f t="shared" si="52"/>
        <v>0</v>
      </c>
      <c r="S254" s="802">
        <f t="shared" si="53"/>
        <v>0</v>
      </c>
    </row>
    <row r="255" spans="1:19">
      <c r="A255" s="968"/>
      <c r="B255" s="137"/>
      <c r="C255" s="53">
        <f t="shared" si="44"/>
        <v>1</v>
      </c>
      <c r="D255" s="966"/>
      <c r="E255" s="53">
        <f t="shared" si="45"/>
        <v>0.02</v>
      </c>
      <c r="F255" s="966"/>
      <c r="G255" s="53">
        <f t="shared" si="46"/>
        <v>1</v>
      </c>
      <c r="H255" s="966"/>
      <c r="I255" s="53">
        <f t="shared" si="47"/>
        <v>1</v>
      </c>
      <c r="J255" s="966"/>
      <c r="K255" s="53">
        <f t="shared" si="48"/>
        <v>1</v>
      </c>
      <c r="L255" s="966"/>
      <c r="M255" s="53">
        <f t="shared" si="49"/>
        <v>1</v>
      </c>
      <c r="N255" s="966"/>
      <c r="O255" s="53">
        <f t="shared" si="50"/>
        <v>1</v>
      </c>
      <c r="P255" s="966"/>
      <c r="Q255" s="53">
        <f t="shared" si="51"/>
        <v>1</v>
      </c>
      <c r="R255" s="493">
        <f t="shared" si="52"/>
        <v>0</v>
      </c>
      <c r="S255" s="802">
        <f t="shared" si="53"/>
        <v>0</v>
      </c>
    </row>
    <row r="256" spans="1:19">
      <c r="A256" s="968"/>
      <c r="B256" s="137"/>
      <c r="C256" s="53">
        <f t="shared" si="44"/>
        <v>1</v>
      </c>
      <c r="D256" s="966"/>
      <c r="E256" s="53">
        <f t="shared" si="45"/>
        <v>0.02</v>
      </c>
      <c r="F256" s="966"/>
      <c r="G256" s="53">
        <f t="shared" si="46"/>
        <v>1</v>
      </c>
      <c r="H256" s="966"/>
      <c r="I256" s="53">
        <f t="shared" si="47"/>
        <v>1</v>
      </c>
      <c r="J256" s="966"/>
      <c r="K256" s="53">
        <f t="shared" si="48"/>
        <v>1</v>
      </c>
      <c r="L256" s="966"/>
      <c r="M256" s="53">
        <f t="shared" si="49"/>
        <v>1</v>
      </c>
      <c r="N256" s="966"/>
      <c r="O256" s="53">
        <f t="shared" si="50"/>
        <v>1</v>
      </c>
      <c r="P256" s="966"/>
      <c r="Q256" s="53">
        <f t="shared" si="51"/>
        <v>1</v>
      </c>
      <c r="R256" s="493">
        <f t="shared" si="52"/>
        <v>0</v>
      </c>
      <c r="S256" s="802">
        <f t="shared" si="53"/>
        <v>0</v>
      </c>
    </row>
    <row r="257" spans="1:19">
      <c r="A257" s="968"/>
      <c r="B257" s="137"/>
      <c r="C257" s="53">
        <f t="shared" si="44"/>
        <v>1</v>
      </c>
      <c r="D257" s="966"/>
      <c r="E257" s="53">
        <f t="shared" si="45"/>
        <v>0.02</v>
      </c>
      <c r="F257" s="966"/>
      <c r="G257" s="53">
        <f t="shared" si="46"/>
        <v>1</v>
      </c>
      <c r="H257" s="966"/>
      <c r="I257" s="53">
        <f t="shared" si="47"/>
        <v>1</v>
      </c>
      <c r="J257" s="966"/>
      <c r="K257" s="53">
        <f t="shared" si="48"/>
        <v>1</v>
      </c>
      <c r="L257" s="966"/>
      <c r="M257" s="53">
        <f t="shared" si="49"/>
        <v>1</v>
      </c>
      <c r="N257" s="966"/>
      <c r="O257" s="53">
        <f t="shared" si="50"/>
        <v>1</v>
      </c>
      <c r="P257" s="966"/>
      <c r="Q257" s="53">
        <f t="shared" si="51"/>
        <v>1</v>
      </c>
      <c r="R257" s="493">
        <f t="shared" si="52"/>
        <v>0</v>
      </c>
      <c r="S257" s="802">
        <f t="shared" si="53"/>
        <v>0</v>
      </c>
    </row>
    <row r="258" spans="1:19">
      <c r="A258" s="968"/>
      <c r="B258" s="137"/>
      <c r="C258" s="53">
        <f t="shared" si="44"/>
        <v>1</v>
      </c>
      <c r="D258" s="966"/>
      <c r="E258" s="53">
        <f t="shared" si="45"/>
        <v>0.02</v>
      </c>
      <c r="F258" s="966"/>
      <c r="G258" s="53">
        <f t="shared" si="46"/>
        <v>1</v>
      </c>
      <c r="H258" s="966"/>
      <c r="I258" s="53">
        <f t="shared" si="47"/>
        <v>1</v>
      </c>
      <c r="J258" s="966"/>
      <c r="K258" s="53">
        <f t="shared" si="48"/>
        <v>1</v>
      </c>
      <c r="L258" s="966"/>
      <c r="M258" s="53">
        <f t="shared" si="49"/>
        <v>1</v>
      </c>
      <c r="N258" s="966"/>
      <c r="O258" s="53">
        <f t="shared" si="50"/>
        <v>1</v>
      </c>
      <c r="P258" s="966"/>
      <c r="Q258" s="53">
        <f t="shared" si="51"/>
        <v>1</v>
      </c>
      <c r="R258" s="493">
        <f t="shared" si="52"/>
        <v>0</v>
      </c>
      <c r="S258" s="802">
        <f t="shared" si="53"/>
        <v>0</v>
      </c>
    </row>
    <row r="259" spans="1:19">
      <c r="A259" s="968"/>
      <c r="B259" s="137"/>
      <c r="C259" s="53">
        <f t="shared" si="44"/>
        <v>1</v>
      </c>
      <c r="D259" s="966"/>
      <c r="E259" s="53">
        <f t="shared" si="45"/>
        <v>0.02</v>
      </c>
      <c r="F259" s="966"/>
      <c r="G259" s="53">
        <f t="shared" si="46"/>
        <v>1</v>
      </c>
      <c r="H259" s="966"/>
      <c r="I259" s="53">
        <f t="shared" si="47"/>
        <v>1</v>
      </c>
      <c r="J259" s="966"/>
      <c r="K259" s="53">
        <f t="shared" si="48"/>
        <v>1</v>
      </c>
      <c r="L259" s="966"/>
      <c r="M259" s="53">
        <f t="shared" si="49"/>
        <v>1</v>
      </c>
      <c r="N259" s="966"/>
      <c r="O259" s="53">
        <f t="shared" si="50"/>
        <v>1</v>
      </c>
      <c r="P259" s="966"/>
      <c r="Q259" s="53">
        <f t="shared" si="51"/>
        <v>1</v>
      </c>
      <c r="R259" s="493">
        <f t="shared" si="52"/>
        <v>0</v>
      </c>
      <c r="S259" s="802">
        <f t="shared" si="53"/>
        <v>0</v>
      </c>
    </row>
    <row r="260" spans="1:19">
      <c r="A260" s="968"/>
      <c r="B260" s="137"/>
      <c r="C260" s="53">
        <f t="shared" si="44"/>
        <v>1</v>
      </c>
      <c r="D260" s="966"/>
      <c r="E260" s="53">
        <f t="shared" si="45"/>
        <v>0.02</v>
      </c>
      <c r="F260" s="966"/>
      <c r="G260" s="53">
        <f t="shared" si="46"/>
        <v>1</v>
      </c>
      <c r="H260" s="966"/>
      <c r="I260" s="53">
        <f t="shared" si="47"/>
        <v>1</v>
      </c>
      <c r="J260" s="966"/>
      <c r="K260" s="53">
        <f t="shared" si="48"/>
        <v>1</v>
      </c>
      <c r="L260" s="966"/>
      <c r="M260" s="53">
        <f t="shared" si="49"/>
        <v>1</v>
      </c>
      <c r="N260" s="966"/>
      <c r="O260" s="53">
        <f t="shared" si="50"/>
        <v>1</v>
      </c>
      <c r="P260" s="966"/>
      <c r="Q260" s="53">
        <f t="shared" si="51"/>
        <v>1</v>
      </c>
      <c r="R260" s="493">
        <f t="shared" si="52"/>
        <v>0</v>
      </c>
      <c r="S260" s="802">
        <f t="shared" si="53"/>
        <v>0</v>
      </c>
    </row>
    <row r="261" spans="1:19">
      <c r="A261" s="968"/>
      <c r="B261" s="137"/>
      <c r="C261" s="53">
        <f t="shared" si="44"/>
        <v>1</v>
      </c>
      <c r="D261" s="966"/>
      <c r="E261" s="53">
        <f t="shared" si="45"/>
        <v>0.02</v>
      </c>
      <c r="F261" s="966"/>
      <c r="G261" s="53">
        <f t="shared" si="46"/>
        <v>1</v>
      </c>
      <c r="H261" s="966"/>
      <c r="I261" s="53">
        <f t="shared" si="47"/>
        <v>1</v>
      </c>
      <c r="J261" s="966"/>
      <c r="K261" s="53">
        <f t="shared" si="48"/>
        <v>1</v>
      </c>
      <c r="L261" s="966"/>
      <c r="M261" s="53">
        <f t="shared" si="49"/>
        <v>1</v>
      </c>
      <c r="N261" s="966"/>
      <c r="O261" s="53">
        <f t="shared" si="50"/>
        <v>1</v>
      </c>
      <c r="P261" s="966"/>
      <c r="Q261" s="53">
        <f t="shared" si="51"/>
        <v>1</v>
      </c>
      <c r="R261" s="493">
        <f t="shared" si="52"/>
        <v>0</v>
      </c>
      <c r="S261" s="802">
        <f t="shared" si="53"/>
        <v>0</v>
      </c>
    </row>
    <row r="262" spans="1:19">
      <c r="A262" s="968"/>
      <c r="B262" s="137"/>
      <c r="C262" s="53">
        <f t="shared" si="44"/>
        <v>1</v>
      </c>
      <c r="D262" s="966"/>
      <c r="E262" s="53">
        <f t="shared" si="45"/>
        <v>0.02</v>
      </c>
      <c r="F262" s="966"/>
      <c r="G262" s="53">
        <f t="shared" si="46"/>
        <v>1</v>
      </c>
      <c r="H262" s="966"/>
      <c r="I262" s="53">
        <f t="shared" si="47"/>
        <v>1</v>
      </c>
      <c r="J262" s="966"/>
      <c r="K262" s="53">
        <f t="shared" si="48"/>
        <v>1</v>
      </c>
      <c r="L262" s="966"/>
      <c r="M262" s="53">
        <f t="shared" si="49"/>
        <v>1</v>
      </c>
      <c r="N262" s="966"/>
      <c r="O262" s="53">
        <f t="shared" si="50"/>
        <v>1</v>
      </c>
      <c r="P262" s="966"/>
      <c r="Q262" s="53">
        <f t="shared" si="51"/>
        <v>1</v>
      </c>
      <c r="R262" s="493">
        <f t="shared" si="52"/>
        <v>0</v>
      </c>
      <c r="S262" s="802">
        <f t="shared" si="53"/>
        <v>0</v>
      </c>
    </row>
    <row r="263" spans="1:19">
      <c r="A263" s="968"/>
      <c r="B263" s="137"/>
      <c r="C263" s="53">
        <f t="shared" si="44"/>
        <v>1</v>
      </c>
      <c r="D263" s="966"/>
      <c r="E263" s="53">
        <f t="shared" si="45"/>
        <v>0.02</v>
      </c>
      <c r="F263" s="966"/>
      <c r="G263" s="53">
        <f t="shared" si="46"/>
        <v>1</v>
      </c>
      <c r="H263" s="966"/>
      <c r="I263" s="53">
        <f t="shared" si="47"/>
        <v>1</v>
      </c>
      <c r="J263" s="966"/>
      <c r="K263" s="53">
        <f t="shared" si="48"/>
        <v>1</v>
      </c>
      <c r="L263" s="966"/>
      <c r="M263" s="53">
        <f t="shared" si="49"/>
        <v>1</v>
      </c>
      <c r="N263" s="966"/>
      <c r="O263" s="53">
        <f t="shared" si="50"/>
        <v>1</v>
      </c>
      <c r="P263" s="966"/>
      <c r="Q263" s="53">
        <f t="shared" si="51"/>
        <v>1</v>
      </c>
      <c r="R263" s="493">
        <f t="shared" si="52"/>
        <v>0</v>
      </c>
      <c r="S263" s="802">
        <f t="shared" si="53"/>
        <v>0</v>
      </c>
    </row>
    <row r="264" spans="1:19">
      <c r="A264" s="968"/>
      <c r="B264" s="137"/>
      <c r="C264" s="53">
        <f t="shared" si="44"/>
        <v>1</v>
      </c>
      <c r="D264" s="966"/>
      <c r="E264" s="53">
        <f t="shared" si="45"/>
        <v>0.02</v>
      </c>
      <c r="F264" s="966"/>
      <c r="G264" s="53">
        <f t="shared" si="46"/>
        <v>1</v>
      </c>
      <c r="H264" s="966"/>
      <c r="I264" s="53">
        <f t="shared" si="47"/>
        <v>1</v>
      </c>
      <c r="J264" s="966"/>
      <c r="K264" s="53">
        <f t="shared" si="48"/>
        <v>1</v>
      </c>
      <c r="L264" s="966"/>
      <c r="M264" s="53">
        <f t="shared" si="49"/>
        <v>1</v>
      </c>
      <c r="N264" s="966"/>
      <c r="O264" s="53">
        <f t="shared" si="50"/>
        <v>1</v>
      </c>
      <c r="P264" s="966"/>
      <c r="Q264" s="53">
        <f t="shared" si="51"/>
        <v>1</v>
      </c>
      <c r="R264" s="493">
        <f t="shared" si="52"/>
        <v>0</v>
      </c>
      <c r="S264" s="802">
        <f t="shared" si="53"/>
        <v>0</v>
      </c>
    </row>
    <row r="265" spans="1:19">
      <c r="A265" s="968"/>
      <c r="B265" s="137"/>
      <c r="C265" s="53">
        <f t="shared" si="44"/>
        <v>1</v>
      </c>
      <c r="D265" s="966"/>
      <c r="E265" s="53">
        <f t="shared" si="45"/>
        <v>0.02</v>
      </c>
      <c r="F265" s="966"/>
      <c r="G265" s="53">
        <f t="shared" si="46"/>
        <v>1</v>
      </c>
      <c r="H265" s="966"/>
      <c r="I265" s="53">
        <f t="shared" si="47"/>
        <v>1</v>
      </c>
      <c r="J265" s="966"/>
      <c r="K265" s="53">
        <f t="shared" si="48"/>
        <v>1</v>
      </c>
      <c r="L265" s="966"/>
      <c r="M265" s="53">
        <f t="shared" si="49"/>
        <v>1</v>
      </c>
      <c r="N265" s="966"/>
      <c r="O265" s="53">
        <f t="shared" si="50"/>
        <v>1</v>
      </c>
      <c r="P265" s="966"/>
      <c r="Q265" s="53">
        <f t="shared" si="51"/>
        <v>1</v>
      </c>
      <c r="R265" s="493">
        <f t="shared" si="52"/>
        <v>0</v>
      </c>
      <c r="S265" s="802">
        <f t="shared" si="53"/>
        <v>0</v>
      </c>
    </row>
    <row r="266" spans="1:19">
      <c r="A266" s="968"/>
      <c r="B266" s="137"/>
      <c r="C266" s="53">
        <f t="shared" si="44"/>
        <v>1</v>
      </c>
      <c r="D266" s="966"/>
      <c r="E266" s="53">
        <f t="shared" si="45"/>
        <v>0.02</v>
      </c>
      <c r="F266" s="966"/>
      <c r="G266" s="53">
        <f t="shared" si="46"/>
        <v>1</v>
      </c>
      <c r="H266" s="966"/>
      <c r="I266" s="53">
        <f t="shared" si="47"/>
        <v>1</v>
      </c>
      <c r="J266" s="966"/>
      <c r="K266" s="53">
        <f t="shared" si="48"/>
        <v>1</v>
      </c>
      <c r="L266" s="966"/>
      <c r="M266" s="53">
        <f t="shared" si="49"/>
        <v>1</v>
      </c>
      <c r="N266" s="966"/>
      <c r="O266" s="53">
        <f t="shared" si="50"/>
        <v>1</v>
      </c>
      <c r="P266" s="966"/>
      <c r="Q266" s="53">
        <f t="shared" si="51"/>
        <v>1</v>
      </c>
      <c r="R266" s="493">
        <f t="shared" si="52"/>
        <v>0</v>
      </c>
      <c r="S266" s="802">
        <f t="shared" si="53"/>
        <v>0</v>
      </c>
    </row>
    <row r="267" spans="1:19">
      <c r="A267" s="968"/>
      <c r="B267" s="137"/>
      <c r="C267" s="53">
        <f t="shared" si="44"/>
        <v>1</v>
      </c>
      <c r="D267" s="966"/>
      <c r="E267" s="53">
        <f t="shared" si="45"/>
        <v>0.02</v>
      </c>
      <c r="F267" s="966"/>
      <c r="G267" s="53">
        <f t="shared" si="46"/>
        <v>1</v>
      </c>
      <c r="H267" s="966"/>
      <c r="I267" s="53">
        <f t="shared" si="47"/>
        <v>1</v>
      </c>
      <c r="J267" s="966"/>
      <c r="K267" s="53">
        <f t="shared" si="48"/>
        <v>1</v>
      </c>
      <c r="L267" s="966"/>
      <c r="M267" s="53">
        <f t="shared" si="49"/>
        <v>1</v>
      </c>
      <c r="N267" s="966"/>
      <c r="O267" s="53">
        <f t="shared" si="50"/>
        <v>1</v>
      </c>
      <c r="P267" s="966"/>
      <c r="Q267" s="53">
        <f t="shared" si="51"/>
        <v>1</v>
      </c>
      <c r="R267" s="493">
        <f t="shared" si="52"/>
        <v>0</v>
      </c>
      <c r="S267" s="802">
        <f t="shared" si="53"/>
        <v>0</v>
      </c>
    </row>
    <row r="268" spans="1:19">
      <c r="A268" s="968"/>
      <c r="B268" s="137"/>
      <c r="C268" s="53">
        <f t="shared" si="44"/>
        <v>1</v>
      </c>
      <c r="D268" s="966"/>
      <c r="E268" s="53">
        <f t="shared" si="45"/>
        <v>0.02</v>
      </c>
      <c r="F268" s="966"/>
      <c r="G268" s="53">
        <f t="shared" si="46"/>
        <v>1</v>
      </c>
      <c r="H268" s="966"/>
      <c r="I268" s="53">
        <f t="shared" si="47"/>
        <v>1</v>
      </c>
      <c r="J268" s="966"/>
      <c r="K268" s="53">
        <f t="shared" si="48"/>
        <v>1</v>
      </c>
      <c r="L268" s="966"/>
      <c r="M268" s="53">
        <f t="shared" si="49"/>
        <v>1</v>
      </c>
      <c r="N268" s="966"/>
      <c r="O268" s="53">
        <f t="shared" si="50"/>
        <v>1</v>
      </c>
      <c r="P268" s="966"/>
      <c r="Q268" s="53">
        <f t="shared" si="51"/>
        <v>1</v>
      </c>
      <c r="R268" s="493">
        <f t="shared" si="52"/>
        <v>0</v>
      </c>
      <c r="S268" s="802">
        <f t="shared" si="53"/>
        <v>0</v>
      </c>
    </row>
    <row r="269" spans="1:19">
      <c r="A269" s="968"/>
      <c r="B269" s="137"/>
      <c r="C269" s="53">
        <f t="shared" si="44"/>
        <v>1</v>
      </c>
      <c r="D269" s="966"/>
      <c r="E269" s="53">
        <f t="shared" si="45"/>
        <v>0.02</v>
      </c>
      <c r="F269" s="966"/>
      <c r="G269" s="53">
        <f t="shared" si="46"/>
        <v>1</v>
      </c>
      <c r="H269" s="966"/>
      <c r="I269" s="53">
        <f t="shared" si="47"/>
        <v>1</v>
      </c>
      <c r="J269" s="966"/>
      <c r="K269" s="53">
        <f t="shared" si="48"/>
        <v>1</v>
      </c>
      <c r="L269" s="966"/>
      <c r="M269" s="53">
        <f t="shared" si="49"/>
        <v>1</v>
      </c>
      <c r="N269" s="966"/>
      <c r="O269" s="53">
        <f t="shared" si="50"/>
        <v>1</v>
      </c>
      <c r="P269" s="966"/>
      <c r="Q269" s="53">
        <f t="shared" si="51"/>
        <v>1</v>
      </c>
      <c r="R269" s="493">
        <f t="shared" si="52"/>
        <v>0</v>
      </c>
      <c r="S269" s="802">
        <f t="shared" si="53"/>
        <v>0</v>
      </c>
    </row>
    <row r="270" spans="1:19">
      <c r="A270" s="968"/>
      <c r="B270" s="137"/>
      <c r="C270" s="53">
        <f t="shared" si="44"/>
        <v>1</v>
      </c>
      <c r="D270" s="966"/>
      <c r="E270" s="53">
        <f t="shared" si="45"/>
        <v>0.02</v>
      </c>
      <c r="F270" s="966"/>
      <c r="G270" s="53">
        <f t="shared" si="46"/>
        <v>1</v>
      </c>
      <c r="H270" s="966"/>
      <c r="I270" s="53">
        <f t="shared" si="47"/>
        <v>1</v>
      </c>
      <c r="J270" s="966"/>
      <c r="K270" s="53">
        <f t="shared" si="48"/>
        <v>1</v>
      </c>
      <c r="L270" s="966"/>
      <c r="M270" s="53">
        <f t="shared" si="49"/>
        <v>1</v>
      </c>
      <c r="N270" s="966"/>
      <c r="O270" s="53">
        <f t="shared" si="50"/>
        <v>1</v>
      </c>
      <c r="P270" s="966"/>
      <c r="Q270" s="53">
        <f t="shared" si="51"/>
        <v>1</v>
      </c>
      <c r="R270" s="493">
        <f t="shared" si="52"/>
        <v>0</v>
      </c>
      <c r="S270" s="802">
        <f t="shared" si="53"/>
        <v>0</v>
      </c>
    </row>
    <row r="271" spans="1:19">
      <c r="A271" s="968"/>
      <c r="B271" s="137"/>
      <c r="C271" s="53">
        <f t="shared" si="44"/>
        <v>1</v>
      </c>
      <c r="D271" s="966"/>
      <c r="E271" s="53">
        <f t="shared" si="45"/>
        <v>0.02</v>
      </c>
      <c r="F271" s="966"/>
      <c r="G271" s="53">
        <f t="shared" si="46"/>
        <v>1</v>
      </c>
      <c r="H271" s="966"/>
      <c r="I271" s="53">
        <f t="shared" si="47"/>
        <v>1</v>
      </c>
      <c r="J271" s="966"/>
      <c r="K271" s="53">
        <f t="shared" si="48"/>
        <v>1</v>
      </c>
      <c r="L271" s="966"/>
      <c r="M271" s="53">
        <f t="shared" si="49"/>
        <v>1</v>
      </c>
      <c r="N271" s="966"/>
      <c r="O271" s="53">
        <f t="shared" si="50"/>
        <v>1</v>
      </c>
      <c r="P271" s="966"/>
      <c r="Q271" s="53">
        <f t="shared" si="51"/>
        <v>1</v>
      </c>
      <c r="R271" s="493">
        <f t="shared" si="52"/>
        <v>0</v>
      </c>
      <c r="S271" s="802">
        <f t="shared" si="53"/>
        <v>0</v>
      </c>
    </row>
    <row r="272" spans="1:19">
      <c r="A272" s="968"/>
      <c r="B272" s="137"/>
      <c r="C272" s="53">
        <f t="shared" si="44"/>
        <v>1</v>
      </c>
      <c r="D272" s="966"/>
      <c r="E272" s="53">
        <f t="shared" si="45"/>
        <v>0.02</v>
      </c>
      <c r="F272" s="966"/>
      <c r="G272" s="53">
        <f t="shared" si="46"/>
        <v>1</v>
      </c>
      <c r="H272" s="966"/>
      <c r="I272" s="53">
        <f t="shared" si="47"/>
        <v>1</v>
      </c>
      <c r="J272" s="966"/>
      <c r="K272" s="53">
        <f t="shared" si="48"/>
        <v>1</v>
      </c>
      <c r="L272" s="966"/>
      <c r="M272" s="53">
        <f t="shared" si="49"/>
        <v>1</v>
      </c>
      <c r="N272" s="966"/>
      <c r="O272" s="53">
        <f t="shared" si="50"/>
        <v>1</v>
      </c>
      <c r="P272" s="966"/>
      <c r="Q272" s="53">
        <f t="shared" si="51"/>
        <v>1</v>
      </c>
      <c r="R272" s="493">
        <f t="shared" si="52"/>
        <v>0</v>
      </c>
      <c r="S272" s="802">
        <f t="shared" si="53"/>
        <v>0</v>
      </c>
    </row>
    <row r="273" spans="1:19">
      <c r="A273" s="968"/>
      <c r="B273" s="137"/>
      <c r="C273" s="53">
        <f t="shared" si="44"/>
        <v>1</v>
      </c>
      <c r="D273" s="966"/>
      <c r="E273" s="53">
        <f t="shared" si="45"/>
        <v>0.02</v>
      </c>
      <c r="F273" s="966"/>
      <c r="G273" s="53">
        <f t="shared" si="46"/>
        <v>1</v>
      </c>
      <c r="H273" s="966"/>
      <c r="I273" s="53">
        <f t="shared" si="47"/>
        <v>1</v>
      </c>
      <c r="J273" s="966"/>
      <c r="K273" s="53">
        <f t="shared" si="48"/>
        <v>1</v>
      </c>
      <c r="L273" s="966"/>
      <c r="M273" s="53">
        <f t="shared" si="49"/>
        <v>1</v>
      </c>
      <c r="N273" s="966"/>
      <c r="O273" s="53">
        <f t="shared" si="50"/>
        <v>1</v>
      </c>
      <c r="P273" s="966"/>
      <c r="Q273" s="53">
        <f t="shared" si="51"/>
        <v>1</v>
      </c>
      <c r="R273" s="493">
        <f t="shared" si="52"/>
        <v>0</v>
      </c>
      <c r="S273" s="802">
        <f t="shared" si="53"/>
        <v>0</v>
      </c>
    </row>
    <row r="274" spans="1:19">
      <c r="A274" s="968"/>
      <c r="B274" s="137"/>
      <c r="C274" s="53">
        <f t="shared" si="44"/>
        <v>1</v>
      </c>
      <c r="D274" s="966"/>
      <c r="E274" s="53">
        <f t="shared" si="45"/>
        <v>0.02</v>
      </c>
      <c r="F274" s="966"/>
      <c r="G274" s="53">
        <f t="shared" si="46"/>
        <v>1</v>
      </c>
      <c r="H274" s="966"/>
      <c r="I274" s="53">
        <f t="shared" si="47"/>
        <v>1</v>
      </c>
      <c r="J274" s="966"/>
      <c r="K274" s="53">
        <f t="shared" si="48"/>
        <v>1</v>
      </c>
      <c r="L274" s="966"/>
      <c r="M274" s="53">
        <f t="shared" si="49"/>
        <v>1</v>
      </c>
      <c r="N274" s="966"/>
      <c r="O274" s="53">
        <f t="shared" si="50"/>
        <v>1</v>
      </c>
      <c r="P274" s="966"/>
      <c r="Q274" s="53">
        <f t="shared" si="51"/>
        <v>1</v>
      </c>
      <c r="R274" s="493">
        <f t="shared" si="52"/>
        <v>0</v>
      </c>
      <c r="S274" s="802">
        <f t="shared" si="53"/>
        <v>0</v>
      </c>
    </row>
    <row r="275" spans="1:19">
      <c r="A275" s="968"/>
      <c r="B275" s="137"/>
      <c r="C275" s="53">
        <f t="shared" si="44"/>
        <v>1</v>
      </c>
      <c r="D275" s="966"/>
      <c r="E275" s="53">
        <f t="shared" si="45"/>
        <v>0.02</v>
      </c>
      <c r="F275" s="966"/>
      <c r="G275" s="53">
        <f t="shared" si="46"/>
        <v>1</v>
      </c>
      <c r="H275" s="966"/>
      <c r="I275" s="53">
        <f t="shared" si="47"/>
        <v>1</v>
      </c>
      <c r="J275" s="966"/>
      <c r="K275" s="53">
        <f t="shared" si="48"/>
        <v>1</v>
      </c>
      <c r="L275" s="966"/>
      <c r="M275" s="53">
        <f t="shared" si="49"/>
        <v>1</v>
      </c>
      <c r="N275" s="966"/>
      <c r="O275" s="53">
        <f t="shared" si="50"/>
        <v>1</v>
      </c>
      <c r="P275" s="966"/>
      <c r="Q275" s="53">
        <f t="shared" si="51"/>
        <v>1</v>
      </c>
      <c r="R275" s="493">
        <f t="shared" si="52"/>
        <v>0</v>
      </c>
      <c r="S275" s="802">
        <f t="shared" si="53"/>
        <v>0</v>
      </c>
    </row>
    <row r="276" spans="1:19">
      <c r="A276" s="968"/>
      <c r="B276" s="137"/>
      <c r="C276" s="53">
        <f t="shared" si="44"/>
        <v>1</v>
      </c>
      <c r="D276" s="966"/>
      <c r="E276" s="53">
        <f t="shared" si="45"/>
        <v>0.02</v>
      </c>
      <c r="F276" s="966"/>
      <c r="G276" s="53">
        <f t="shared" si="46"/>
        <v>1</v>
      </c>
      <c r="H276" s="966"/>
      <c r="I276" s="53">
        <f t="shared" si="47"/>
        <v>1</v>
      </c>
      <c r="J276" s="966"/>
      <c r="K276" s="53">
        <f t="shared" si="48"/>
        <v>1</v>
      </c>
      <c r="L276" s="966"/>
      <c r="M276" s="53">
        <f t="shared" si="49"/>
        <v>1</v>
      </c>
      <c r="N276" s="966"/>
      <c r="O276" s="53">
        <f t="shared" si="50"/>
        <v>1</v>
      </c>
      <c r="P276" s="966"/>
      <c r="Q276" s="53">
        <f t="shared" si="51"/>
        <v>1</v>
      </c>
      <c r="R276" s="493">
        <f t="shared" si="52"/>
        <v>0</v>
      </c>
      <c r="S276" s="802">
        <f t="shared" si="53"/>
        <v>0</v>
      </c>
    </row>
    <row r="277" spans="1:19">
      <c r="A277" s="968"/>
      <c r="B277" s="137"/>
      <c r="C277" s="53">
        <f t="shared" si="44"/>
        <v>1</v>
      </c>
      <c r="D277" s="966"/>
      <c r="E277" s="53">
        <f t="shared" si="45"/>
        <v>0.02</v>
      </c>
      <c r="F277" s="966"/>
      <c r="G277" s="53">
        <f t="shared" si="46"/>
        <v>1</v>
      </c>
      <c r="H277" s="966"/>
      <c r="I277" s="53">
        <f t="shared" si="47"/>
        <v>1</v>
      </c>
      <c r="J277" s="966"/>
      <c r="K277" s="53">
        <f t="shared" si="48"/>
        <v>1</v>
      </c>
      <c r="L277" s="966"/>
      <c r="M277" s="53">
        <f t="shared" si="49"/>
        <v>1</v>
      </c>
      <c r="N277" s="966"/>
      <c r="O277" s="53">
        <f t="shared" si="50"/>
        <v>1</v>
      </c>
      <c r="P277" s="966"/>
      <c r="Q277" s="53">
        <f t="shared" si="51"/>
        <v>1</v>
      </c>
      <c r="R277" s="493">
        <f t="shared" si="52"/>
        <v>0</v>
      </c>
      <c r="S277" s="802">
        <f t="shared" si="53"/>
        <v>0</v>
      </c>
    </row>
    <row r="278" spans="1:19">
      <c r="A278" s="968"/>
      <c r="B278" s="137"/>
      <c r="C278" s="53">
        <f t="shared" si="44"/>
        <v>1</v>
      </c>
      <c r="D278" s="966"/>
      <c r="E278" s="53">
        <f t="shared" si="45"/>
        <v>0.02</v>
      </c>
      <c r="F278" s="966"/>
      <c r="G278" s="53">
        <f t="shared" si="46"/>
        <v>1</v>
      </c>
      <c r="H278" s="966"/>
      <c r="I278" s="53">
        <f t="shared" si="47"/>
        <v>1</v>
      </c>
      <c r="J278" s="966"/>
      <c r="K278" s="53">
        <f t="shared" si="48"/>
        <v>1</v>
      </c>
      <c r="L278" s="966"/>
      <c r="M278" s="53">
        <f t="shared" si="49"/>
        <v>1</v>
      </c>
      <c r="N278" s="966"/>
      <c r="O278" s="53">
        <f t="shared" si="50"/>
        <v>1</v>
      </c>
      <c r="P278" s="966"/>
      <c r="Q278" s="53">
        <f t="shared" si="51"/>
        <v>1</v>
      </c>
      <c r="R278" s="493">
        <f t="shared" si="52"/>
        <v>0</v>
      </c>
      <c r="S278" s="802">
        <f t="shared" si="53"/>
        <v>0</v>
      </c>
    </row>
    <row r="279" spans="1:19">
      <c r="A279" s="968"/>
      <c r="B279" s="137"/>
      <c r="C279" s="53">
        <f t="shared" si="44"/>
        <v>1</v>
      </c>
      <c r="D279" s="966"/>
      <c r="E279" s="53">
        <f t="shared" si="45"/>
        <v>0.02</v>
      </c>
      <c r="F279" s="966"/>
      <c r="G279" s="53">
        <f t="shared" si="46"/>
        <v>1</v>
      </c>
      <c r="H279" s="966"/>
      <c r="I279" s="53">
        <f t="shared" si="47"/>
        <v>1</v>
      </c>
      <c r="J279" s="966"/>
      <c r="K279" s="53">
        <f t="shared" si="48"/>
        <v>1</v>
      </c>
      <c r="L279" s="966"/>
      <c r="M279" s="53">
        <f t="shared" si="49"/>
        <v>1</v>
      </c>
      <c r="N279" s="966"/>
      <c r="O279" s="53">
        <f t="shared" si="50"/>
        <v>1</v>
      </c>
      <c r="P279" s="966"/>
      <c r="Q279" s="53">
        <f t="shared" si="51"/>
        <v>1</v>
      </c>
      <c r="R279" s="493">
        <f t="shared" si="52"/>
        <v>0</v>
      </c>
      <c r="S279" s="802">
        <f t="shared" si="53"/>
        <v>0</v>
      </c>
    </row>
    <row r="280" spans="1:19">
      <c r="A280" s="968"/>
      <c r="B280" s="137"/>
      <c r="C280" s="53">
        <f t="shared" si="44"/>
        <v>1</v>
      </c>
      <c r="D280" s="966"/>
      <c r="E280" s="53">
        <f t="shared" si="45"/>
        <v>0.02</v>
      </c>
      <c r="F280" s="966"/>
      <c r="G280" s="53">
        <f t="shared" si="46"/>
        <v>1</v>
      </c>
      <c r="H280" s="966"/>
      <c r="I280" s="53">
        <f t="shared" si="47"/>
        <v>1</v>
      </c>
      <c r="J280" s="966"/>
      <c r="K280" s="53">
        <f t="shared" si="48"/>
        <v>1</v>
      </c>
      <c r="L280" s="966"/>
      <c r="M280" s="53">
        <f t="shared" si="49"/>
        <v>1</v>
      </c>
      <c r="N280" s="966"/>
      <c r="O280" s="53">
        <f t="shared" si="50"/>
        <v>1</v>
      </c>
      <c r="P280" s="966"/>
      <c r="Q280" s="53">
        <f t="shared" si="51"/>
        <v>1</v>
      </c>
      <c r="R280" s="493">
        <f t="shared" si="52"/>
        <v>0</v>
      </c>
      <c r="S280" s="802">
        <f t="shared" si="53"/>
        <v>0</v>
      </c>
    </row>
    <row r="281" spans="1:19">
      <c r="A281" s="968"/>
      <c r="B281" s="137"/>
      <c r="C281" s="53">
        <f t="shared" si="44"/>
        <v>1</v>
      </c>
      <c r="D281" s="966"/>
      <c r="E281" s="53">
        <f t="shared" si="45"/>
        <v>0.02</v>
      </c>
      <c r="F281" s="966"/>
      <c r="G281" s="53">
        <f t="shared" si="46"/>
        <v>1</v>
      </c>
      <c r="H281" s="966"/>
      <c r="I281" s="53">
        <f t="shared" si="47"/>
        <v>1</v>
      </c>
      <c r="J281" s="966"/>
      <c r="K281" s="53">
        <f t="shared" si="48"/>
        <v>1</v>
      </c>
      <c r="L281" s="966"/>
      <c r="M281" s="53">
        <f t="shared" si="49"/>
        <v>1</v>
      </c>
      <c r="N281" s="966"/>
      <c r="O281" s="53">
        <f t="shared" si="50"/>
        <v>1</v>
      </c>
      <c r="P281" s="966"/>
      <c r="Q281" s="53">
        <f t="shared" si="51"/>
        <v>1</v>
      </c>
      <c r="R281" s="493">
        <f t="shared" si="52"/>
        <v>0</v>
      </c>
      <c r="S281" s="802">
        <f t="shared" si="53"/>
        <v>0</v>
      </c>
    </row>
    <row r="282" spans="1:19">
      <c r="A282" s="968"/>
      <c r="B282" s="137"/>
      <c r="C282" s="53">
        <f t="shared" ref="C282:C345" si="54">IF(B282="",1,(LOOKUP(B282,$3:$3,$4:$4)-LOOKUP($B$24,$3:$3,$4:$4)+100)/100)</f>
        <v>1</v>
      </c>
      <c r="D282" s="966"/>
      <c r="E282" s="53">
        <f t="shared" ref="E282:E345" si="55">(SUMIF($5:$5,D282,$6:$6)-SUMIF($5:$5,$D$24,$6:$6)+100)/100</f>
        <v>0.02</v>
      </c>
      <c r="F282" s="966"/>
      <c r="G282" s="53">
        <f t="shared" ref="G282:G345" si="56">(SUMIF($7:$7,F282,$8:$8)-SUMIF($7:$7,$F$24,$8:$8)+100)/100</f>
        <v>1</v>
      </c>
      <c r="H282" s="966"/>
      <c r="I282" s="53">
        <f t="shared" ref="I282:I345" si="57">(SUMIF($9:$9,H282,$10:$10)-SUMIF($9:$9,$H$24,$10:$10)+100)/100</f>
        <v>1</v>
      </c>
      <c r="J282" s="966"/>
      <c r="K282" s="53">
        <f t="shared" ref="K282:K345" si="58">(SUMIF($11:$11,J282,$12:$12)-SUMIF($11:$11,$J$24,$12:$12)+100)/100</f>
        <v>1</v>
      </c>
      <c r="L282" s="966"/>
      <c r="M282" s="53">
        <f t="shared" ref="M282:M345" si="59">(SUMIF($13:$13,L282,$14:$14)-SUMIF($13:$13,$L$24,$14:$14)+100)/100</f>
        <v>1</v>
      </c>
      <c r="N282" s="966"/>
      <c r="O282" s="53">
        <f t="shared" ref="O282:O345" si="60">(SUMIF($15:$15,N282,$16:$16)-SUMIF($15:$15,$N$24,$16:$16)+100)/100</f>
        <v>1</v>
      </c>
      <c r="P282" s="966"/>
      <c r="Q282" s="53">
        <f t="shared" ref="Q282:Q345" si="61">(SUMIF($17:$17,P282,$18:$18)-SUMIF($17:$17,$P$24,$18:$18)+100)/100</f>
        <v>1</v>
      </c>
      <c r="R282" s="493">
        <f t="shared" ref="R282:R345" si="62">IF(B282="",0,ROUND($R$24*C282*E282*G282*I282*K282*M282*O282*Q282,0))</f>
        <v>0</v>
      </c>
      <c r="S282" s="802">
        <f t="shared" si="53"/>
        <v>0</v>
      </c>
    </row>
    <row r="283" spans="1:19">
      <c r="A283" s="968"/>
      <c r="B283" s="137"/>
      <c r="C283" s="53">
        <f t="shared" si="54"/>
        <v>1</v>
      </c>
      <c r="D283" s="966"/>
      <c r="E283" s="53">
        <f t="shared" si="55"/>
        <v>0.02</v>
      </c>
      <c r="F283" s="966"/>
      <c r="G283" s="53">
        <f t="shared" si="56"/>
        <v>1</v>
      </c>
      <c r="H283" s="966"/>
      <c r="I283" s="53">
        <f t="shared" si="57"/>
        <v>1</v>
      </c>
      <c r="J283" s="966"/>
      <c r="K283" s="53">
        <f t="shared" si="58"/>
        <v>1</v>
      </c>
      <c r="L283" s="966"/>
      <c r="M283" s="53">
        <f t="shared" si="59"/>
        <v>1</v>
      </c>
      <c r="N283" s="966"/>
      <c r="O283" s="53">
        <f t="shared" si="60"/>
        <v>1</v>
      </c>
      <c r="P283" s="966"/>
      <c r="Q283" s="53">
        <f t="shared" si="61"/>
        <v>1</v>
      </c>
      <c r="R283" s="493">
        <f t="shared" si="62"/>
        <v>0</v>
      </c>
      <c r="S283" s="802">
        <f t="shared" si="53"/>
        <v>0</v>
      </c>
    </row>
    <row r="284" spans="1:19">
      <c r="A284" s="968"/>
      <c r="B284" s="137"/>
      <c r="C284" s="53">
        <f t="shared" si="54"/>
        <v>1</v>
      </c>
      <c r="D284" s="966"/>
      <c r="E284" s="53">
        <f t="shared" si="55"/>
        <v>0.02</v>
      </c>
      <c r="F284" s="966"/>
      <c r="G284" s="53">
        <f t="shared" si="56"/>
        <v>1</v>
      </c>
      <c r="H284" s="966"/>
      <c r="I284" s="53">
        <f t="shared" si="57"/>
        <v>1</v>
      </c>
      <c r="J284" s="966"/>
      <c r="K284" s="53">
        <f t="shared" si="58"/>
        <v>1</v>
      </c>
      <c r="L284" s="966"/>
      <c r="M284" s="53">
        <f t="shared" si="59"/>
        <v>1</v>
      </c>
      <c r="N284" s="966"/>
      <c r="O284" s="53">
        <f t="shared" si="60"/>
        <v>1</v>
      </c>
      <c r="P284" s="966"/>
      <c r="Q284" s="53">
        <f t="shared" si="61"/>
        <v>1</v>
      </c>
      <c r="R284" s="493">
        <f t="shared" si="62"/>
        <v>0</v>
      </c>
      <c r="S284" s="802">
        <f t="shared" si="53"/>
        <v>0</v>
      </c>
    </row>
    <row r="285" spans="1:19">
      <c r="A285" s="968"/>
      <c r="B285" s="137"/>
      <c r="C285" s="53">
        <f t="shared" si="54"/>
        <v>1</v>
      </c>
      <c r="D285" s="966"/>
      <c r="E285" s="53">
        <f t="shared" si="55"/>
        <v>0.02</v>
      </c>
      <c r="F285" s="966"/>
      <c r="G285" s="53">
        <f t="shared" si="56"/>
        <v>1</v>
      </c>
      <c r="H285" s="966"/>
      <c r="I285" s="53">
        <f t="shared" si="57"/>
        <v>1</v>
      </c>
      <c r="J285" s="966"/>
      <c r="K285" s="53">
        <f t="shared" si="58"/>
        <v>1</v>
      </c>
      <c r="L285" s="966"/>
      <c r="M285" s="53">
        <f t="shared" si="59"/>
        <v>1</v>
      </c>
      <c r="N285" s="966"/>
      <c r="O285" s="53">
        <f t="shared" si="60"/>
        <v>1</v>
      </c>
      <c r="P285" s="966"/>
      <c r="Q285" s="53">
        <f t="shared" si="61"/>
        <v>1</v>
      </c>
      <c r="R285" s="493">
        <f t="shared" si="62"/>
        <v>0</v>
      </c>
      <c r="S285" s="802">
        <f t="shared" si="53"/>
        <v>0</v>
      </c>
    </row>
    <row r="286" spans="1:19">
      <c r="A286" s="968"/>
      <c r="B286" s="137"/>
      <c r="C286" s="53">
        <f t="shared" si="54"/>
        <v>1</v>
      </c>
      <c r="D286" s="966"/>
      <c r="E286" s="53">
        <f t="shared" si="55"/>
        <v>0.02</v>
      </c>
      <c r="F286" s="966"/>
      <c r="G286" s="53">
        <f t="shared" si="56"/>
        <v>1</v>
      </c>
      <c r="H286" s="966"/>
      <c r="I286" s="53">
        <f t="shared" si="57"/>
        <v>1</v>
      </c>
      <c r="J286" s="966"/>
      <c r="K286" s="53">
        <f t="shared" si="58"/>
        <v>1</v>
      </c>
      <c r="L286" s="966"/>
      <c r="M286" s="53">
        <f t="shared" si="59"/>
        <v>1</v>
      </c>
      <c r="N286" s="966"/>
      <c r="O286" s="53">
        <f t="shared" si="60"/>
        <v>1</v>
      </c>
      <c r="P286" s="966"/>
      <c r="Q286" s="53">
        <f t="shared" si="61"/>
        <v>1</v>
      </c>
      <c r="R286" s="493">
        <f t="shared" si="62"/>
        <v>0</v>
      </c>
      <c r="S286" s="802">
        <f t="shared" si="53"/>
        <v>0</v>
      </c>
    </row>
    <row r="287" spans="1:19">
      <c r="A287" s="968"/>
      <c r="B287" s="137"/>
      <c r="C287" s="53">
        <f t="shared" si="54"/>
        <v>1</v>
      </c>
      <c r="D287" s="966"/>
      <c r="E287" s="53">
        <f t="shared" si="55"/>
        <v>0.02</v>
      </c>
      <c r="F287" s="966"/>
      <c r="G287" s="53">
        <f t="shared" si="56"/>
        <v>1</v>
      </c>
      <c r="H287" s="966"/>
      <c r="I287" s="53">
        <f t="shared" si="57"/>
        <v>1</v>
      </c>
      <c r="J287" s="966"/>
      <c r="K287" s="53">
        <f t="shared" si="58"/>
        <v>1</v>
      </c>
      <c r="L287" s="966"/>
      <c r="M287" s="53">
        <f t="shared" si="59"/>
        <v>1</v>
      </c>
      <c r="N287" s="966"/>
      <c r="O287" s="53">
        <f t="shared" si="60"/>
        <v>1</v>
      </c>
      <c r="P287" s="966"/>
      <c r="Q287" s="53">
        <f t="shared" si="61"/>
        <v>1</v>
      </c>
      <c r="R287" s="493">
        <f t="shared" si="62"/>
        <v>0</v>
      </c>
      <c r="S287" s="802">
        <f t="shared" ref="S287:S320" si="63">ROUND(R287*B287/10000,0)</f>
        <v>0</v>
      </c>
    </row>
    <row r="288" spans="1:19">
      <c r="A288" s="968"/>
      <c r="B288" s="137"/>
      <c r="C288" s="53">
        <f t="shared" si="54"/>
        <v>1</v>
      </c>
      <c r="D288" s="966"/>
      <c r="E288" s="53">
        <f t="shared" si="55"/>
        <v>0.02</v>
      </c>
      <c r="F288" s="966"/>
      <c r="G288" s="53">
        <f t="shared" si="56"/>
        <v>1</v>
      </c>
      <c r="H288" s="966"/>
      <c r="I288" s="53">
        <f t="shared" si="57"/>
        <v>1</v>
      </c>
      <c r="J288" s="966"/>
      <c r="K288" s="53">
        <f t="shared" si="58"/>
        <v>1</v>
      </c>
      <c r="L288" s="966"/>
      <c r="M288" s="53">
        <f t="shared" si="59"/>
        <v>1</v>
      </c>
      <c r="N288" s="966"/>
      <c r="O288" s="53">
        <f t="shared" si="60"/>
        <v>1</v>
      </c>
      <c r="P288" s="966"/>
      <c r="Q288" s="53">
        <f t="shared" si="61"/>
        <v>1</v>
      </c>
      <c r="R288" s="493">
        <f t="shared" si="62"/>
        <v>0</v>
      </c>
      <c r="S288" s="802">
        <f t="shared" si="63"/>
        <v>0</v>
      </c>
    </row>
    <row r="289" spans="1:19">
      <c r="A289" s="968"/>
      <c r="B289" s="137"/>
      <c r="C289" s="53">
        <f t="shared" si="54"/>
        <v>1</v>
      </c>
      <c r="D289" s="966"/>
      <c r="E289" s="53">
        <f t="shared" si="55"/>
        <v>0.02</v>
      </c>
      <c r="F289" s="966"/>
      <c r="G289" s="53">
        <f t="shared" si="56"/>
        <v>1</v>
      </c>
      <c r="H289" s="966"/>
      <c r="I289" s="53">
        <f t="shared" si="57"/>
        <v>1</v>
      </c>
      <c r="J289" s="966"/>
      <c r="K289" s="53">
        <f t="shared" si="58"/>
        <v>1</v>
      </c>
      <c r="L289" s="966"/>
      <c r="M289" s="53">
        <f t="shared" si="59"/>
        <v>1</v>
      </c>
      <c r="N289" s="966"/>
      <c r="O289" s="53">
        <f t="shared" si="60"/>
        <v>1</v>
      </c>
      <c r="P289" s="966"/>
      <c r="Q289" s="53">
        <f t="shared" si="61"/>
        <v>1</v>
      </c>
      <c r="R289" s="493">
        <f t="shared" si="62"/>
        <v>0</v>
      </c>
      <c r="S289" s="802">
        <f t="shared" si="63"/>
        <v>0</v>
      </c>
    </row>
    <row r="290" spans="1:19">
      <c r="A290" s="968"/>
      <c r="B290" s="137"/>
      <c r="C290" s="53">
        <f t="shared" si="54"/>
        <v>1</v>
      </c>
      <c r="D290" s="966"/>
      <c r="E290" s="53">
        <f t="shared" si="55"/>
        <v>0.02</v>
      </c>
      <c r="F290" s="966"/>
      <c r="G290" s="53">
        <f t="shared" si="56"/>
        <v>1</v>
      </c>
      <c r="H290" s="966"/>
      <c r="I290" s="53">
        <f t="shared" si="57"/>
        <v>1</v>
      </c>
      <c r="J290" s="966"/>
      <c r="K290" s="53">
        <f t="shared" si="58"/>
        <v>1</v>
      </c>
      <c r="L290" s="966"/>
      <c r="M290" s="53">
        <f t="shared" si="59"/>
        <v>1</v>
      </c>
      <c r="N290" s="966"/>
      <c r="O290" s="53">
        <f t="shared" si="60"/>
        <v>1</v>
      </c>
      <c r="P290" s="966"/>
      <c r="Q290" s="53">
        <f t="shared" si="61"/>
        <v>1</v>
      </c>
      <c r="R290" s="493">
        <f t="shared" si="62"/>
        <v>0</v>
      </c>
      <c r="S290" s="802">
        <f t="shared" si="63"/>
        <v>0</v>
      </c>
    </row>
    <row r="291" spans="1:19">
      <c r="A291" s="968"/>
      <c r="B291" s="137"/>
      <c r="C291" s="53">
        <f t="shared" si="54"/>
        <v>1</v>
      </c>
      <c r="D291" s="966"/>
      <c r="E291" s="53">
        <f t="shared" si="55"/>
        <v>0.02</v>
      </c>
      <c r="F291" s="966"/>
      <c r="G291" s="53">
        <f t="shared" si="56"/>
        <v>1</v>
      </c>
      <c r="H291" s="966"/>
      <c r="I291" s="53">
        <f t="shared" si="57"/>
        <v>1</v>
      </c>
      <c r="J291" s="966"/>
      <c r="K291" s="53">
        <f t="shared" si="58"/>
        <v>1</v>
      </c>
      <c r="L291" s="966"/>
      <c r="M291" s="53">
        <f t="shared" si="59"/>
        <v>1</v>
      </c>
      <c r="N291" s="966"/>
      <c r="O291" s="53">
        <f t="shared" si="60"/>
        <v>1</v>
      </c>
      <c r="P291" s="966"/>
      <c r="Q291" s="53">
        <f t="shared" si="61"/>
        <v>1</v>
      </c>
      <c r="R291" s="493">
        <f t="shared" si="62"/>
        <v>0</v>
      </c>
      <c r="S291" s="802">
        <f t="shared" si="63"/>
        <v>0</v>
      </c>
    </row>
    <row r="292" spans="1:19">
      <c r="A292" s="968"/>
      <c r="B292" s="137"/>
      <c r="C292" s="53">
        <f t="shared" si="54"/>
        <v>1</v>
      </c>
      <c r="D292" s="966"/>
      <c r="E292" s="53">
        <f t="shared" si="55"/>
        <v>0.02</v>
      </c>
      <c r="F292" s="966"/>
      <c r="G292" s="53">
        <f t="shared" si="56"/>
        <v>1</v>
      </c>
      <c r="H292" s="966"/>
      <c r="I292" s="53">
        <f t="shared" si="57"/>
        <v>1</v>
      </c>
      <c r="J292" s="966"/>
      <c r="K292" s="53">
        <f t="shared" si="58"/>
        <v>1</v>
      </c>
      <c r="L292" s="966"/>
      <c r="M292" s="53">
        <f t="shared" si="59"/>
        <v>1</v>
      </c>
      <c r="N292" s="966"/>
      <c r="O292" s="53">
        <f t="shared" si="60"/>
        <v>1</v>
      </c>
      <c r="P292" s="966"/>
      <c r="Q292" s="53">
        <f t="shared" si="61"/>
        <v>1</v>
      </c>
      <c r="R292" s="493">
        <f t="shared" si="62"/>
        <v>0</v>
      </c>
      <c r="S292" s="802">
        <f t="shared" si="63"/>
        <v>0</v>
      </c>
    </row>
    <row r="293" spans="1:19">
      <c r="A293" s="968"/>
      <c r="B293" s="137"/>
      <c r="C293" s="53">
        <f t="shared" si="54"/>
        <v>1</v>
      </c>
      <c r="D293" s="966"/>
      <c r="E293" s="53">
        <f t="shared" si="55"/>
        <v>0.02</v>
      </c>
      <c r="F293" s="966"/>
      <c r="G293" s="53">
        <f t="shared" si="56"/>
        <v>1</v>
      </c>
      <c r="H293" s="966"/>
      <c r="I293" s="53">
        <f t="shared" si="57"/>
        <v>1</v>
      </c>
      <c r="J293" s="966"/>
      <c r="K293" s="53">
        <f t="shared" si="58"/>
        <v>1</v>
      </c>
      <c r="L293" s="966"/>
      <c r="M293" s="53">
        <f t="shared" si="59"/>
        <v>1</v>
      </c>
      <c r="N293" s="966"/>
      <c r="O293" s="53">
        <f t="shared" si="60"/>
        <v>1</v>
      </c>
      <c r="P293" s="966"/>
      <c r="Q293" s="53">
        <f t="shared" si="61"/>
        <v>1</v>
      </c>
      <c r="R293" s="493">
        <f t="shared" si="62"/>
        <v>0</v>
      </c>
      <c r="S293" s="802">
        <f t="shared" si="63"/>
        <v>0</v>
      </c>
    </row>
    <row r="294" spans="1:19">
      <c r="A294" s="968"/>
      <c r="B294" s="137"/>
      <c r="C294" s="53">
        <f t="shared" si="54"/>
        <v>1</v>
      </c>
      <c r="D294" s="966"/>
      <c r="E294" s="53">
        <f t="shared" si="55"/>
        <v>0.02</v>
      </c>
      <c r="F294" s="966"/>
      <c r="G294" s="53">
        <f t="shared" si="56"/>
        <v>1</v>
      </c>
      <c r="H294" s="966"/>
      <c r="I294" s="53">
        <f t="shared" si="57"/>
        <v>1</v>
      </c>
      <c r="J294" s="966"/>
      <c r="K294" s="53">
        <f t="shared" si="58"/>
        <v>1</v>
      </c>
      <c r="L294" s="966"/>
      <c r="M294" s="53">
        <f t="shared" si="59"/>
        <v>1</v>
      </c>
      <c r="N294" s="966"/>
      <c r="O294" s="53">
        <f t="shared" si="60"/>
        <v>1</v>
      </c>
      <c r="P294" s="966"/>
      <c r="Q294" s="53">
        <f t="shared" si="61"/>
        <v>1</v>
      </c>
      <c r="R294" s="493">
        <f t="shared" si="62"/>
        <v>0</v>
      </c>
      <c r="S294" s="802">
        <f t="shared" si="63"/>
        <v>0</v>
      </c>
    </row>
    <row r="295" spans="1:19">
      <c r="A295" s="968"/>
      <c r="B295" s="137"/>
      <c r="C295" s="53">
        <f t="shared" si="54"/>
        <v>1</v>
      </c>
      <c r="D295" s="966"/>
      <c r="E295" s="53">
        <f t="shared" si="55"/>
        <v>0.02</v>
      </c>
      <c r="F295" s="966"/>
      <c r="G295" s="53">
        <f t="shared" si="56"/>
        <v>1</v>
      </c>
      <c r="H295" s="966"/>
      <c r="I295" s="53">
        <f t="shared" si="57"/>
        <v>1</v>
      </c>
      <c r="J295" s="966"/>
      <c r="K295" s="53">
        <f t="shared" si="58"/>
        <v>1</v>
      </c>
      <c r="L295" s="966"/>
      <c r="M295" s="53">
        <f t="shared" si="59"/>
        <v>1</v>
      </c>
      <c r="N295" s="966"/>
      <c r="O295" s="53">
        <f t="shared" si="60"/>
        <v>1</v>
      </c>
      <c r="P295" s="966"/>
      <c r="Q295" s="53">
        <f t="shared" si="61"/>
        <v>1</v>
      </c>
      <c r="R295" s="493">
        <f t="shared" si="62"/>
        <v>0</v>
      </c>
      <c r="S295" s="802">
        <f t="shared" si="63"/>
        <v>0</v>
      </c>
    </row>
    <row r="296" spans="1:19">
      <c r="A296" s="968"/>
      <c r="B296" s="137"/>
      <c r="C296" s="53">
        <f t="shared" si="54"/>
        <v>1</v>
      </c>
      <c r="D296" s="966"/>
      <c r="E296" s="53">
        <f t="shared" si="55"/>
        <v>0.02</v>
      </c>
      <c r="F296" s="966"/>
      <c r="G296" s="53">
        <f t="shared" si="56"/>
        <v>1</v>
      </c>
      <c r="H296" s="966"/>
      <c r="I296" s="53">
        <f t="shared" si="57"/>
        <v>1</v>
      </c>
      <c r="J296" s="966"/>
      <c r="K296" s="53">
        <f t="shared" si="58"/>
        <v>1</v>
      </c>
      <c r="L296" s="966"/>
      <c r="M296" s="53">
        <f t="shared" si="59"/>
        <v>1</v>
      </c>
      <c r="N296" s="966"/>
      <c r="O296" s="53">
        <f t="shared" si="60"/>
        <v>1</v>
      </c>
      <c r="P296" s="966"/>
      <c r="Q296" s="53">
        <f t="shared" si="61"/>
        <v>1</v>
      </c>
      <c r="R296" s="493">
        <f t="shared" si="62"/>
        <v>0</v>
      </c>
      <c r="S296" s="802">
        <f t="shared" si="63"/>
        <v>0</v>
      </c>
    </row>
    <row r="297" spans="1:19">
      <c r="A297" s="968"/>
      <c r="B297" s="137"/>
      <c r="C297" s="53">
        <f t="shared" si="54"/>
        <v>1</v>
      </c>
      <c r="D297" s="966"/>
      <c r="E297" s="53">
        <f t="shared" si="55"/>
        <v>0.02</v>
      </c>
      <c r="F297" s="966"/>
      <c r="G297" s="53">
        <f t="shared" si="56"/>
        <v>1</v>
      </c>
      <c r="H297" s="966"/>
      <c r="I297" s="53">
        <f t="shared" si="57"/>
        <v>1</v>
      </c>
      <c r="J297" s="966"/>
      <c r="K297" s="53">
        <f t="shared" si="58"/>
        <v>1</v>
      </c>
      <c r="L297" s="966"/>
      <c r="M297" s="53">
        <f t="shared" si="59"/>
        <v>1</v>
      </c>
      <c r="N297" s="966"/>
      <c r="O297" s="53">
        <f t="shared" si="60"/>
        <v>1</v>
      </c>
      <c r="P297" s="966"/>
      <c r="Q297" s="53">
        <f t="shared" si="61"/>
        <v>1</v>
      </c>
      <c r="R297" s="493">
        <f t="shared" si="62"/>
        <v>0</v>
      </c>
      <c r="S297" s="802">
        <f t="shared" si="63"/>
        <v>0</v>
      </c>
    </row>
    <row r="298" spans="1:19">
      <c r="A298" s="968"/>
      <c r="B298" s="137"/>
      <c r="C298" s="53">
        <f t="shared" si="54"/>
        <v>1</v>
      </c>
      <c r="D298" s="966"/>
      <c r="E298" s="53">
        <f t="shared" si="55"/>
        <v>0.02</v>
      </c>
      <c r="F298" s="966"/>
      <c r="G298" s="53">
        <f t="shared" si="56"/>
        <v>1</v>
      </c>
      <c r="H298" s="966"/>
      <c r="I298" s="53">
        <f t="shared" si="57"/>
        <v>1</v>
      </c>
      <c r="J298" s="966"/>
      <c r="K298" s="53">
        <f t="shared" si="58"/>
        <v>1</v>
      </c>
      <c r="L298" s="966"/>
      <c r="M298" s="53">
        <f t="shared" si="59"/>
        <v>1</v>
      </c>
      <c r="N298" s="966"/>
      <c r="O298" s="53">
        <f t="shared" si="60"/>
        <v>1</v>
      </c>
      <c r="P298" s="966"/>
      <c r="Q298" s="53">
        <f t="shared" si="61"/>
        <v>1</v>
      </c>
      <c r="R298" s="493">
        <f t="shared" si="62"/>
        <v>0</v>
      </c>
      <c r="S298" s="802">
        <f t="shared" si="63"/>
        <v>0</v>
      </c>
    </row>
    <row r="299" spans="1:19">
      <c r="A299" s="968"/>
      <c r="B299" s="137"/>
      <c r="C299" s="53">
        <f t="shared" si="54"/>
        <v>1</v>
      </c>
      <c r="D299" s="966"/>
      <c r="E299" s="53">
        <f t="shared" si="55"/>
        <v>0.02</v>
      </c>
      <c r="F299" s="966"/>
      <c r="G299" s="53">
        <f t="shared" si="56"/>
        <v>1</v>
      </c>
      <c r="H299" s="966"/>
      <c r="I299" s="53">
        <f t="shared" si="57"/>
        <v>1</v>
      </c>
      <c r="J299" s="966"/>
      <c r="K299" s="53">
        <f t="shared" si="58"/>
        <v>1</v>
      </c>
      <c r="L299" s="966"/>
      <c r="M299" s="53">
        <f t="shared" si="59"/>
        <v>1</v>
      </c>
      <c r="N299" s="966"/>
      <c r="O299" s="53">
        <f t="shared" si="60"/>
        <v>1</v>
      </c>
      <c r="P299" s="966"/>
      <c r="Q299" s="53">
        <f t="shared" si="61"/>
        <v>1</v>
      </c>
      <c r="R299" s="493">
        <f t="shared" si="62"/>
        <v>0</v>
      </c>
      <c r="S299" s="802">
        <f t="shared" si="63"/>
        <v>0</v>
      </c>
    </row>
    <row r="300" spans="1:19">
      <c r="A300" s="968"/>
      <c r="B300" s="137"/>
      <c r="C300" s="53">
        <f t="shared" si="54"/>
        <v>1</v>
      </c>
      <c r="D300" s="966"/>
      <c r="E300" s="53">
        <f t="shared" si="55"/>
        <v>0.02</v>
      </c>
      <c r="F300" s="966"/>
      <c r="G300" s="53">
        <f t="shared" si="56"/>
        <v>1</v>
      </c>
      <c r="H300" s="966"/>
      <c r="I300" s="53">
        <f t="shared" si="57"/>
        <v>1</v>
      </c>
      <c r="J300" s="966"/>
      <c r="K300" s="53">
        <f t="shared" si="58"/>
        <v>1</v>
      </c>
      <c r="L300" s="966"/>
      <c r="M300" s="53">
        <f t="shared" si="59"/>
        <v>1</v>
      </c>
      <c r="N300" s="966"/>
      <c r="O300" s="53">
        <f t="shared" si="60"/>
        <v>1</v>
      </c>
      <c r="P300" s="966"/>
      <c r="Q300" s="53">
        <f t="shared" si="61"/>
        <v>1</v>
      </c>
      <c r="R300" s="493">
        <f t="shared" si="62"/>
        <v>0</v>
      </c>
      <c r="S300" s="802">
        <f t="shared" si="63"/>
        <v>0</v>
      </c>
    </row>
    <row r="301" spans="1:19">
      <c r="A301" s="968"/>
      <c r="B301" s="137"/>
      <c r="C301" s="53">
        <f t="shared" si="54"/>
        <v>1</v>
      </c>
      <c r="D301" s="966"/>
      <c r="E301" s="53">
        <f t="shared" si="55"/>
        <v>0.02</v>
      </c>
      <c r="F301" s="966"/>
      <c r="G301" s="53">
        <f t="shared" si="56"/>
        <v>1</v>
      </c>
      <c r="H301" s="966"/>
      <c r="I301" s="53">
        <f t="shared" si="57"/>
        <v>1</v>
      </c>
      <c r="J301" s="966"/>
      <c r="K301" s="53">
        <f t="shared" si="58"/>
        <v>1</v>
      </c>
      <c r="L301" s="966"/>
      <c r="M301" s="53">
        <f t="shared" si="59"/>
        <v>1</v>
      </c>
      <c r="N301" s="966"/>
      <c r="O301" s="53">
        <f t="shared" si="60"/>
        <v>1</v>
      </c>
      <c r="P301" s="966"/>
      <c r="Q301" s="53">
        <f t="shared" si="61"/>
        <v>1</v>
      </c>
      <c r="R301" s="493">
        <f t="shared" si="62"/>
        <v>0</v>
      </c>
      <c r="S301" s="802">
        <f t="shared" si="63"/>
        <v>0</v>
      </c>
    </row>
    <row r="302" spans="1:19">
      <c r="A302" s="968"/>
      <c r="B302" s="137"/>
      <c r="C302" s="53">
        <f t="shared" si="54"/>
        <v>1</v>
      </c>
      <c r="D302" s="966"/>
      <c r="E302" s="53">
        <f t="shared" si="55"/>
        <v>0.02</v>
      </c>
      <c r="F302" s="966"/>
      <c r="G302" s="53">
        <f t="shared" si="56"/>
        <v>1</v>
      </c>
      <c r="H302" s="966"/>
      <c r="I302" s="53">
        <f t="shared" si="57"/>
        <v>1</v>
      </c>
      <c r="J302" s="966"/>
      <c r="K302" s="53">
        <f t="shared" si="58"/>
        <v>1</v>
      </c>
      <c r="L302" s="966"/>
      <c r="M302" s="53">
        <f t="shared" si="59"/>
        <v>1</v>
      </c>
      <c r="N302" s="966"/>
      <c r="O302" s="53">
        <f t="shared" si="60"/>
        <v>1</v>
      </c>
      <c r="P302" s="966"/>
      <c r="Q302" s="53">
        <f t="shared" si="61"/>
        <v>1</v>
      </c>
      <c r="R302" s="493">
        <f t="shared" si="62"/>
        <v>0</v>
      </c>
      <c r="S302" s="802">
        <f t="shared" si="63"/>
        <v>0</v>
      </c>
    </row>
    <row r="303" spans="1:19">
      <c r="A303" s="968"/>
      <c r="B303" s="137"/>
      <c r="C303" s="53">
        <f t="shared" si="54"/>
        <v>1</v>
      </c>
      <c r="D303" s="966"/>
      <c r="E303" s="53">
        <f t="shared" si="55"/>
        <v>0.02</v>
      </c>
      <c r="F303" s="966"/>
      <c r="G303" s="53">
        <f t="shared" si="56"/>
        <v>1</v>
      </c>
      <c r="H303" s="966"/>
      <c r="I303" s="53">
        <f t="shared" si="57"/>
        <v>1</v>
      </c>
      <c r="J303" s="966"/>
      <c r="K303" s="53">
        <f t="shared" si="58"/>
        <v>1</v>
      </c>
      <c r="L303" s="966"/>
      <c r="M303" s="53">
        <f t="shared" si="59"/>
        <v>1</v>
      </c>
      <c r="N303" s="966"/>
      <c r="O303" s="53">
        <f t="shared" si="60"/>
        <v>1</v>
      </c>
      <c r="P303" s="966"/>
      <c r="Q303" s="53">
        <f t="shared" si="61"/>
        <v>1</v>
      </c>
      <c r="R303" s="493">
        <f t="shared" si="62"/>
        <v>0</v>
      </c>
      <c r="S303" s="802">
        <f t="shared" si="63"/>
        <v>0</v>
      </c>
    </row>
    <row r="304" spans="1:19">
      <c r="A304" s="968"/>
      <c r="B304" s="137"/>
      <c r="C304" s="53">
        <f t="shared" si="54"/>
        <v>1</v>
      </c>
      <c r="D304" s="966"/>
      <c r="E304" s="53">
        <f t="shared" si="55"/>
        <v>0.02</v>
      </c>
      <c r="F304" s="966"/>
      <c r="G304" s="53">
        <f t="shared" si="56"/>
        <v>1</v>
      </c>
      <c r="H304" s="966"/>
      <c r="I304" s="53">
        <f t="shared" si="57"/>
        <v>1</v>
      </c>
      <c r="J304" s="966"/>
      <c r="K304" s="53">
        <f t="shared" si="58"/>
        <v>1</v>
      </c>
      <c r="L304" s="966"/>
      <c r="M304" s="53">
        <f t="shared" si="59"/>
        <v>1</v>
      </c>
      <c r="N304" s="966"/>
      <c r="O304" s="53">
        <f t="shared" si="60"/>
        <v>1</v>
      </c>
      <c r="P304" s="966"/>
      <c r="Q304" s="53">
        <f t="shared" si="61"/>
        <v>1</v>
      </c>
      <c r="R304" s="493">
        <f t="shared" si="62"/>
        <v>0</v>
      </c>
      <c r="S304" s="802">
        <f t="shared" si="63"/>
        <v>0</v>
      </c>
    </row>
    <row r="305" spans="1:19">
      <c r="A305" s="968"/>
      <c r="B305" s="137"/>
      <c r="C305" s="53">
        <f t="shared" si="54"/>
        <v>1</v>
      </c>
      <c r="D305" s="966"/>
      <c r="E305" s="53">
        <f t="shared" si="55"/>
        <v>0.02</v>
      </c>
      <c r="F305" s="966"/>
      <c r="G305" s="53">
        <f t="shared" si="56"/>
        <v>1</v>
      </c>
      <c r="H305" s="966"/>
      <c r="I305" s="53">
        <f t="shared" si="57"/>
        <v>1</v>
      </c>
      <c r="J305" s="966"/>
      <c r="K305" s="53">
        <f t="shared" si="58"/>
        <v>1</v>
      </c>
      <c r="L305" s="966"/>
      <c r="M305" s="53">
        <f t="shared" si="59"/>
        <v>1</v>
      </c>
      <c r="N305" s="966"/>
      <c r="O305" s="53">
        <f t="shared" si="60"/>
        <v>1</v>
      </c>
      <c r="P305" s="966"/>
      <c r="Q305" s="53">
        <f t="shared" si="61"/>
        <v>1</v>
      </c>
      <c r="R305" s="493">
        <f t="shared" si="62"/>
        <v>0</v>
      </c>
      <c r="S305" s="802">
        <f t="shared" si="63"/>
        <v>0</v>
      </c>
    </row>
    <row r="306" spans="1:19">
      <c r="A306" s="968"/>
      <c r="B306" s="137"/>
      <c r="C306" s="53">
        <f t="shared" si="54"/>
        <v>1</v>
      </c>
      <c r="D306" s="966"/>
      <c r="E306" s="53">
        <f t="shared" si="55"/>
        <v>0.02</v>
      </c>
      <c r="F306" s="966"/>
      <c r="G306" s="53">
        <f t="shared" si="56"/>
        <v>1</v>
      </c>
      <c r="H306" s="966"/>
      <c r="I306" s="53">
        <f t="shared" si="57"/>
        <v>1</v>
      </c>
      <c r="J306" s="966"/>
      <c r="K306" s="53">
        <f t="shared" si="58"/>
        <v>1</v>
      </c>
      <c r="L306" s="966"/>
      <c r="M306" s="53">
        <f t="shared" si="59"/>
        <v>1</v>
      </c>
      <c r="N306" s="966"/>
      <c r="O306" s="53">
        <f t="shared" si="60"/>
        <v>1</v>
      </c>
      <c r="P306" s="966"/>
      <c r="Q306" s="53">
        <f t="shared" si="61"/>
        <v>1</v>
      </c>
      <c r="R306" s="493">
        <f t="shared" si="62"/>
        <v>0</v>
      </c>
      <c r="S306" s="802">
        <f t="shared" si="63"/>
        <v>0</v>
      </c>
    </row>
    <row r="307" spans="1:19">
      <c r="A307" s="968"/>
      <c r="B307" s="137"/>
      <c r="C307" s="53">
        <f t="shared" si="54"/>
        <v>1</v>
      </c>
      <c r="D307" s="966"/>
      <c r="E307" s="53">
        <f t="shared" si="55"/>
        <v>0.02</v>
      </c>
      <c r="F307" s="966"/>
      <c r="G307" s="53">
        <f t="shared" si="56"/>
        <v>1</v>
      </c>
      <c r="H307" s="966"/>
      <c r="I307" s="53">
        <f t="shared" si="57"/>
        <v>1</v>
      </c>
      <c r="J307" s="966"/>
      <c r="K307" s="53">
        <f t="shared" si="58"/>
        <v>1</v>
      </c>
      <c r="L307" s="966"/>
      <c r="M307" s="53">
        <f t="shared" si="59"/>
        <v>1</v>
      </c>
      <c r="N307" s="966"/>
      <c r="O307" s="53">
        <f t="shared" si="60"/>
        <v>1</v>
      </c>
      <c r="P307" s="966"/>
      <c r="Q307" s="53">
        <f t="shared" si="61"/>
        <v>1</v>
      </c>
      <c r="R307" s="493">
        <f t="shared" si="62"/>
        <v>0</v>
      </c>
      <c r="S307" s="802">
        <f t="shared" si="63"/>
        <v>0</v>
      </c>
    </row>
    <row r="308" spans="1:19">
      <c r="A308" s="968"/>
      <c r="B308" s="137"/>
      <c r="C308" s="53">
        <f t="shared" si="54"/>
        <v>1</v>
      </c>
      <c r="D308" s="966"/>
      <c r="E308" s="53">
        <f t="shared" si="55"/>
        <v>0.02</v>
      </c>
      <c r="F308" s="966"/>
      <c r="G308" s="53">
        <f t="shared" si="56"/>
        <v>1</v>
      </c>
      <c r="H308" s="966"/>
      <c r="I308" s="53">
        <f t="shared" si="57"/>
        <v>1</v>
      </c>
      <c r="J308" s="966"/>
      <c r="K308" s="53">
        <f t="shared" si="58"/>
        <v>1</v>
      </c>
      <c r="L308" s="966"/>
      <c r="M308" s="53">
        <f t="shared" si="59"/>
        <v>1</v>
      </c>
      <c r="N308" s="966"/>
      <c r="O308" s="53">
        <f t="shared" si="60"/>
        <v>1</v>
      </c>
      <c r="P308" s="966"/>
      <c r="Q308" s="53">
        <f t="shared" si="61"/>
        <v>1</v>
      </c>
      <c r="R308" s="493">
        <f t="shared" si="62"/>
        <v>0</v>
      </c>
      <c r="S308" s="802">
        <f t="shared" si="63"/>
        <v>0</v>
      </c>
    </row>
    <row r="309" spans="1:19">
      <c r="A309" s="968"/>
      <c r="B309" s="137"/>
      <c r="C309" s="53">
        <f t="shared" si="54"/>
        <v>1</v>
      </c>
      <c r="D309" s="966"/>
      <c r="E309" s="53">
        <f t="shared" si="55"/>
        <v>0.02</v>
      </c>
      <c r="F309" s="966"/>
      <c r="G309" s="53">
        <f t="shared" si="56"/>
        <v>1</v>
      </c>
      <c r="H309" s="966"/>
      <c r="I309" s="53">
        <f t="shared" si="57"/>
        <v>1</v>
      </c>
      <c r="J309" s="966"/>
      <c r="K309" s="53">
        <f t="shared" si="58"/>
        <v>1</v>
      </c>
      <c r="L309" s="966"/>
      <c r="M309" s="53">
        <f t="shared" si="59"/>
        <v>1</v>
      </c>
      <c r="N309" s="966"/>
      <c r="O309" s="53">
        <f t="shared" si="60"/>
        <v>1</v>
      </c>
      <c r="P309" s="966"/>
      <c r="Q309" s="53">
        <f t="shared" si="61"/>
        <v>1</v>
      </c>
      <c r="R309" s="493">
        <f t="shared" si="62"/>
        <v>0</v>
      </c>
      <c r="S309" s="802">
        <f t="shared" si="63"/>
        <v>0</v>
      </c>
    </row>
    <row r="310" spans="1:19">
      <c r="A310" s="968"/>
      <c r="B310" s="137"/>
      <c r="C310" s="53">
        <f t="shared" si="54"/>
        <v>1</v>
      </c>
      <c r="D310" s="966"/>
      <c r="E310" s="53">
        <f t="shared" si="55"/>
        <v>0.02</v>
      </c>
      <c r="F310" s="966"/>
      <c r="G310" s="53">
        <f t="shared" si="56"/>
        <v>1</v>
      </c>
      <c r="H310" s="966"/>
      <c r="I310" s="53">
        <f t="shared" si="57"/>
        <v>1</v>
      </c>
      <c r="J310" s="966"/>
      <c r="K310" s="53">
        <f t="shared" si="58"/>
        <v>1</v>
      </c>
      <c r="L310" s="966"/>
      <c r="M310" s="53">
        <f t="shared" si="59"/>
        <v>1</v>
      </c>
      <c r="N310" s="966"/>
      <c r="O310" s="53">
        <f t="shared" si="60"/>
        <v>1</v>
      </c>
      <c r="P310" s="966"/>
      <c r="Q310" s="53">
        <f t="shared" si="61"/>
        <v>1</v>
      </c>
      <c r="R310" s="493">
        <f t="shared" si="62"/>
        <v>0</v>
      </c>
      <c r="S310" s="802">
        <f t="shared" si="63"/>
        <v>0</v>
      </c>
    </row>
    <row r="311" spans="1:19">
      <c r="A311" s="968"/>
      <c r="B311" s="137"/>
      <c r="C311" s="53">
        <f t="shared" si="54"/>
        <v>1</v>
      </c>
      <c r="D311" s="966"/>
      <c r="E311" s="53">
        <f t="shared" si="55"/>
        <v>0.02</v>
      </c>
      <c r="F311" s="966"/>
      <c r="G311" s="53">
        <f t="shared" si="56"/>
        <v>1</v>
      </c>
      <c r="H311" s="966"/>
      <c r="I311" s="53">
        <f t="shared" si="57"/>
        <v>1</v>
      </c>
      <c r="J311" s="966"/>
      <c r="K311" s="53">
        <f t="shared" si="58"/>
        <v>1</v>
      </c>
      <c r="L311" s="966"/>
      <c r="M311" s="53">
        <f t="shared" si="59"/>
        <v>1</v>
      </c>
      <c r="N311" s="966"/>
      <c r="O311" s="53">
        <f t="shared" si="60"/>
        <v>1</v>
      </c>
      <c r="P311" s="966"/>
      <c r="Q311" s="53">
        <f t="shared" si="61"/>
        <v>1</v>
      </c>
      <c r="R311" s="493">
        <f t="shared" si="62"/>
        <v>0</v>
      </c>
      <c r="S311" s="802">
        <f t="shared" si="63"/>
        <v>0</v>
      </c>
    </row>
    <row r="312" spans="1:19">
      <c r="A312" s="968"/>
      <c r="B312" s="137"/>
      <c r="C312" s="53">
        <f t="shared" si="54"/>
        <v>1</v>
      </c>
      <c r="D312" s="966"/>
      <c r="E312" s="53">
        <f t="shared" si="55"/>
        <v>0.02</v>
      </c>
      <c r="F312" s="966"/>
      <c r="G312" s="53">
        <f t="shared" si="56"/>
        <v>1</v>
      </c>
      <c r="H312" s="966"/>
      <c r="I312" s="53">
        <f t="shared" si="57"/>
        <v>1</v>
      </c>
      <c r="J312" s="966"/>
      <c r="K312" s="53">
        <f t="shared" si="58"/>
        <v>1</v>
      </c>
      <c r="L312" s="966"/>
      <c r="M312" s="53">
        <f t="shared" si="59"/>
        <v>1</v>
      </c>
      <c r="N312" s="966"/>
      <c r="O312" s="53">
        <f t="shared" si="60"/>
        <v>1</v>
      </c>
      <c r="P312" s="966"/>
      <c r="Q312" s="53">
        <f t="shared" si="61"/>
        <v>1</v>
      </c>
      <c r="R312" s="493">
        <f t="shared" si="62"/>
        <v>0</v>
      </c>
      <c r="S312" s="802">
        <f t="shared" si="63"/>
        <v>0</v>
      </c>
    </row>
    <row r="313" spans="1:19">
      <c r="A313" s="968"/>
      <c r="B313" s="137"/>
      <c r="C313" s="53">
        <f t="shared" si="54"/>
        <v>1</v>
      </c>
      <c r="D313" s="966"/>
      <c r="E313" s="53">
        <f t="shared" si="55"/>
        <v>0.02</v>
      </c>
      <c r="F313" s="966"/>
      <c r="G313" s="53">
        <f t="shared" si="56"/>
        <v>1</v>
      </c>
      <c r="H313" s="966"/>
      <c r="I313" s="53">
        <f t="shared" si="57"/>
        <v>1</v>
      </c>
      <c r="J313" s="966"/>
      <c r="K313" s="53">
        <f t="shared" si="58"/>
        <v>1</v>
      </c>
      <c r="L313" s="966"/>
      <c r="M313" s="53">
        <f t="shared" si="59"/>
        <v>1</v>
      </c>
      <c r="N313" s="966"/>
      <c r="O313" s="53">
        <f t="shared" si="60"/>
        <v>1</v>
      </c>
      <c r="P313" s="966"/>
      <c r="Q313" s="53">
        <f t="shared" si="61"/>
        <v>1</v>
      </c>
      <c r="R313" s="493">
        <f t="shared" si="62"/>
        <v>0</v>
      </c>
      <c r="S313" s="802">
        <f t="shared" si="63"/>
        <v>0</v>
      </c>
    </row>
    <row r="314" spans="1:19">
      <c r="A314" s="968"/>
      <c r="B314" s="137"/>
      <c r="C314" s="53">
        <f t="shared" si="54"/>
        <v>1</v>
      </c>
      <c r="D314" s="966"/>
      <c r="E314" s="53">
        <f t="shared" si="55"/>
        <v>0.02</v>
      </c>
      <c r="F314" s="966"/>
      <c r="G314" s="53">
        <f t="shared" si="56"/>
        <v>1</v>
      </c>
      <c r="H314" s="966"/>
      <c r="I314" s="53">
        <f t="shared" si="57"/>
        <v>1</v>
      </c>
      <c r="J314" s="966"/>
      <c r="K314" s="53">
        <f t="shared" si="58"/>
        <v>1</v>
      </c>
      <c r="L314" s="966"/>
      <c r="M314" s="53">
        <f t="shared" si="59"/>
        <v>1</v>
      </c>
      <c r="N314" s="966"/>
      <c r="O314" s="53">
        <f t="shared" si="60"/>
        <v>1</v>
      </c>
      <c r="P314" s="966"/>
      <c r="Q314" s="53">
        <f t="shared" si="61"/>
        <v>1</v>
      </c>
      <c r="R314" s="493">
        <f t="shared" si="62"/>
        <v>0</v>
      </c>
      <c r="S314" s="802">
        <f t="shared" si="63"/>
        <v>0</v>
      </c>
    </row>
    <row r="315" spans="1:19">
      <c r="A315" s="968"/>
      <c r="B315" s="137"/>
      <c r="C315" s="53">
        <f t="shared" si="54"/>
        <v>1</v>
      </c>
      <c r="D315" s="966"/>
      <c r="E315" s="53">
        <f t="shared" si="55"/>
        <v>0.02</v>
      </c>
      <c r="F315" s="966"/>
      <c r="G315" s="53">
        <f t="shared" si="56"/>
        <v>1</v>
      </c>
      <c r="H315" s="966"/>
      <c r="I315" s="53">
        <f t="shared" si="57"/>
        <v>1</v>
      </c>
      <c r="J315" s="966"/>
      <c r="K315" s="53">
        <f t="shared" si="58"/>
        <v>1</v>
      </c>
      <c r="L315" s="966"/>
      <c r="M315" s="53">
        <f t="shared" si="59"/>
        <v>1</v>
      </c>
      <c r="N315" s="966"/>
      <c r="O315" s="53">
        <f t="shared" si="60"/>
        <v>1</v>
      </c>
      <c r="P315" s="966"/>
      <c r="Q315" s="53">
        <f t="shared" si="61"/>
        <v>1</v>
      </c>
      <c r="R315" s="493">
        <f t="shared" si="62"/>
        <v>0</v>
      </c>
      <c r="S315" s="802">
        <f t="shared" si="63"/>
        <v>0</v>
      </c>
    </row>
    <row r="316" spans="1:19">
      <c r="A316" s="968"/>
      <c r="B316" s="137"/>
      <c r="C316" s="53">
        <f t="shared" si="54"/>
        <v>1</v>
      </c>
      <c r="D316" s="966"/>
      <c r="E316" s="53">
        <f t="shared" si="55"/>
        <v>0.02</v>
      </c>
      <c r="F316" s="966"/>
      <c r="G316" s="53">
        <f t="shared" si="56"/>
        <v>1</v>
      </c>
      <c r="H316" s="966"/>
      <c r="I316" s="53">
        <f t="shared" si="57"/>
        <v>1</v>
      </c>
      <c r="J316" s="966"/>
      <c r="K316" s="53">
        <f t="shared" si="58"/>
        <v>1</v>
      </c>
      <c r="L316" s="966"/>
      <c r="M316" s="53">
        <f t="shared" si="59"/>
        <v>1</v>
      </c>
      <c r="N316" s="966"/>
      <c r="O316" s="53">
        <f t="shared" si="60"/>
        <v>1</v>
      </c>
      <c r="P316" s="966"/>
      <c r="Q316" s="53">
        <f t="shared" si="61"/>
        <v>1</v>
      </c>
      <c r="R316" s="493">
        <f t="shared" si="62"/>
        <v>0</v>
      </c>
      <c r="S316" s="802">
        <f t="shared" si="63"/>
        <v>0</v>
      </c>
    </row>
    <row r="317" spans="1:19">
      <c r="A317" s="968"/>
      <c r="B317" s="137"/>
      <c r="C317" s="53">
        <f t="shared" si="54"/>
        <v>1</v>
      </c>
      <c r="D317" s="966"/>
      <c r="E317" s="53">
        <f t="shared" si="55"/>
        <v>0.02</v>
      </c>
      <c r="F317" s="966"/>
      <c r="G317" s="53">
        <f t="shared" si="56"/>
        <v>1</v>
      </c>
      <c r="H317" s="966"/>
      <c r="I317" s="53">
        <f t="shared" si="57"/>
        <v>1</v>
      </c>
      <c r="J317" s="966"/>
      <c r="K317" s="53">
        <f t="shared" si="58"/>
        <v>1</v>
      </c>
      <c r="L317" s="966"/>
      <c r="M317" s="53">
        <f t="shared" si="59"/>
        <v>1</v>
      </c>
      <c r="N317" s="966"/>
      <c r="O317" s="53">
        <f t="shared" si="60"/>
        <v>1</v>
      </c>
      <c r="P317" s="966"/>
      <c r="Q317" s="53">
        <f t="shared" si="61"/>
        <v>1</v>
      </c>
      <c r="R317" s="493">
        <f t="shared" si="62"/>
        <v>0</v>
      </c>
      <c r="S317" s="802">
        <f t="shared" si="63"/>
        <v>0</v>
      </c>
    </row>
    <row r="318" spans="1:19">
      <c r="A318" s="968"/>
      <c r="B318" s="137"/>
      <c r="C318" s="53">
        <f t="shared" si="54"/>
        <v>1</v>
      </c>
      <c r="D318" s="966"/>
      <c r="E318" s="53">
        <f t="shared" si="55"/>
        <v>0.02</v>
      </c>
      <c r="F318" s="966"/>
      <c r="G318" s="53">
        <f t="shared" si="56"/>
        <v>1</v>
      </c>
      <c r="H318" s="966"/>
      <c r="I318" s="53">
        <f t="shared" si="57"/>
        <v>1</v>
      </c>
      <c r="J318" s="966"/>
      <c r="K318" s="53">
        <f t="shared" si="58"/>
        <v>1</v>
      </c>
      <c r="L318" s="966"/>
      <c r="M318" s="53">
        <f t="shared" si="59"/>
        <v>1</v>
      </c>
      <c r="N318" s="966"/>
      <c r="O318" s="53">
        <f t="shared" si="60"/>
        <v>1</v>
      </c>
      <c r="P318" s="966"/>
      <c r="Q318" s="53">
        <f t="shared" si="61"/>
        <v>1</v>
      </c>
      <c r="R318" s="493">
        <f t="shared" si="62"/>
        <v>0</v>
      </c>
      <c r="S318" s="802">
        <f t="shared" si="63"/>
        <v>0</v>
      </c>
    </row>
    <row r="319" spans="1:19">
      <c r="A319" s="968"/>
      <c r="B319" s="137"/>
      <c r="C319" s="53">
        <f t="shared" si="54"/>
        <v>1</v>
      </c>
      <c r="D319" s="966"/>
      <c r="E319" s="53">
        <f t="shared" si="55"/>
        <v>0.02</v>
      </c>
      <c r="F319" s="966"/>
      <c r="G319" s="53">
        <f t="shared" si="56"/>
        <v>1</v>
      </c>
      <c r="H319" s="966"/>
      <c r="I319" s="53">
        <f t="shared" si="57"/>
        <v>1</v>
      </c>
      <c r="J319" s="966"/>
      <c r="K319" s="53">
        <f t="shared" si="58"/>
        <v>1</v>
      </c>
      <c r="L319" s="966"/>
      <c r="M319" s="53">
        <f t="shared" si="59"/>
        <v>1</v>
      </c>
      <c r="N319" s="966"/>
      <c r="O319" s="53">
        <f t="shared" si="60"/>
        <v>1</v>
      </c>
      <c r="P319" s="966"/>
      <c r="Q319" s="53">
        <f t="shared" si="61"/>
        <v>1</v>
      </c>
      <c r="R319" s="493">
        <f t="shared" si="62"/>
        <v>0</v>
      </c>
      <c r="S319" s="802">
        <f t="shared" si="63"/>
        <v>0</v>
      </c>
    </row>
    <row r="320" spans="1:19">
      <c r="A320" s="968"/>
      <c r="B320" s="137"/>
      <c r="C320" s="53">
        <f t="shared" si="54"/>
        <v>1</v>
      </c>
      <c r="D320" s="966"/>
      <c r="E320" s="53">
        <f t="shared" si="55"/>
        <v>0.02</v>
      </c>
      <c r="F320" s="966"/>
      <c r="G320" s="53">
        <f t="shared" si="56"/>
        <v>1</v>
      </c>
      <c r="H320" s="966"/>
      <c r="I320" s="53">
        <f t="shared" si="57"/>
        <v>1</v>
      </c>
      <c r="J320" s="966"/>
      <c r="K320" s="53">
        <f t="shared" si="58"/>
        <v>1</v>
      </c>
      <c r="L320" s="966"/>
      <c r="M320" s="53">
        <f t="shared" si="59"/>
        <v>1</v>
      </c>
      <c r="N320" s="966"/>
      <c r="O320" s="53">
        <f t="shared" si="60"/>
        <v>1</v>
      </c>
      <c r="P320" s="966"/>
      <c r="Q320" s="53">
        <f t="shared" si="61"/>
        <v>1</v>
      </c>
      <c r="R320" s="493">
        <f t="shared" si="62"/>
        <v>0</v>
      </c>
      <c r="S320" s="802">
        <f t="shared" si="63"/>
        <v>0</v>
      </c>
    </row>
    <row r="321" spans="1:19">
      <c r="A321" s="968"/>
      <c r="B321" s="137"/>
      <c r="C321" s="53">
        <f t="shared" si="54"/>
        <v>1</v>
      </c>
      <c r="D321" s="966"/>
      <c r="E321" s="53">
        <f t="shared" si="55"/>
        <v>0.02</v>
      </c>
      <c r="F321" s="966"/>
      <c r="G321" s="53">
        <f t="shared" si="56"/>
        <v>1</v>
      </c>
      <c r="H321" s="966"/>
      <c r="I321" s="53">
        <f t="shared" si="57"/>
        <v>1</v>
      </c>
      <c r="J321" s="966"/>
      <c r="K321" s="53">
        <f t="shared" si="58"/>
        <v>1</v>
      </c>
      <c r="L321" s="966"/>
      <c r="M321" s="53">
        <f t="shared" si="59"/>
        <v>1</v>
      </c>
      <c r="N321" s="966"/>
      <c r="O321" s="53">
        <f t="shared" si="60"/>
        <v>1</v>
      </c>
      <c r="P321" s="966"/>
      <c r="Q321" s="53">
        <f t="shared" si="61"/>
        <v>1</v>
      </c>
      <c r="R321" s="493">
        <f t="shared" si="62"/>
        <v>0</v>
      </c>
      <c r="S321" s="802">
        <f t="shared" ref="S321:S384" si="64">ROUND(R321*B321/10000,0)</f>
        <v>0</v>
      </c>
    </row>
    <row r="322" spans="1:19">
      <c r="A322" s="968"/>
      <c r="B322" s="137"/>
      <c r="C322" s="53">
        <f t="shared" si="54"/>
        <v>1</v>
      </c>
      <c r="D322" s="966"/>
      <c r="E322" s="53">
        <f t="shared" si="55"/>
        <v>0.02</v>
      </c>
      <c r="F322" s="966"/>
      <c r="G322" s="53">
        <f t="shared" si="56"/>
        <v>1</v>
      </c>
      <c r="H322" s="966"/>
      <c r="I322" s="53">
        <f t="shared" si="57"/>
        <v>1</v>
      </c>
      <c r="J322" s="966"/>
      <c r="K322" s="53">
        <f t="shared" si="58"/>
        <v>1</v>
      </c>
      <c r="L322" s="966"/>
      <c r="M322" s="53">
        <f t="shared" si="59"/>
        <v>1</v>
      </c>
      <c r="N322" s="966"/>
      <c r="O322" s="53">
        <f t="shared" si="60"/>
        <v>1</v>
      </c>
      <c r="P322" s="966"/>
      <c r="Q322" s="53">
        <f t="shared" si="61"/>
        <v>1</v>
      </c>
      <c r="R322" s="493">
        <f t="shared" si="62"/>
        <v>0</v>
      </c>
      <c r="S322" s="802">
        <f t="shared" si="64"/>
        <v>0</v>
      </c>
    </row>
    <row r="323" spans="1:19">
      <c r="A323" s="968"/>
      <c r="B323" s="137"/>
      <c r="C323" s="53">
        <f t="shared" si="54"/>
        <v>1</v>
      </c>
      <c r="D323" s="966"/>
      <c r="E323" s="53">
        <f t="shared" si="55"/>
        <v>0.02</v>
      </c>
      <c r="F323" s="966"/>
      <c r="G323" s="53">
        <f t="shared" si="56"/>
        <v>1</v>
      </c>
      <c r="H323" s="966"/>
      <c r="I323" s="53">
        <f t="shared" si="57"/>
        <v>1</v>
      </c>
      <c r="J323" s="966"/>
      <c r="K323" s="53">
        <f t="shared" si="58"/>
        <v>1</v>
      </c>
      <c r="L323" s="966"/>
      <c r="M323" s="53">
        <f t="shared" si="59"/>
        <v>1</v>
      </c>
      <c r="N323" s="966"/>
      <c r="O323" s="53">
        <f t="shared" si="60"/>
        <v>1</v>
      </c>
      <c r="P323" s="966"/>
      <c r="Q323" s="53">
        <f t="shared" si="61"/>
        <v>1</v>
      </c>
      <c r="R323" s="493">
        <f t="shared" si="62"/>
        <v>0</v>
      </c>
      <c r="S323" s="802">
        <f t="shared" si="64"/>
        <v>0</v>
      </c>
    </row>
    <row r="324" spans="1:19">
      <c r="A324" s="968"/>
      <c r="B324" s="137"/>
      <c r="C324" s="53">
        <f t="shared" si="54"/>
        <v>1</v>
      </c>
      <c r="D324" s="966"/>
      <c r="E324" s="53">
        <f t="shared" si="55"/>
        <v>0.02</v>
      </c>
      <c r="F324" s="966"/>
      <c r="G324" s="53">
        <f t="shared" si="56"/>
        <v>1</v>
      </c>
      <c r="H324" s="966"/>
      <c r="I324" s="53">
        <f t="shared" si="57"/>
        <v>1</v>
      </c>
      <c r="J324" s="966"/>
      <c r="K324" s="53">
        <f t="shared" si="58"/>
        <v>1</v>
      </c>
      <c r="L324" s="966"/>
      <c r="M324" s="53">
        <f t="shared" si="59"/>
        <v>1</v>
      </c>
      <c r="N324" s="966"/>
      <c r="O324" s="53">
        <f t="shared" si="60"/>
        <v>1</v>
      </c>
      <c r="P324" s="966"/>
      <c r="Q324" s="53">
        <f t="shared" si="61"/>
        <v>1</v>
      </c>
      <c r="R324" s="493">
        <f t="shared" si="62"/>
        <v>0</v>
      </c>
      <c r="S324" s="802">
        <f t="shared" si="64"/>
        <v>0</v>
      </c>
    </row>
    <row r="325" spans="1:19">
      <c r="A325" s="968"/>
      <c r="B325" s="137"/>
      <c r="C325" s="53">
        <f t="shared" si="54"/>
        <v>1</v>
      </c>
      <c r="D325" s="966"/>
      <c r="E325" s="53">
        <f t="shared" si="55"/>
        <v>0.02</v>
      </c>
      <c r="F325" s="966"/>
      <c r="G325" s="53">
        <f t="shared" si="56"/>
        <v>1</v>
      </c>
      <c r="H325" s="966"/>
      <c r="I325" s="53">
        <f t="shared" si="57"/>
        <v>1</v>
      </c>
      <c r="J325" s="966"/>
      <c r="K325" s="53">
        <f t="shared" si="58"/>
        <v>1</v>
      </c>
      <c r="L325" s="966"/>
      <c r="M325" s="53">
        <f t="shared" si="59"/>
        <v>1</v>
      </c>
      <c r="N325" s="966"/>
      <c r="O325" s="53">
        <f t="shared" si="60"/>
        <v>1</v>
      </c>
      <c r="P325" s="966"/>
      <c r="Q325" s="53">
        <f t="shared" si="61"/>
        <v>1</v>
      </c>
      <c r="R325" s="493">
        <f t="shared" si="62"/>
        <v>0</v>
      </c>
      <c r="S325" s="802">
        <f t="shared" si="64"/>
        <v>0</v>
      </c>
    </row>
    <row r="326" spans="1:19">
      <c r="A326" s="968"/>
      <c r="B326" s="137"/>
      <c r="C326" s="53">
        <f t="shared" si="54"/>
        <v>1</v>
      </c>
      <c r="D326" s="966"/>
      <c r="E326" s="53">
        <f t="shared" si="55"/>
        <v>0.02</v>
      </c>
      <c r="F326" s="966"/>
      <c r="G326" s="53">
        <f t="shared" si="56"/>
        <v>1</v>
      </c>
      <c r="H326" s="966"/>
      <c r="I326" s="53">
        <f t="shared" si="57"/>
        <v>1</v>
      </c>
      <c r="J326" s="966"/>
      <c r="K326" s="53">
        <f t="shared" si="58"/>
        <v>1</v>
      </c>
      <c r="L326" s="966"/>
      <c r="M326" s="53">
        <f t="shared" si="59"/>
        <v>1</v>
      </c>
      <c r="N326" s="966"/>
      <c r="O326" s="53">
        <f t="shared" si="60"/>
        <v>1</v>
      </c>
      <c r="P326" s="966"/>
      <c r="Q326" s="53">
        <f t="shared" si="61"/>
        <v>1</v>
      </c>
      <c r="R326" s="493">
        <f t="shared" si="62"/>
        <v>0</v>
      </c>
      <c r="S326" s="802">
        <f t="shared" si="64"/>
        <v>0</v>
      </c>
    </row>
    <row r="327" spans="1:19">
      <c r="A327" s="968"/>
      <c r="B327" s="137"/>
      <c r="C327" s="53">
        <f t="shared" si="54"/>
        <v>1</v>
      </c>
      <c r="D327" s="966"/>
      <c r="E327" s="53">
        <f t="shared" si="55"/>
        <v>0.02</v>
      </c>
      <c r="F327" s="966"/>
      <c r="G327" s="53">
        <f t="shared" si="56"/>
        <v>1</v>
      </c>
      <c r="H327" s="966"/>
      <c r="I327" s="53">
        <f t="shared" si="57"/>
        <v>1</v>
      </c>
      <c r="J327" s="966"/>
      <c r="K327" s="53">
        <f t="shared" si="58"/>
        <v>1</v>
      </c>
      <c r="L327" s="966"/>
      <c r="M327" s="53">
        <f t="shared" si="59"/>
        <v>1</v>
      </c>
      <c r="N327" s="966"/>
      <c r="O327" s="53">
        <f t="shared" si="60"/>
        <v>1</v>
      </c>
      <c r="P327" s="966"/>
      <c r="Q327" s="53">
        <f t="shared" si="61"/>
        <v>1</v>
      </c>
      <c r="R327" s="493">
        <f t="shared" si="62"/>
        <v>0</v>
      </c>
      <c r="S327" s="802">
        <f t="shared" si="64"/>
        <v>0</v>
      </c>
    </row>
    <row r="328" spans="1:19">
      <c r="A328" s="968"/>
      <c r="B328" s="137"/>
      <c r="C328" s="53">
        <f t="shared" si="54"/>
        <v>1</v>
      </c>
      <c r="D328" s="966"/>
      <c r="E328" s="53">
        <f t="shared" si="55"/>
        <v>0.02</v>
      </c>
      <c r="F328" s="966"/>
      <c r="G328" s="53">
        <f t="shared" si="56"/>
        <v>1</v>
      </c>
      <c r="H328" s="966"/>
      <c r="I328" s="53">
        <f t="shared" si="57"/>
        <v>1</v>
      </c>
      <c r="J328" s="966"/>
      <c r="K328" s="53">
        <f t="shared" si="58"/>
        <v>1</v>
      </c>
      <c r="L328" s="966"/>
      <c r="M328" s="53">
        <f t="shared" si="59"/>
        <v>1</v>
      </c>
      <c r="N328" s="966"/>
      <c r="O328" s="53">
        <f t="shared" si="60"/>
        <v>1</v>
      </c>
      <c r="P328" s="966"/>
      <c r="Q328" s="53">
        <f t="shared" si="61"/>
        <v>1</v>
      </c>
      <c r="R328" s="493">
        <f t="shared" si="62"/>
        <v>0</v>
      </c>
      <c r="S328" s="802">
        <f t="shared" si="64"/>
        <v>0</v>
      </c>
    </row>
    <row r="329" spans="1:19">
      <c r="A329" s="968"/>
      <c r="B329" s="137"/>
      <c r="C329" s="53">
        <f t="shared" si="54"/>
        <v>1</v>
      </c>
      <c r="D329" s="966"/>
      <c r="E329" s="53">
        <f t="shared" si="55"/>
        <v>0.02</v>
      </c>
      <c r="F329" s="966"/>
      <c r="G329" s="53">
        <f t="shared" si="56"/>
        <v>1</v>
      </c>
      <c r="H329" s="966"/>
      <c r="I329" s="53">
        <f t="shared" si="57"/>
        <v>1</v>
      </c>
      <c r="J329" s="966"/>
      <c r="K329" s="53">
        <f t="shared" si="58"/>
        <v>1</v>
      </c>
      <c r="L329" s="966"/>
      <c r="M329" s="53">
        <f t="shared" si="59"/>
        <v>1</v>
      </c>
      <c r="N329" s="966"/>
      <c r="O329" s="53">
        <f t="shared" si="60"/>
        <v>1</v>
      </c>
      <c r="P329" s="966"/>
      <c r="Q329" s="53">
        <f t="shared" si="61"/>
        <v>1</v>
      </c>
      <c r="R329" s="493">
        <f t="shared" si="62"/>
        <v>0</v>
      </c>
      <c r="S329" s="802">
        <f t="shared" si="64"/>
        <v>0</v>
      </c>
    </row>
    <row r="330" spans="1:19">
      <c r="A330" s="968"/>
      <c r="B330" s="137"/>
      <c r="C330" s="53">
        <f t="shared" si="54"/>
        <v>1</v>
      </c>
      <c r="D330" s="966"/>
      <c r="E330" s="53">
        <f t="shared" si="55"/>
        <v>0.02</v>
      </c>
      <c r="F330" s="966"/>
      <c r="G330" s="53">
        <f t="shared" si="56"/>
        <v>1</v>
      </c>
      <c r="H330" s="966"/>
      <c r="I330" s="53">
        <f t="shared" si="57"/>
        <v>1</v>
      </c>
      <c r="J330" s="966"/>
      <c r="K330" s="53">
        <f t="shared" si="58"/>
        <v>1</v>
      </c>
      <c r="L330" s="966"/>
      <c r="M330" s="53">
        <f t="shared" si="59"/>
        <v>1</v>
      </c>
      <c r="N330" s="966"/>
      <c r="O330" s="53">
        <f t="shared" si="60"/>
        <v>1</v>
      </c>
      <c r="P330" s="966"/>
      <c r="Q330" s="53">
        <f t="shared" si="61"/>
        <v>1</v>
      </c>
      <c r="R330" s="493">
        <f t="shared" si="62"/>
        <v>0</v>
      </c>
      <c r="S330" s="802">
        <f t="shared" si="64"/>
        <v>0</v>
      </c>
    </row>
    <row r="331" spans="1:19">
      <c r="A331" s="968"/>
      <c r="B331" s="137"/>
      <c r="C331" s="53">
        <f t="shared" si="54"/>
        <v>1</v>
      </c>
      <c r="D331" s="966"/>
      <c r="E331" s="53">
        <f t="shared" si="55"/>
        <v>0.02</v>
      </c>
      <c r="F331" s="966"/>
      <c r="G331" s="53">
        <f t="shared" si="56"/>
        <v>1</v>
      </c>
      <c r="H331" s="966"/>
      <c r="I331" s="53">
        <f t="shared" si="57"/>
        <v>1</v>
      </c>
      <c r="J331" s="966"/>
      <c r="K331" s="53">
        <f t="shared" si="58"/>
        <v>1</v>
      </c>
      <c r="L331" s="966"/>
      <c r="M331" s="53">
        <f t="shared" si="59"/>
        <v>1</v>
      </c>
      <c r="N331" s="966"/>
      <c r="O331" s="53">
        <f t="shared" si="60"/>
        <v>1</v>
      </c>
      <c r="P331" s="966"/>
      <c r="Q331" s="53">
        <f t="shared" si="61"/>
        <v>1</v>
      </c>
      <c r="R331" s="493">
        <f t="shared" si="62"/>
        <v>0</v>
      </c>
      <c r="S331" s="802">
        <f t="shared" si="64"/>
        <v>0</v>
      </c>
    </row>
    <row r="332" spans="1:19">
      <c r="A332" s="968"/>
      <c r="B332" s="137"/>
      <c r="C332" s="53">
        <f t="shared" si="54"/>
        <v>1</v>
      </c>
      <c r="D332" s="966"/>
      <c r="E332" s="53">
        <f t="shared" si="55"/>
        <v>0.02</v>
      </c>
      <c r="F332" s="966"/>
      <c r="G332" s="53">
        <f t="shared" si="56"/>
        <v>1</v>
      </c>
      <c r="H332" s="966"/>
      <c r="I332" s="53">
        <f t="shared" si="57"/>
        <v>1</v>
      </c>
      <c r="J332" s="966"/>
      <c r="K332" s="53">
        <f t="shared" si="58"/>
        <v>1</v>
      </c>
      <c r="L332" s="966"/>
      <c r="M332" s="53">
        <f t="shared" si="59"/>
        <v>1</v>
      </c>
      <c r="N332" s="966"/>
      <c r="O332" s="53">
        <f t="shared" si="60"/>
        <v>1</v>
      </c>
      <c r="P332" s="966"/>
      <c r="Q332" s="53">
        <f t="shared" si="61"/>
        <v>1</v>
      </c>
      <c r="R332" s="493">
        <f t="shared" si="62"/>
        <v>0</v>
      </c>
      <c r="S332" s="802">
        <f t="shared" si="64"/>
        <v>0</v>
      </c>
    </row>
    <row r="333" spans="1:19">
      <c r="A333" s="968"/>
      <c r="B333" s="137"/>
      <c r="C333" s="53">
        <f t="shared" si="54"/>
        <v>1</v>
      </c>
      <c r="D333" s="966"/>
      <c r="E333" s="53">
        <f t="shared" si="55"/>
        <v>0.02</v>
      </c>
      <c r="F333" s="966"/>
      <c r="G333" s="53">
        <f t="shared" si="56"/>
        <v>1</v>
      </c>
      <c r="H333" s="966"/>
      <c r="I333" s="53">
        <f t="shared" si="57"/>
        <v>1</v>
      </c>
      <c r="J333" s="966"/>
      <c r="K333" s="53">
        <f t="shared" si="58"/>
        <v>1</v>
      </c>
      <c r="L333" s="966"/>
      <c r="M333" s="53">
        <f t="shared" si="59"/>
        <v>1</v>
      </c>
      <c r="N333" s="966"/>
      <c r="O333" s="53">
        <f t="shared" si="60"/>
        <v>1</v>
      </c>
      <c r="P333" s="966"/>
      <c r="Q333" s="53">
        <f t="shared" si="61"/>
        <v>1</v>
      </c>
      <c r="R333" s="493">
        <f t="shared" si="62"/>
        <v>0</v>
      </c>
      <c r="S333" s="802">
        <f t="shared" si="64"/>
        <v>0</v>
      </c>
    </row>
    <row r="334" spans="1:19">
      <c r="A334" s="968"/>
      <c r="B334" s="137"/>
      <c r="C334" s="53">
        <f t="shared" si="54"/>
        <v>1</v>
      </c>
      <c r="D334" s="966"/>
      <c r="E334" s="53">
        <f t="shared" si="55"/>
        <v>0.02</v>
      </c>
      <c r="F334" s="966"/>
      <c r="G334" s="53">
        <f t="shared" si="56"/>
        <v>1</v>
      </c>
      <c r="H334" s="966"/>
      <c r="I334" s="53">
        <f t="shared" si="57"/>
        <v>1</v>
      </c>
      <c r="J334" s="966"/>
      <c r="K334" s="53">
        <f t="shared" si="58"/>
        <v>1</v>
      </c>
      <c r="L334" s="966"/>
      <c r="M334" s="53">
        <f t="shared" si="59"/>
        <v>1</v>
      </c>
      <c r="N334" s="966"/>
      <c r="O334" s="53">
        <f t="shared" si="60"/>
        <v>1</v>
      </c>
      <c r="P334" s="966"/>
      <c r="Q334" s="53">
        <f t="shared" si="61"/>
        <v>1</v>
      </c>
      <c r="R334" s="493">
        <f t="shared" si="62"/>
        <v>0</v>
      </c>
      <c r="S334" s="802">
        <f t="shared" si="64"/>
        <v>0</v>
      </c>
    </row>
    <row r="335" spans="1:19">
      <c r="A335" s="968"/>
      <c r="B335" s="137"/>
      <c r="C335" s="53">
        <f t="shared" si="54"/>
        <v>1</v>
      </c>
      <c r="D335" s="966"/>
      <c r="E335" s="53">
        <f t="shared" si="55"/>
        <v>0.02</v>
      </c>
      <c r="F335" s="966"/>
      <c r="G335" s="53">
        <f t="shared" si="56"/>
        <v>1</v>
      </c>
      <c r="H335" s="966"/>
      <c r="I335" s="53">
        <f t="shared" si="57"/>
        <v>1</v>
      </c>
      <c r="J335" s="966"/>
      <c r="K335" s="53">
        <f t="shared" si="58"/>
        <v>1</v>
      </c>
      <c r="L335" s="966"/>
      <c r="M335" s="53">
        <f t="shared" si="59"/>
        <v>1</v>
      </c>
      <c r="N335" s="966"/>
      <c r="O335" s="53">
        <f t="shared" si="60"/>
        <v>1</v>
      </c>
      <c r="P335" s="966"/>
      <c r="Q335" s="53">
        <f t="shared" si="61"/>
        <v>1</v>
      </c>
      <c r="R335" s="493">
        <f t="shared" si="62"/>
        <v>0</v>
      </c>
      <c r="S335" s="802">
        <f t="shared" si="64"/>
        <v>0</v>
      </c>
    </row>
    <row r="336" spans="1:19">
      <c r="A336" s="968"/>
      <c r="B336" s="137"/>
      <c r="C336" s="53">
        <f t="shared" si="54"/>
        <v>1</v>
      </c>
      <c r="D336" s="966"/>
      <c r="E336" s="53">
        <f t="shared" si="55"/>
        <v>0.02</v>
      </c>
      <c r="F336" s="966"/>
      <c r="G336" s="53">
        <f t="shared" si="56"/>
        <v>1</v>
      </c>
      <c r="H336" s="966"/>
      <c r="I336" s="53">
        <f t="shared" si="57"/>
        <v>1</v>
      </c>
      <c r="J336" s="966"/>
      <c r="K336" s="53">
        <f t="shared" si="58"/>
        <v>1</v>
      </c>
      <c r="L336" s="966"/>
      <c r="M336" s="53">
        <f t="shared" si="59"/>
        <v>1</v>
      </c>
      <c r="N336" s="966"/>
      <c r="O336" s="53">
        <f t="shared" si="60"/>
        <v>1</v>
      </c>
      <c r="P336" s="966"/>
      <c r="Q336" s="53">
        <f t="shared" si="61"/>
        <v>1</v>
      </c>
      <c r="R336" s="493">
        <f t="shared" si="62"/>
        <v>0</v>
      </c>
      <c r="S336" s="802">
        <f t="shared" si="64"/>
        <v>0</v>
      </c>
    </row>
    <row r="337" spans="1:19">
      <c r="A337" s="968"/>
      <c r="B337" s="137"/>
      <c r="C337" s="53">
        <f t="shared" si="54"/>
        <v>1</v>
      </c>
      <c r="D337" s="966"/>
      <c r="E337" s="53">
        <f t="shared" si="55"/>
        <v>0.02</v>
      </c>
      <c r="F337" s="966"/>
      <c r="G337" s="53">
        <f t="shared" si="56"/>
        <v>1</v>
      </c>
      <c r="H337" s="966"/>
      <c r="I337" s="53">
        <f t="shared" si="57"/>
        <v>1</v>
      </c>
      <c r="J337" s="966"/>
      <c r="K337" s="53">
        <f t="shared" si="58"/>
        <v>1</v>
      </c>
      <c r="L337" s="966"/>
      <c r="M337" s="53">
        <f t="shared" si="59"/>
        <v>1</v>
      </c>
      <c r="N337" s="966"/>
      <c r="O337" s="53">
        <f t="shared" si="60"/>
        <v>1</v>
      </c>
      <c r="P337" s="966"/>
      <c r="Q337" s="53">
        <f t="shared" si="61"/>
        <v>1</v>
      </c>
      <c r="R337" s="493">
        <f t="shared" si="62"/>
        <v>0</v>
      </c>
      <c r="S337" s="802">
        <f t="shared" si="64"/>
        <v>0</v>
      </c>
    </row>
    <row r="338" spans="1:19">
      <c r="A338" s="968"/>
      <c r="B338" s="137"/>
      <c r="C338" s="53">
        <f t="shared" si="54"/>
        <v>1</v>
      </c>
      <c r="D338" s="966"/>
      <c r="E338" s="53">
        <f t="shared" si="55"/>
        <v>0.02</v>
      </c>
      <c r="F338" s="966"/>
      <c r="G338" s="53">
        <f t="shared" si="56"/>
        <v>1</v>
      </c>
      <c r="H338" s="966"/>
      <c r="I338" s="53">
        <f t="shared" si="57"/>
        <v>1</v>
      </c>
      <c r="J338" s="966"/>
      <c r="K338" s="53">
        <f t="shared" si="58"/>
        <v>1</v>
      </c>
      <c r="L338" s="966"/>
      <c r="M338" s="53">
        <f t="shared" si="59"/>
        <v>1</v>
      </c>
      <c r="N338" s="966"/>
      <c r="O338" s="53">
        <f t="shared" si="60"/>
        <v>1</v>
      </c>
      <c r="P338" s="966"/>
      <c r="Q338" s="53">
        <f t="shared" si="61"/>
        <v>1</v>
      </c>
      <c r="R338" s="493">
        <f t="shared" si="62"/>
        <v>0</v>
      </c>
      <c r="S338" s="802">
        <f t="shared" si="64"/>
        <v>0</v>
      </c>
    </row>
    <row r="339" spans="1:19">
      <c r="A339" s="968"/>
      <c r="B339" s="137"/>
      <c r="C339" s="53">
        <f t="shared" si="54"/>
        <v>1</v>
      </c>
      <c r="D339" s="966"/>
      <c r="E339" s="53">
        <f t="shared" si="55"/>
        <v>0.02</v>
      </c>
      <c r="F339" s="966"/>
      <c r="G339" s="53">
        <f t="shared" si="56"/>
        <v>1</v>
      </c>
      <c r="H339" s="966"/>
      <c r="I339" s="53">
        <f t="shared" si="57"/>
        <v>1</v>
      </c>
      <c r="J339" s="966"/>
      <c r="K339" s="53">
        <f t="shared" si="58"/>
        <v>1</v>
      </c>
      <c r="L339" s="966"/>
      <c r="M339" s="53">
        <f t="shared" si="59"/>
        <v>1</v>
      </c>
      <c r="N339" s="966"/>
      <c r="O339" s="53">
        <f t="shared" si="60"/>
        <v>1</v>
      </c>
      <c r="P339" s="966"/>
      <c r="Q339" s="53">
        <f t="shared" si="61"/>
        <v>1</v>
      </c>
      <c r="R339" s="493">
        <f t="shared" si="62"/>
        <v>0</v>
      </c>
      <c r="S339" s="802">
        <f t="shared" si="64"/>
        <v>0</v>
      </c>
    </row>
    <row r="340" spans="1:19">
      <c r="A340" s="968"/>
      <c r="B340" s="137"/>
      <c r="C340" s="53">
        <f t="shared" si="54"/>
        <v>1</v>
      </c>
      <c r="D340" s="966"/>
      <c r="E340" s="53">
        <f t="shared" si="55"/>
        <v>0.02</v>
      </c>
      <c r="F340" s="966"/>
      <c r="G340" s="53">
        <f t="shared" si="56"/>
        <v>1</v>
      </c>
      <c r="H340" s="966"/>
      <c r="I340" s="53">
        <f t="shared" si="57"/>
        <v>1</v>
      </c>
      <c r="J340" s="966"/>
      <c r="K340" s="53">
        <f t="shared" si="58"/>
        <v>1</v>
      </c>
      <c r="L340" s="966"/>
      <c r="M340" s="53">
        <f t="shared" si="59"/>
        <v>1</v>
      </c>
      <c r="N340" s="966"/>
      <c r="O340" s="53">
        <f t="shared" si="60"/>
        <v>1</v>
      </c>
      <c r="P340" s="966"/>
      <c r="Q340" s="53">
        <f t="shared" si="61"/>
        <v>1</v>
      </c>
      <c r="R340" s="493">
        <f t="shared" si="62"/>
        <v>0</v>
      </c>
      <c r="S340" s="802">
        <f t="shared" si="64"/>
        <v>0</v>
      </c>
    </row>
    <row r="341" spans="1:19">
      <c r="A341" s="968"/>
      <c r="B341" s="137"/>
      <c r="C341" s="53">
        <f t="shared" si="54"/>
        <v>1</v>
      </c>
      <c r="D341" s="966"/>
      <c r="E341" s="53">
        <f t="shared" si="55"/>
        <v>0.02</v>
      </c>
      <c r="F341" s="966"/>
      <c r="G341" s="53">
        <f t="shared" si="56"/>
        <v>1</v>
      </c>
      <c r="H341" s="966"/>
      <c r="I341" s="53">
        <f t="shared" si="57"/>
        <v>1</v>
      </c>
      <c r="J341" s="966"/>
      <c r="K341" s="53">
        <f t="shared" si="58"/>
        <v>1</v>
      </c>
      <c r="L341" s="966"/>
      <c r="M341" s="53">
        <f t="shared" si="59"/>
        <v>1</v>
      </c>
      <c r="N341" s="966"/>
      <c r="O341" s="53">
        <f t="shared" si="60"/>
        <v>1</v>
      </c>
      <c r="P341" s="966"/>
      <c r="Q341" s="53">
        <f t="shared" si="61"/>
        <v>1</v>
      </c>
      <c r="R341" s="493">
        <f t="shared" si="62"/>
        <v>0</v>
      </c>
      <c r="S341" s="802">
        <f t="shared" si="64"/>
        <v>0</v>
      </c>
    </row>
    <row r="342" spans="1:19">
      <c r="A342" s="968"/>
      <c r="B342" s="137"/>
      <c r="C342" s="53">
        <f t="shared" si="54"/>
        <v>1</v>
      </c>
      <c r="D342" s="966"/>
      <c r="E342" s="53">
        <f t="shared" si="55"/>
        <v>0.02</v>
      </c>
      <c r="F342" s="966"/>
      <c r="G342" s="53">
        <f t="shared" si="56"/>
        <v>1</v>
      </c>
      <c r="H342" s="966"/>
      <c r="I342" s="53">
        <f t="shared" si="57"/>
        <v>1</v>
      </c>
      <c r="J342" s="966"/>
      <c r="K342" s="53">
        <f t="shared" si="58"/>
        <v>1</v>
      </c>
      <c r="L342" s="966"/>
      <c r="M342" s="53">
        <f t="shared" si="59"/>
        <v>1</v>
      </c>
      <c r="N342" s="966"/>
      <c r="O342" s="53">
        <f t="shared" si="60"/>
        <v>1</v>
      </c>
      <c r="P342" s="966"/>
      <c r="Q342" s="53">
        <f t="shared" si="61"/>
        <v>1</v>
      </c>
      <c r="R342" s="493">
        <f t="shared" si="62"/>
        <v>0</v>
      </c>
      <c r="S342" s="802">
        <f t="shared" si="64"/>
        <v>0</v>
      </c>
    </row>
    <row r="343" spans="1:19">
      <c r="A343" s="968"/>
      <c r="B343" s="137"/>
      <c r="C343" s="53">
        <f t="shared" si="54"/>
        <v>1</v>
      </c>
      <c r="D343" s="966"/>
      <c r="E343" s="53">
        <f t="shared" si="55"/>
        <v>0.02</v>
      </c>
      <c r="F343" s="966"/>
      <c r="G343" s="53">
        <f t="shared" si="56"/>
        <v>1</v>
      </c>
      <c r="H343" s="966"/>
      <c r="I343" s="53">
        <f t="shared" si="57"/>
        <v>1</v>
      </c>
      <c r="J343" s="966"/>
      <c r="K343" s="53">
        <f t="shared" si="58"/>
        <v>1</v>
      </c>
      <c r="L343" s="966"/>
      <c r="M343" s="53">
        <f t="shared" si="59"/>
        <v>1</v>
      </c>
      <c r="N343" s="966"/>
      <c r="O343" s="53">
        <f t="shared" si="60"/>
        <v>1</v>
      </c>
      <c r="P343" s="966"/>
      <c r="Q343" s="53">
        <f t="shared" si="61"/>
        <v>1</v>
      </c>
      <c r="R343" s="493">
        <f t="shared" si="62"/>
        <v>0</v>
      </c>
      <c r="S343" s="802">
        <f t="shared" si="64"/>
        <v>0</v>
      </c>
    </row>
    <row r="344" spans="1:19">
      <c r="A344" s="968"/>
      <c r="B344" s="137"/>
      <c r="C344" s="53">
        <f t="shared" si="54"/>
        <v>1</v>
      </c>
      <c r="D344" s="966"/>
      <c r="E344" s="53">
        <f t="shared" si="55"/>
        <v>0.02</v>
      </c>
      <c r="F344" s="966"/>
      <c r="G344" s="53">
        <f t="shared" si="56"/>
        <v>1</v>
      </c>
      <c r="H344" s="966"/>
      <c r="I344" s="53">
        <f t="shared" si="57"/>
        <v>1</v>
      </c>
      <c r="J344" s="966"/>
      <c r="K344" s="53">
        <f t="shared" si="58"/>
        <v>1</v>
      </c>
      <c r="L344" s="966"/>
      <c r="M344" s="53">
        <f t="shared" si="59"/>
        <v>1</v>
      </c>
      <c r="N344" s="966"/>
      <c r="O344" s="53">
        <f t="shared" si="60"/>
        <v>1</v>
      </c>
      <c r="P344" s="966"/>
      <c r="Q344" s="53">
        <f t="shared" si="61"/>
        <v>1</v>
      </c>
      <c r="R344" s="493">
        <f t="shared" si="62"/>
        <v>0</v>
      </c>
      <c r="S344" s="802">
        <f t="shared" si="64"/>
        <v>0</v>
      </c>
    </row>
    <row r="345" spans="1:19">
      <c r="A345" s="968"/>
      <c r="B345" s="137"/>
      <c r="C345" s="53">
        <f t="shared" si="54"/>
        <v>1</v>
      </c>
      <c r="D345" s="966"/>
      <c r="E345" s="53">
        <f t="shared" si="55"/>
        <v>0.02</v>
      </c>
      <c r="F345" s="966"/>
      <c r="G345" s="53">
        <f t="shared" si="56"/>
        <v>1</v>
      </c>
      <c r="H345" s="966"/>
      <c r="I345" s="53">
        <f t="shared" si="57"/>
        <v>1</v>
      </c>
      <c r="J345" s="966"/>
      <c r="K345" s="53">
        <f t="shared" si="58"/>
        <v>1</v>
      </c>
      <c r="L345" s="966"/>
      <c r="M345" s="53">
        <f t="shared" si="59"/>
        <v>1</v>
      </c>
      <c r="N345" s="966"/>
      <c r="O345" s="53">
        <f t="shared" si="60"/>
        <v>1</v>
      </c>
      <c r="P345" s="966"/>
      <c r="Q345" s="53">
        <f t="shared" si="61"/>
        <v>1</v>
      </c>
      <c r="R345" s="493">
        <f t="shared" si="62"/>
        <v>0</v>
      </c>
      <c r="S345" s="802">
        <f t="shared" si="64"/>
        <v>0</v>
      </c>
    </row>
    <row r="346" spans="1:19">
      <c r="A346" s="968"/>
      <c r="B346" s="137"/>
      <c r="C346" s="53">
        <f t="shared" ref="C346:C409" si="65">IF(B346="",1,(LOOKUP(B346,$3:$3,$4:$4)-LOOKUP($B$24,$3:$3,$4:$4)+100)/100)</f>
        <v>1</v>
      </c>
      <c r="D346" s="966"/>
      <c r="E346" s="53">
        <f t="shared" ref="E346:E409" si="66">(SUMIF($5:$5,D346,$6:$6)-SUMIF($5:$5,$D$24,$6:$6)+100)/100</f>
        <v>0.02</v>
      </c>
      <c r="F346" s="966"/>
      <c r="G346" s="53">
        <f t="shared" ref="G346:G409" si="67">(SUMIF($7:$7,F346,$8:$8)-SUMIF($7:$7,$F$24,$8:$8)+100)/100</f>
        <v>1</v>
      </c>
      <c r="H346" s="966"/>
      <c r="I346" s="53">
        <f t="shared" ref="I346:I409" si="68">(SUMIF($9:$9,H346,$10:$10)-SUMIF($9:$9,$H$24,$10:$10)+100)/100</f>
        <v>1</v>
      </c>
      <c r="J346" s="966"/>
      <c r="K346" s="53">
        <f t="shared" ref="K346:K409" si="69">(SUMIF($11:$11,J346,$12:$12)-SUMIF($11:$11,$J$24,$12:$12)+100)/100</f>
        <v>1</v>
      </c>
      <c r="L346" s="966"/>
      <c r="M346" s="53">
        <f t="shared" ref="M346:M409" si="70">(SUMIF($13:$13,L346,$14:$14)-SUMIF($13:$13,$L$24,$14:$14)+100)/100</f>
        <v>1</v>
      </c>
      <c r="N346" s="966"/>
      <c r="O346" s="53">
        <f t="shared" ref="O346:O409" si="71">(SUMIF($15:$15,N346,$16:$16)-SUMIF($15:$15,$N$24,$16:$16)+100)/100</f>
        <v>1</v>
      </c>
      <c r="P346" s="966"/>
      <c r="Q346" s="53">
        <f t="shared" ref="Q346:Q409" si="72">(SUMIF($17:$17,P346,$18:$18)-SUMIF($17:$17,$P$24,$18:$18)+100)/100</f>
        <v>1</v>
      </c>
      <c r="R346" s="493">
        <f t="shared" ref="R346:R409" si="73">IF(B346="",0,ROUND($R$24*C346*E346*G346*I346*K346*M346*O346*Q346,0))</f>
        <v>0</v>
      </c>
      <c r="S346" s="802">
        <f t="shared" si="64"/>
        <v>0</v>
      </c>
    </row>
    <row r="347" spans="1:19">
      <c r="A347" s="968"/>
      <c r="B347" s="137"/>
      <c r="C347" s="53">
        <f t="shared" si="65"/>
        <v>1</v>
      </c>
      <c r="D347" s="966"/>
      <c r="E347" s="53">
        <f t="shared" si="66"/>
        <v>0.02</v>
      </c>
      <c r="F347" s="966"/>
      <c r="G347" s="53">
        <f t="shared" si="67"/>
        <v>1</v>
      </c>
      <c r="H347" s="966"/>
      <c r="I347" s="53">
        <f t="shared" si="68"/>
        <v>1</v>
      </c>
      <c r="J347" s="966"/>
      <c r="K347" s="53">
        <f t="shared" si="69"/>
        <v>1</v>
      </c>
      <c r="L347" s="966"/>
      <c r="M347" s="53">
        <f t="shared" si="70"/>
        <v>1</v>
      </c>
      <c r="N347" s="966"/>
      <c r="O347" s="53">
        <f t="shared" si="71"/>
        <v>1</v>
      </c>
      <c r="P347" s="966"/>
      <c r="Q347" s="53">
        <f t="shared" si="72"/>
        <v>1</v>
      </c>
      <c r="R347" s="493">
        <f t="shared" si="73"/>
        <v>0</v>
      </c>
      <c r="S347" s="802">
        <f t="shared" si="64"/>
        <v>0</v>
      </c>
    </row>
    <row r="348" spans="1:19">
      <c r="A348" s="968"/>
      <c r="B348" s="137"/>
      <c r="C348" s="53">
        <f t="shared" si="65"/>
        <v>1</v>
      </c>
      <c r="D348" s="966"/>
      <c r="E348" s="53">
        <f t="shared" si="66"/>
        <v>0.02</v>
      </c>
      <c r="F348" s="966"/>
      <c r="G348" s="53">
        <f t="shared" si="67"/>
        <v>1</v>
      </c>
      <c r="H348" s="966"/>
      <c r="I348" s="53">
        <f t="shared" si="68"/>
        <v>1</v>
      </c>
      <c r="J348" s="966"/>
      <c r="K348" s="53">
        <f t="shared" si="69"/>
        <v>1</v>
      </c>
      <c r="L348" s="966"/>
      <c r="M348" s="53">
        <f t="shared" si="70"/>
        <v>1</v>
      </c>
      <c r="N348" s="966"/>
      <c r="O348" s="53">
        <f t="shared" si="71"/>
        <v>1</v>
      </c>
      <c r="P348" s="966"/>
      <c r="Q348" s="53">
        <f t="shared" si="72"/>
        <v>1</v>
      </c>
      <c r="R348" s="493">
        <f t="shared" si="73"/>
        <v>0</v>
      </c>
      <c r="S348" s="802">
        <f t="shared" si="64"/>
        <v>0</v>
      </c>
    </row>
    <row r="349" spans="1:19">
      <c r="A349" s="968"/>
      <c r="B349" s="137"/>
      <c r="C349" s="53">
        <f t="shared" si="65"/>
        <v>1</v>
      </c>
      <c r="D349" s="966"/>
      <c r="E349" s="53">
        <f t="shared" si="66"/>
        <v>0.02</v>
      </c>
      <c r="F349" s="966"/>
      <c r="G349" s="53">
        <f t="shared" si="67"/>
        <v>1</v>
      </c>
      <c r="H349" s="966"/>
      <c r="I349" s="53">
        <f t="shared" si="68"/>
        <v>1</v>
      </c>
      <c r="J349" s="966"/>
      <c r="K349" s="53">
        <f t="shared" si="69"/>
        <v>1</v>
      </c>
      <c r="L349" s="966"/>
      <c r="M349" s="53">
        <f t="shared" si="70"/>
        <v>1</v>
      </c>
      <c r="N349" s="966"/>
      <c r="O349" s="53">
        <f t="shared" si="71"/>
        <v>1</v>
      </c>
      <c r="P349" s="966"/>
      <c r="Q349" s="53">
        <f t="shared" si="72"/>
        <v>1</v>
      </c>
      <c r="R349" s="493">
        <f t="shared" si="73"/>
        <v>0</v>
      </c>
      <c r="S349" s="802">
        <f t="shared" si="64"/>
        <v>0</v>
      </c>
    </row>
    <row r="350" spans="1:19">
      <c r="A350" s="968"/>
      <c r="B350" s="137"/>
      <c r="C350" s="53">
        <f t="shared" si="65"/>
        <v>1</v>
      </c>
      <c r="D350" s="966"/>
      <c r="E350" s="53">
        <f t="shared" si="66"/>
        <v>0.02</v>
      </c>
      <c r="F350" s="966"/>
      <c r="G350" s="53">
        <f t="shared" si="67"/>
        <v>1</v>
      </c>
      <c r="H350" s="966"/>
      <c r="I350" s="53">
        <f t="shared" si="68"/>
        <v>1</v>
      </c>
      <c r="J350" s="966"/>
      <c r="K350" s="53">
        <f t="shared" si="69"/>
        <v>1</v>
      </c>
      <c r="L350" s="966"/>
      <c r="M350" s="53">
        <f t="shared" si="70"/>
        <v>1</v>
      </c>
      <c r="N350" s="966"/>
      <c r="O350" s="53">
        <f t="shared" si="71"/>
        <v>1</v>
      </c>
      <c r="P350" s="966"/>
      <c r="Q350" s="53">
        <f t="shared" si="72"/>
        <v>1</v>
      </c>
      <c r="R350" s="493">
        <f t="shared" si="73"/>
        <v>0</v>
      </c>
      <c r="S350" s="802">
        <f t="shared" si="64"/>
        <v>0</v>
      </c>
    </row>
    <row r="351" spans="1:19">
      <c r="A351" s="968"/>
      <c r="B351" s="137"/>
      <c r="C351" s="53">
        <f t="shared" si="65"/>
        <v>1</v>
      </c>
      <c r="D351" s="966"/>
      <c r="E351" s="53">
        <f t="shared" si="66"/>
        <v>0.02</v>
      </c>
      <c r="F351" s="966"/>
      <c r="G351" s="53">
        <f t="shared" si="67"/>
        <v>1</v>
      </c>
      <c r="H351" s="966"/>
      <c r="I351" s="53">
        <f t="shared" si="68"/>
        <v>1</v>
      </c>
      <c r="J351" s="966"/>
      <c r="K351" s="53">
        <f t="shared" si="69"/>
        <v>1</v>
      </c>
      <c r="L351" s="966"/>
      <c r="M351" s="53">
        <f t="shared" si="70"/>
        <v>1</v>
      </c>
      <c r="N351" s="966"/>
      <c r="O351" s="53">
        <f t="shared" si="71"/>
        <v>1</v>
      </c>
      <c r="P351" s="966"/>
      <c r="Q351" s="53">
        <f t="shared" si="72"/>
        <v>1</v>
      </c>
      <c r="R351" s="493">
        <f t="shared" si="73"/>
        <v>0</v>
      </c>
      <c r="S351" s="802">
        <f t="shared" si="64"/>
        <v>0</v>
      </c>
    </row>
    <row r="352" spans="1:19">
      <c r="A352" s="968"/>
      <c r="B352" s="137"/>
      <c r="C352" s="53">
        <f t="shared" si="65"/>
        <v>1</v>
      </c>
      <c r="D352" s="966"/>
      <c r="E352" s="53">
        <f t="shared" si="66"/>
        <v>0.02</v>
      </c>
      <c r="F352" s="966"/>
      <c r="G352" s="53">
        <f t="shared" si="67"/>
        <v>1</v>
      </c>
      <c r="H352" s="966"/>
      <c r="I352" s="53">
        <f t="shared" si="68"/>
        <v>1</v>
      </c>
      <c r="J352" s="966"/>
      <c r="K352" s="53">
        <f t="shared" si="69"/>
        <v>1</v>
      </c>
      <c r="L352" s="966"/>
      <c r="M352" s="53">
        <f t="shared" si="70"/>
        <v>1</v>
      </c>
      <c r="N352" s="966"/>
      <c r="O352" s="53">
        <f t="shared" si="71"/>
        <v>1</v>
      </c>
      <c r="P352" s="966"/>
      <c r="Q352" s="53">
        <f t="shared" si="72"/>
        <v>1</v>
      </c>
      <c r="R352" s="493">
        <f t="shared" si="73"/>
        <v>0</v>
      </c>
      <c r="S352" s="802">
        <f t="shared" si="64"/>
        <v>0</v>
      </c>
    </row>
    <row r="353" spans="1:19">
      <c r="A353" s="968"/>
      <c r="B353" s="137"/>
      <c r="C353" s="53">
        <f t="shared" si="65"/>
        <v>1</v>
      </c>
      <c r="D353" s="966"/>
      <c r="E353" s="53">
        <f t="shared" si="66"/>
        <v>0.02</v>
      </c>
      <c r="F353" s="966"/>
      <c r="G353" s="53">
        <f t="shared" si="67"/>
        <v>1</v>
      </c>
      <c r="H353" s="966"/>
      <c r="I353" s="53">
        <f t="shared" si="68"/>
        <v>1</v>
      </c>
      <c r="J353" s="966"/>
      <c r="K353" s="53">
        <f t="shared" si="69"/>
        <v>1</v>
      </c>
      <c r="L353" s="966"/>
      <c r="M353" s="53">
        <f t="shared" si="70"/>
        <v>1</v>
      </c>
      <c r="N353" s="966"/>
      <c r="O353" s="53">
        <f t="shared" si="71"/>
        <v>1</v>
      </c>
      <c r="P353" s="966"/>
      <c r="Q353" s="53">
        <f t="shared" si="72"/>
        <v>1</v>
      </c>
      <c r="R353" s="493">
        <f t="shared" si="73"/>
        <v>0</v>
      </c>
      <c r="S353" s="802">
        <f t="shared" si="64"/>
        <v>0</v>
      </c>
    </row>
    <row r="354" spans="1:19">
      <c r="A354" s="968"/>
      <c r="B354" s="137"/>
      <c r="C354" s="53">
        <f t="shared" si="65"/>
        <v>1</v>
      </c>
      <c r="D354" s="966"/>
      <c r="E354" s="53">
        <f t="shared" si="66"/>
        <v>0.02</v>
      </c>
      <c r="F354" s="966"/>
      <c r="G354" s="53">
        <f t="shared" si="67"/>
        <v>1</v>
      </c>
      <c r="H354" s="966"/>
      <c r="I354" s="53">
        <f t="shared" si="68"/>
        <v>1</v>
      </c>
      <c r="J354" s="966"/>
      <c r="K354" s="53">
        <f t="shared" si="69"/>
        <v>1</v>
      </c>
      <c r="L354" s="966"/>
      <c r="M354" s="53">
        <f t="shared" si="70"/>
        <v>1</v>
      </c>
      <c r="N354" s="966"/>
      <c r="O354" s="53">
        <f t="shared" si="71"/>
        <v>1</v>
      </c>
      <c r="P354" s="966"/>
      <c r="Q354" s="53">
        <f t="shared" si="72"/>
        <v>1</v>
      </c>
      <c r="R354" s="493">
        <f t="shared" si="73"/>
        <v>0</v>
      </c>
      <c r="S354" s="802">
        <f t="shared" si="64"/>
        <v>0</v>
      </c>
    </row>
    <row r="355" spans="1:19">
      <c r="A355" s="968"/>
      <c r="B355" s="137"/>
      <c r="C355" s="53">
        <f t="shared" si="65"/>
        <v>1</v>
      </c>
      <c r="D355" s="966"/>
      <c r="E355" s="53">
        <f t="shared" si="66"/>
        <v>0.02</v>
      </c>
      <c r="F355" s="966"/>
      <c r="G355" s="53">
        <f t="shared" si="67"/>
        <v>1</v>
      </c>
      <c r="H355" s="966"/>
      <c r="I355" s="53">
        <f t="shared" si="68"/>
        <v>1</v>
      </c>
      <c r="J355" s="966"/>
      <c r="K355" s="53">
        <f t="shared" si="69"/>
        <v>1</v>
      </c>
      <c r="L355" s="966"/>
      <c r="M355" s="53">
        <f t="shared" si="70"/>
        <v>1</v>
      </c>
      <c r="N355" s="966"/>
      <c r="O355" s="53">
        <f t="shared" si="71"/>
        <v>1</v>
      </c>
      <c r="P355" s="966"/>
      <c r="Q355" s="53">
        <f t="shared" si="72"/>
        <v>1</v>
      </c>
      <c r="R355" s="493">
        <f t="shared" si="73"/>
        <v>0</v>
      </c>
      <c r="S355" s="802">
        <f t="shared" si="64"/>
        <v>0</v>
      </c>
    </row>
    <row r="356" spans="1:19">
      <c r="A356" s="968"/>
      <c r="B356" s="137"/>
      <c r="C356" s="53">
        <f t="shared" si="65"/>
        <v>1</v>
      </c>
      <c r="D356" s="966"/>
      <c r="E356" s="53">
        <f t="shared" si="66"/>
        <v>0.02</v>
      </c>
      <c r="F356" s="966"/>
      <c r="G356" s="53">
        <f t="shared" si="67"/>
        <v>1</v>
      </c>
      <c r="H356" s="966"/>
      <c r="I356" s="53">
        <f t="shared" si="68"/>
        <v>1</v>
      </c>
      <c r="J356" s="966"/>
      <c r="K356" s="53">
        <f t="shared" si="69"/>
        <v>1</v>
      </c>
      <c r="L356" s="966"/>
      <c r="M356" s="53">
        <f t="shared" si="70"/>
        <v>1</v>
      </c>
      <c r="N356" s="966"/>
      <c r="O356" s="53">
        <f t="shared" si="71"/>
        <v>1</v>
      </c>
      <c r="P356" s="966"/>
      <c r="Q356" s="53">
        <f t="shared" si="72"/>
        <v>1</v>
      </c>
      <c r="R356" s="493">
        <f t="shared" si="73"/>
        <v>0</v>
      </c>
      <c r="S356" s="802">
        <f t="shared" si="64"/>
        <v>0</v>
      </c>
    </row>
    <row r="357" spans="1:19">
      <c r="A357" s="968"/>
      <c r="B357" s="137"/>
      <c r="C357" s="53">
        <f t="shared" si="65"/>
        <v>1</v>
      </c>
      <c r="D357" s="966"/>
      <c r="E357" s="53">
        <f t="shared" si="66"/>
        <v>0.02</v>
      </c>
      <c r="F357" s="966"/>
      <c r="G357" s="53">
        <f t="shared" si="67"/>
        <v>1</v>
      </c>
      <c r="H357" s="966"/>
      <c r="I357" s="53">
        <f t="shared" si="68"/>
        <v>1</v>
      </c>
      <c r="J357" s="966"/>
      <c r="K357" s="53">
        <f t="shared" si="69"/>
        <v>1</v>
      </c>
      <c r="L357" s="966"/>
      <c r="M357" s="53">
        <f t="shared" si="70"/>
        <v>1</v>
      </c>
      <c r="N357" s="966"/>
      <c r="O357" s="53">
        <f t="shared" si="71"/>
        <v>1</v>
      </c>
      <c r="P357" s="966"/>
      <c r="Q357" s="53">
        <f t="shared" si="72"/>
        <v>1</v>
      </c>
      <c r="R357" s="493">
        <f t="shared" si="73"/>
        <v>0</v>
      </c>
      <c r="S357" s="802">
        <f t="shared" si="64"/>
        <v>0</v>
      </c>
    </row>
    <row r="358" spans="1:19">
      <c r="A358" s="968"/>
      <c r="B358" s="137"/>
      <c r="C358" s="53">
        <f t="shared" si="65"/>
        <v>1</v>
      </c>
      <c r="D358" s="966"/>
      <c r="E358" s="53">
        <f t="shared" si="66"/>
        <v>0.02</v>
      </c>
      <c r="F358" s="966"/>
      <c r="G358" s="53">
        <f t="shared" si="67"/>
        <v>1</v>
      </c>
      <c r="H358" s="966"/>
      <c r="I358" s="53">
        <f t="shared" si="68"/>
        <v>1</v>
      </c>
      <c r="J358" s="966"/>
      <c r="K358" s="53">
        <f t="shared" si="69"/>
        <v>1</v>
      </c>
      <c r="L358" s="966"/>
      <c r="M358" s="53">
        <f t="shared" si="70"/>
        <v>1</v>
      </c>
      <c r="N358" s="966"/>
      <c r="O358" s="53">
        <f t="shared" si="71"/>
        <v>1</v>
      </c>
      <c r="P358" s="966"/>
      <c r="Q358" s="53">
        <f t="shared" si="72"/>
        <v>1</v>
      </c>
      <c r="R358" s="493">
        <f t="shared" si="73"/>
        <v>0</v>
      </c>
      <c r="S358" s="802">
        <f t="shared" si="64"/>
        <v>0</v>
      </c>
    </row>
    <row r="359" spans="1:19">
      <c r="A359" s="968"/>
      <c r="B359" s="137"/>
      <c r="C359" s="53">
        <f t="shared" si="65"/>
        <v>1</v>
      </c>
      <c r="D359" s="966"/>
      <c r="E359" s="53">
        <f t="shared" si="66"/>
        <v>0.02</v>
      </c>
      <c r="F359" s="966"/>
      <c r="G359" s="53">
        <f t="shared" si="67"/>
        <v>1</v>
      </c>
      <c r="H359" s="966"/>
      <c r="I359" s="53">
        <f t="shared" si="68"/>
        <v>1</v>
      </c>
      <c r="J359" s="966"/>
      <c r="K359" s="53">
        <f t="shared" si="69"/>
        <v>1</v>
      </c>
      <c r="L359" s="966"/>
      <c r="M359" s="53">
        <f t="shared" si="70"/>
        <v>1</v>
      </c>
      <c r="N359" s="966"/>
      <c r="O359" s="53">
        <f t="shared" si="71"/>
        <v>1</v>
      </c>
      <c r="P359" s="966"/>
      <c r="Q359" s="53">
        <f t="shared" si="72"/>
        <v>1</v>
      </c>
      <c r="R359" s="493">
        <f t="shared" si="73"/>
        <v>0</v>
      </c>
      <c r="S359" s="802">
        <f t="shared" si="64"/>
        <v>0</v>
      </c>
    </row>
    <row r="360" spans="1:19">
      <c r="A360" s="968"/>
      <c r="B360" s="137"/>
      <c r="C360" s="53">
        <f t="shared" si="65"/>
        <v>1</v>
      </c>
      <c r="D360" s="966"/>
      <c r="E360" s="53">
        <f t="shared" si="66"/>
        <v>0.02</v>
      </c>
      <c r="F360" s="966"/>
      <c r="G360" s="53">
        <f t="shared" si="67"/>
        <v>1</v>
      </c>
      <c r="H360" s="966"/>
      <c r="I360" s="53">
        <f t="shared" si="68"/>
        <v>1</v>
      </c>
      <c r="J360" s="966"/>
      <c r="K360" s="53">
        <f t="shared" si="69"/>
        <v>1</v>
      </c>
      <c r="L360" s="966"/>
      <c r="M360" s="53">
        <f t="shared" si="70"/>
        <v>1</v>
      </c>
      <c r="N360" s="966"/>
      <c r="O360" s="53">
        <f t="shared" si="71"/>
        <v>1</v>
      </c>
      <c r="P360" s="966"/>
      <c r="Q360" s="53">
        <f t="shared" si="72"/>
        <v>1</v>
      </c>
      <c r="R360" s="493">
        <f t="shared" si="73"/>
        <v>0</v>
      </c>
      <c r="S360" s="802">
        <f t="shared" si="64"/>
        <v>0</v>
      </c>
    </row>
    <row r="361" spans="1:19">
      <c r="A361" s="968"/>
      <c r="B361" s="137"/>
      <c r="C361" s="53">
        <f t="shared" si="65"/>
        <v>1</v>
      </c>
      <c r="D361" s="966"/>
      <c r="E361" s="53">
        <f t="shared" si="66"/>
        <v>0.02</v>
      </c>
      <c r="F361" s="966"/>
      <c r="G361" s="53">
        <f t="shared" si="67"/>
        <v>1</v>
      </c>
      <c r="H361" s="966"/>
      <c r="I361" s="53">
        <f t="shared" si="68"/>
        <v>1</v>
      </c>
      <c r="J361" s="966"/>
      <c r="K361" s="53">
        <f t="shared" si="69"/>
        <v>1</v>
      </c>
      <c r="L361" s="966"/>
      <c r="M361" s="53">
        <f t="shared" si="70"/>
        <v>1</v>
      </c>
      <c r="N361" s="966"/>
      <c r="O361" s="53">
        <f t="shared" si="71"/>
        <v>1</v>
      </c>
      <c r="P361" s="966"/>
      <c r="Q361" s="53">
        <f t="shared" si="72"/>
        <v>1</v>
      </c>
      <c r="R361" s="493">
        <f t="shared" si="73"/>
        <v>0</v>
      </c>
      <c r="S361" s="802">
        <f t="shared" si="64"/>
        <v>0</v>
      </c>
    </row>
    <row r="362" spans="1:19">
      <c r="A362" s="968"/>
      <c r="B362" s="137"/>
      <c r="C362" s="53">
        <f t="shared" si="65"/>
        <v>1</v>
      </c>
      <c r="D362" s="966"/>
      <c r="E362" s="53">
        <f t="shared" si="66"/>
        <v>0.02</v>
      </c>
      <c r="F362" s="966"/>
      <c r="G362" s="53">
        <f t="shared" si="67"/>
        <v>1</v>
      </c>
      <c r="H362" s="966"/>
      <c r="I362" s="53">
        <f t="shared" si="68"/>
        <v>1</v>
      </c>
      <c r="J362" s="966"/>
      <c r="K362" s="53">
        <f t="shared" si="69"/>
        <v>1</v>
      </c>
      <c r="L362" s="966"/>
      <c r="M362" s="53">
        <f t="shared" si="70"/>
        <v>1</v>
      </c>
      <c r="N362" s="966"/>
      <c r="O362" s="53">
        <f t="shared" si="71"/>
        <v>1</v>
      </c>
      <c r="P362" s="966"/>
      <c r="Q362" s="53">
        <f t="shared" si="72"/>
        <v>1</v>
      </c>
      <c r="R362" s="493">
        <f t="shared" si="73"/>
        <v>0</v>
      </c>
      <c r="S362" s="802">
        <f t="shared" si="64"/>
        <v>0</v>
      </c>
    </row>
    <row r="363" spans="1:19">
      <c r="A363" s="968"/>
      <c r="B363" s="137"/>
      <c r="C363" s="53">
        <f t="shared" si="65"/>
        <v>1</v>
      </c>
      <c r="D363" s="966"/>
      <c r="E363" s="53">
        <f t="shared" si="66"/>
        <v>0.02</v>
      </c>
      <c r="F363" s="966"/>
      <c r="G363" s="53">
        <f t="shared" si="67"/>
        <v>1</v>
      </c>
      <c r="H363" s="966"/>
      <c r="I363" s="53">
        <f t="shared" si="68"/>
        <v>1</v>
      </c>
      <c r="J363" s="966"/>
      <c r="K363" s="53">
        <f t="shared" si="69"/>
        <v>1</v>
      </c>
      <c r="L363" s="966"/>
      <c r="M363" s="53">
        <f t="shared" si="70"/>
        <v>1</v>
      </c>
      <c r="N363" s="966"/>
      <c r="O363" s="53">
        <f t="shared" si="71"/>
        <v>1</v>
      </c>
      <c r="P363" s="966"/>
      <c r="Q363" s="53">
        <f t="shared" si="72"/>
        <v>1</v>
      </c>
      <c r="R363" s="493">
        <f t="shared" si="73"/>
        <v>0</v>
      </c>
      <c r="S363" s="802">
        <f t="shared" si="64"/>
        <v>0</v>
      </c>
    </row>
    <row r="364" spans="1:19">
      <c r="A364" s="968"/>
      <c r="B364" s="137"/>
      <c r="C364" s="53">
        <f t="shared" si="65"/>
        <v>1</v>
      </c>
      <c r="D364" s="966"/>
      <c r="E364" s="53">
        <f t="shared" si="66"/>
        <v>0.02</v>
      </c>
      <c r="F364" s="966"/>
      <c r="G364" s="53">
        <f t="shared" si="67"/>
        <v>1</v>
      </c>
      <c r="H364" s="966"/>
      <c r="I364" s="53">
        <f t="shared" si="68"/>
        <v>1</v>
      </c>
      <c r="J364" s="966"/>
      <c r="K364" s="53">
        <f t="shared" si="69"/>
        <v>1</v>
      </c>
      <c r="L364" s="966"/>
      <c r="M364" s="53">
        <f t="shared" si="70"/>
        <v>1</v>
      </c>
      <c r="N364" s="966"/>
      <c r="O364" s="53">
        <f t="shared" si="71"/>
        <v>1</v>
      </c>
      <c r="P364" s="966"/>
      <c r="Q364" s="53">
        <f t="shared" si="72"/>
        <v>1</v>
      </c>
      <c r="R364" s="493">
        <f t="shared" si="73"/>
        <v>0</v>
      </c>
      <c r="S364" s="802">
        <f t="shared" si="64"/>
        <v>0</v>
      </c>
    </row>
    <row r="365" spans="1:19">
      <c r="A365" s="968"/>
      <c r="B365" s="137"/>
      <c r="C365" s="53">
        <f t="shared" si="65"/>
        <v>1</v>
      </c>
      <c r="D365" s="966"/>
      <c r="E365" s="53">
        <f t="shared" si="66"/>
        <v>0.02</v>
      </c>
      <c r="F365" s="966"/>
      <c r="G365" s="53">
        <f t="shared" si="67"/>
        <v>1</v>
      </c>
      <c r="H365" s="966"/>
      <c r="I365" s="53">
        <f t="shared" si="68"/>
        <v>1</v>
      </c>
      <c r="J365" s="966"/>
      <c r="K365" s="53">
        <f t="shared" si="69"/>
        <v>1</v>
      </c>
      <c r="L365" s="966"/>
      <c r="M365" s="53">
        <f t="shared" si="70"/>
        <v>1</v>
      </c>
      <c r="N365" s="966"/>
      <c r="O365" s="53">
        <f t="shared" si="71"/>
        <v>1</v>
      </c>
      <c r="P365" s="966"/>
      <c r="Q365" s="53">
        <f t="shared" si="72"/>
        <v>1</v>
      </c>
      <c r="R365" s="493">
        <f t="shared" si="73"/>
        <v>0</v>
      </c>
      <c r="S365" s="802">
        <f t="shared" si="64"/>
        <v>0</v>
      </c>
    </row>
    <row r="366" spans="1:19">
      <c r="A366" s="968"/>
      <c r="B366" s="137"/>
      <c r="C366" s="53">
        <f t="shared" si="65"/>
        <v>1</v>
      </c>
      <c r="D366" s="966"/>
      <c r="E366" s="53">
        <f t="shared" si="66"/>
        <v>0.02</v>
      </c>
      <c r="F366" s="966"/>
      <c r="G366" s="53">
        <f t="shared" si="67"/>
        <v>1</v>
      </c>
      <c r="H366" s="966"/>
      <c r="I366" s="53">
        <f t="shared" si="68"/>
        <v>1</v>
      </c>
      <c r="J366" s="966"/>
      <c r="K366" s="53">
        <f t="shared" si="69"/>
        <v>1</v>
      </c>
      <c r="L366" s="966"/>
      <c r="M366" s="53">
        <f t="shared" si="70"/>
        <v>1</v>
      </c>
      <c r="N366" s="966"/>
      <c r="O366" s="53">
        <f t="shared" si="71"/>
        <v>1</v>
      </c>
      <c r="P366" s="966"/>
      <c r="Q366" s="53">
        <f t="shared" si="72"/>
        <v>1</v>
      </c>
      <c r="R366" s="493">
        <f t="shared" si="73"/>
        <v>0</v>
      </c>
      <c r="S366" s="802">
        <f t="shared" si="64"/>
        <v>0</v>
      </c>
    </row>
    <row r="367" spans="1:19">
      <c r="A367" s="968"/>
      <c r="B367" s="137"/>
      <c r="C367" s="53">
        <f t="shared" si="65"/>
        <v>1</v>
      </c>
      <c r="D367" s="966"/>
      <c r="E367" s="53">
        <f t="shared" si="66"/>
        <v>0.02</v>
      </c>
      <c r="F367" s="966"/>
      <c r="G367" s="53">
        <f t="shared" si="67"/>
        <v>1</v>
      </c>
      <c r="H367" s="966"/>
      <c r="I367" s="53">
        <f t="shared" si="68"/>
        <v>1</v>
      </c>
      <c r="J367" s="966"/>
      <c r="K367" s="53">
        <f t="shared" si="69"/>
        <v>1</v>
      </c>
      <c r="L367" s="966"/>
      <c r="M367" s="53">
        <f t="shared" si="70"/>
        <v>1</v>
      </c>
      <c r="N367" s="966"/>
      <c r="O367" s="53">
        <f t="shared" si="71"/>
        <v>1</v>
      </c>
      <c r="P367" s="966"/>
      <c r="Q367" s="53">
        <f t="shared" si="72"/>
        <v>1</v>
      </c>
      <c r="R367" s="493">
        <f t="shared" si="73"/>
        <v>0</v>
      </c>
      <c r="S367" s="802">
        <f t="shared" si="64"/>
        <v>0</v>
      </c>
    </row>
    <row r="368" spans="1:19">
      <c r="A368" s="968"/>
      <c r="B368" s="137"/>
      <c r="C368" s="53">
        <f t="shared" si="65"/>
        <v>1</v>
      </c>
      <c r="D368" s="966"/>
      <c r="E368" s="53">
        <f t="shared" si="66"/>
        <v>0.02</v>
      </c>
      <c r="F368" s="966"/>
      <c r="G368" s="53">
        <f t="shared" si="67"/>
        <v>1</v>
      </c>
      <c r="H368" s="966"/>
      <c r="I368" s="53">
        <f t="shared" si="68"/>
        <v>1</v>
      </c>
      <c r="J368" s="966"/>
      <c r="K368" s="53">
        <f t="shared" si="69"/>
        <v>1</v>
      </c>
      <c r="L368" s="966"/>
      <c r="M368" s="53">
        <f t="shared" si="70"/>
        <v>1</v>
      </c>
      <c r="N368" s="966"/>
      <c r="O368" s="53">
        <f t="shared" si="71"/>
        <v>1</v>
      </c>
      <c r="P368" s="966"/>
      <c r="Q368" s="53">
        <f t="shared" si="72"/>
        <v>1</v>
      </c>
      <c r="R368" s="493">
        <f t="shared" si="73"/>
        <v>0</v>
      </c>
      <c r="S368" s="802">
        <f t="shared" si="64"/>
        <v>0</v>
      </c>
    </row>
    <row r="369" spans="1:19">
      <c r="A369" s="968"/>
      <c r="B369" s="137"/>
      <c r="C369" s="53">
        <f t="shared" si="65"/>
        <v>1</v>
      </c>
      <c r="D369" s="966"/>
      <c r="E369" s="53">
        <f t="shared" si="66"/>
        <v>0.02</v>
      </c>
      <c r="F369" s="966"/>
      <c r="G369" s="53">
        <f t="shared" si="67"/>
        <v>1</v>
      </c>
      <c r="H369" s="966"/>
      <c r="I369" s="53">
        <f t="shared" si="68"/>
        <v>1</v>
      </c>
      <c r="J369" s="966"/>
      <c r="K369" s="53">
        <f t="shared" si="69"/>
        <v>1</v>
      </c>
      <c r="L369" s="966"/>
      <c r="M369" s="53">
        <f t="shared" si="70"/>
        <v>1</v>
      </c>
      <c r="N369" s="966"/>
      <c r="O369" s="53">
        <f t="shared" si="71"/>
        <v>1</v>
      </c>
      <c r="P369" s="966"/>
      <c r="Q369" s="53">
        <f t="shared" si="72"/>
        <v>1</v>
      </c>
      <c r="R369" s="493">
        <f t="shared" si="73"/>
        <v>0</v>
      </c>
      <c r="S369" s="802">
        <f t="shared" si="64"/>
        <v>0</v>
      </c>
    </row>
    <row r="370" spans="1:19">
      <c r="A370" s="968"/>
      <c r="B370" s="137"/>
      <c r="C370" s="53">
        <f t="shared" si="65"/>
        <v>1</v>
      </c>
      <c r="D370" s="966"/>
      <c r="E370" s="53">
        <f t="shared" si="66"/>
        <v>0.02</v>
      </c>
      <c r="F370" s="966"/>
      <c r="G370" s="53">
        <f t="shared" si="67"/>
        <v>1</v>
      </c>
      <c r="H370" s="966"/>
      <c r="I370" s="53">
        <f t="shared" si="68"/>
        <v>1</v>
      </c>
      <c r="J370" s="966"/>
      <c r="K370" s="53">
        <f t="shared" si="69"/>
        <v>1</v>
      </c>
      <c r="L370" s="966"/>
      <c r="M370" s="53">
        <f t="shared" si="70"/>
        <v>1</v>
      </c>
      <c r="N370" s="966"/>
      <c r="O370" s="53">
        <f t="shared" si="71"/>
        <v>1</v>
      </c>
      <c r="P370" s="966"/>
      <c r="Q370" s="53">
        <f t="shared" si="72"/>
        <v>1</v>
      </c>
      <c r="R370" s="493">
        <f t="shared" si="73"/>
        <v>0</v>
      </c>
      <c r="S370" s="802">
        <f t="shared" si="64"/>
        <v>0</v>
      </c>
    </row>
    <row r="371" spans="1:19">
      <c r="A371" s="968"/>
      <c r="B371" s="137"/>
      <c r="C371" s="53">
        <f t="shared" si="65"/>
        <v>1</v>
      </c>
      <c r="D371" s="966"/>
      <c r="E371" s="53">
        <f t="shared" si="66"/>
        <v>0.02</v>
      </c>
      <c r="F371" s="966"/>
      <c r="G371" s="53">
        <f t="shared" si="67"/>
        <v>1</v>
      </c>
      <c r="H371" s="966"/>
      <c r="I371" s="53">
        <f t="shared" si="68"/>
        <v>1</v>
      </c>
      <c r="J371" s="966"/>
      <c r="K371" s="53">
        <f t="shared" si="69"/>
        <v>1</v>
      </c>
      <c r="L371" s="966"/>
      <c r="M371" s="53">
        <f t="shared" si="70"/>
        <v>1</v>
      </c>
      <c r="N371" s="966"/>
      <c r="O371" s="53">
        <f t="shared" si="71"/>
        <v>1</v>
      </c>
      <c r="P371" s="966"/>
      <c r="Q371" s="53">
        <f t="shared" si="72"/>
        <v>1</v>
      </c>
      <c r="R371" s="493">
        <f t="shared" si="73"/>
        <v>0</v>
      </c>
      <c r="S371" s="802">
        <f t="shared" si="64"/>
        <v>0</v>
      </c>
    </row>
    <row r="372" spans="1:19">
      <c r="A372" s="968"/>
      <c r="B372" s="137"/>
      <c r="C372" s="53">
        <f t="shared" si="65"/>
        <v>1</v>
      </c>
      <c r="D372" s="966"/>
      <c r="E372" s="53">
        <f t="shared" si="66"/>
        <v>0.02</v>
      </c>
      <c r="F372" s="966"/>
      <c r="G372" s="53">
        <f t="shared" si="67"/>
        <v>1</v>
      </c>
      <c r="H372" s="966"/>
      <c r="I372" s="53">
        <f t="shared" si="68"/>
        <v>1</v>
      </c>
      <c r="J372" s="966"/>
      <c r="K372" s="53">
        <f t="shared" si="69"/>
        <v>1</v>
      </c>
      <c r="L372" s="966"/>
      <c r="M372" s="53">
        <f t="shared" si="70"/>
        <v>1</v>
      </c>
      <c r="N372" s="966"/>
      <c r="O372" s="53">
        <f t="shared" si="71"/>
        <v>1</v>
      </c>
      <c r="P372" s="966"/>
      <c r="Q372" s="53">
        <f t="shared" si="72"/>
        <v>1</v>
      </c>
      <c r="R372" s="493">
        <f t="shared" si="73"/>
        <v>0</v>
      </c>
      <c r="S372" s="802">
        <f t="shared" si="64"/>
        <v>0</v>
      </c>
    </row>
    <row r="373" spans="1:19">
      <c r="A373" s="968"/>
      <c r="B373" s="137"/>
      <c r="C373" s="53">
        <f t="shared" si="65"/>
        <v>1</v>
      </c>
      <c r="D373" s="966"/>
      <c r="E373" s="53">
        <f t="shared" si="66"/>
        <v>0.02</v>
      </c>
      <c r="F373" s="966"/>
      <c r="G373" s="53">
        <f t="shared" si="67"/>
        <v>1</v>
      </c>
      <c r="H373" s="966"/>
      <c r="I373" s="53">
        <f t="shared" si="68"/>
        <v>1</v>
      </c>
      <c r="J373" s="966"/>
      <c r="K373" s="53">
        <f t="shared" si="69"/>
        <v>1</v>
      </c>
      <c r="L373" s="966"/>
      <c r="M373" s="53">
        <f t="shared" si="70"/>
        <v>1</v>
      </c>
      <c r="N373" s="966"/>
      <c r="O373" s="53">
        <f t="shared" si="71"/>
        <v>1</v>
      </c>
      <c r="P373" s="966"/>
      <c r="Q373" s="53">
        <f t="shared" si="72"/>
        <v>1</v>
      </c>
      <c r="R373" s="493">
        <f t="shared" si="73"/>
        <v>0</v>
      </c>
      <c r="S373" s="802">
        <f t="shared" si="64"/>
        <v>0</v>
      </c>
    </row>
    <row r="374" spans="1:19">
      <c r="A374" s="968"/>
      <c r="B374" s="137"/>
      <c r="C374" s="53">
        <f t="shared" si="65"/>
        <v>1</v>
      </c>
      <c r="D374" s="966"/>
      <c r="E374" s="53">
        <f t="shared" si="66"/>
        <v>0.02</v>
      </c>
      <c r="F374" s="966"/>
      <c r="G374" s="53">
        <f t="shared" si="67"/>
        <v>1</v>
      </c>
      <c r="H374" s="966"/>
      <c r="I374" s="53">
        <f t="shared" si="68"/>
        <v>1</v>
      </c>
      <c r="J374" s="966"/>
      <c r="K374" s="53">
        <f t="shared" si="69"/>
        <v>1</v>
      </c>
      <c r="L374" s="966"/>
      <c r="M374" s="53">
        <f t="shared" si="70"/>
        <v>1</v>
      </c>
      <c r="N374" s="966"/>
      <c r="O374" s="53">
        <f t="shared" si="71"/>
        <v>1</v>
      </c>
      <c r="P374" s="966"/>
      <c r="Q374" s="53">
        <f t="shared" si="72"/>
        <v>1</v>
      </c>
      <c r="R374" s="493">
        <f t="shared" si="73"/>
        <v>0</v>
      </c>
      <c r="S374" s="802">
        <f t="shared" si="64"/>
        <v>0</v>
      </c>
    </row>
    <row r="375" spans="1:19">
      <c r="A375" s="968"/>
      <c r="B375" s="137"/>
      <c r="C375" s="53">
        <f t="shared" si="65"/>
        <v>1</v>
      </c>
      <c r="D375" s="966"/>
      <c r="E375" s="53">
        <f t="shared" si="66"/>
        <v>0.02</v>
      </c>
      <c r="F375" s="966"/>
      <c r="G375" s="53">
        <f t="shared" si="67"/>
        <v>1</v>
      </c>
      <c r="H375" s="966"/>
      <c r="I375" s="53">
        <f t="shared" si="68"/>
        <v>1</v>
      </c>
      <c r="J375" s="966"/>
      <c r="K375" s="53">
        <f t="shared" si="69"/>
        <v>1</v>
      </c>
      <c r="L375" s="966"/>
      <c r="M375" s="53">
        <f t="shared" si="70"/>
        <v>1</v>
      </c>
      <c r="N375" s="966"/>
      <c r="O375" s="53">
        <f t="shared" si="71"/>
        <v>1</v>
      </c>
      <c r="P375" s="966"/>
      <c r="Q375" s="53">
        <f t="shared" si="72"/>
        <v>1</v>
      </c>
      <c r="R375" s="493">
        <f t="shared" si="73"/>
        <v>0</v>
      </c>
      <c r="S375" s="802">
        <f t="shared" si="64"/>
        <v>0</v>
      </c>
    </row>
    <row r="376" spans="1:19">
      <c r="A376" s="968"/>
      <c r="B376" s="137"/>
      <c r="C376" s="53">
        <f t="shared" si="65"/>
        <v>1</v>
      </c>
      <c r="D376" s="966"/>
      <c r="E376" s="53">
        <f t="shared" si="66"/>
        <v>0.02</v>
      </c>
      <c r="F376" s="966"/>
      <c r="G376" s="53">
        <f t="shared" si="67"/>
        <v>1</v>
      </c>
      <c r="H376" s="966"/>
      <c r="I376" s="53">
        <f t="shared" si="68"/>
        <v>1</v>
      </c>
      <c r="J376" s="966"/>
      <c r="K376" s="53">
        <f t="shared" si="69"/>
        <v>1</v>
      </c>
      <c r="L376" s="966"/>
      <c r="M376" s="53">
        <f t="shared" si="70"/>
        <v>1</v>
      </c>
      <c r="N376" s="966"/>
      <c r="O376" s="53">
        <f t="shared" si="71"/>
        <v>1</v>
      </c>
      <c r="P376" s="966"/>
      <c r="Q376" s="53">
        <f t="shared" si="72"/>
        <v>1</v>
      </c>
      <c r="R376" s="493">
        <f t="shared" si="73"/>
        <v>0</v>
      </c>
      <c r="S376" s="802">
        <f t="shared" si="64"/>
        <v>0</v>
      </c>
    </row>
    <row r="377" spans="1:19">
      <c r="A377" s="968"/>
      <c r="B377" s="137"/>
      <c r="C377" s="53">
        <f t="shared" si="65"/>
        <v>1</v>
      </c>
      <c r="D377" s="966"/>
      <c r="E377" s="53">
        <f t="shared" si="66"/>
        <v>0.02</v>
      </c>
      <c r="F377" s="966"/>
      <c r="G377" s="53">
        <f t="shared" si="67"/>
        <v>1</v>
      </c>
      <c r="H377" s="966"/>
      <c r="I377" s="53">
        <f t="shared" si="68"/>
        <v>1</v>
      </c>
      <c r="J377" s="966"/>
      <c r="K377" s="53">
        <f t="shared" si="69"/>
        <v>1</v>
      </c>
      <c r="L377" s="966"/>
      <c r="M377" s="53">
        <f t="shared" si="70"/>
        <v>1</v>
      </c>
      <c r="N377" s="966"/>
      <c r="O377" s="53">
        <f t="shared" si="71"/>
        <v>1</v>
      </c>
      <c r="P377" s="966"/>
      <c r="Q377" s="53">
        <f t="shared" si="72"/>
        <v>1</v>
      </c>
      <c r="R377" s="493">
        <f t="shared" si="73"/>
        <v>0</v>
      </c>
      <c r="S377" s="802">
        <f t="shared" si="64"/>
        <v>0</v>
      </c>
    </row>
    <row r="378" spans="1:19">
      <c r="A378" s="968"/>
      <c r="B378" s="137"/>
      <c r="C378" s="53">
        <f t="shared" si="65"/>
        <v>1</v>
      </c>
      <c r="D378" s="966"/>
      <c r="E378" s="53">
        <f t="shared" si="66"/>
        <v>0.02</v>
      </c>
      <c r="F378" s="966"/>
      <c r="G378" s="53">
        <f t="shared" si="67"/>
        <v>1</v>
      </c>
      <c r="H378" s="966"/>
      <c r="I378" s="53">
        <f t="shared" si="68"/>
        <v>1</v>
      </c>
      <c r="J378" s="966"/>
      <c r="K378" s="53">
        <f t="shared" si="69"/>
        <v>1</v>
      </c>
      <c r="L378" s="966"/>
      <c r="M378" s="53">
        <f t="shared" si="70"/>
        <v>1</v>
      </c>
      <c r="N378" s="966"/>
      <c r="O378" s="53">
        <f t="shared" si="71"/>
        <v>1</v>
      </c>
      <c r="P378" s="966"/>
      <c r="Q378" s="53">
        <f t="shared" si="72"/>
        <v>1</v>
      </c>
      <c r="R378" s="493">
        <f t="shared" si="73"/>
        <v>0</v>
      </c>
      <c r="S378" s="802">
        <f t="shared" si="64"/>
        <v>0</v>
      </c>
    </row>
    <row r="379" spans="1:19">
      <c r="A379" s="968"/>
      <c r="B379" s="137"/>
      <c r="C379" s="53">
        <f t="shared" si="65"/>
        <v>1</v>
      </c>
      <c r="D379" s="966"/>
      <c r="E379" s="53">
        <f t="shared" si="66"/>
        <v>0.02</v>
      </c>
      <c r="F379" s="966"/>
      <c r="G379" s="53">
        <f t="shared" si="67"/>
        <v>1</v>
      </c>
      <c r="H379" s="966"/>
      <c r="I379" s="53">
        <f t="shared" si="68"/>
        <v>1</v>
      </c>
      <c r="J379" s="966"/>
      <c r="K379" s="53">
        <f t="shared" si="69"/>
        <v>1</v>
      </c>
      <c r="L379" s="966"/>
      <c r="M379" s="53">
        <f t="shared" si="70"/>
        <v>1</v>
      </c>
      <c r="N379" s="966"/>
      <c r="O379" s="53">
        <f t="shared" si="71"/>
        <v>1</v>
      </c>
      <c r="P379" s="966"/>
      <c r="Q379" s="53">
        <f t="shared" si="72"/>
        <v>1</v>
      </c>
      <c r="R379" s="493">
        <f t="shared" si="73"/>
        <v>0</v>
      </c>
      <c r="S379" s="802">
        <f t="shared" si="64"/>
        <v>0</v>
      </c>
    </row>
    <row r="380" spans="1:19">
      <c r="A380" s="968"/>
      <c r="B380" s="137"/>
      <c r="C380" s="53">
        <f t="shared" si="65"/>
        <v>1</v>
      </c>
      <c r="D380" s="966"/>
      <c r="E380" s="53">
        <f t="shared" si="66"/>
        <v>0.02</v>
      </c>
      <c r="F380" s="966"/>
      <c r="G380" s="53">
        <f t="shared" si="67"/>
        <v>1</v>
      </c>
      <c r="H380" s="966"/>
      <c r="I380" s="53">
        <f t="shared" si="68"/>
        <v>1</v>
      </c>
      <c r="J380" s="966"/>
      <c r="K380" s="53">
        <f t="shared" si="69"/>
        <v>1</v>
      </c>
      <c r="L380" s="966"/>
      <c r="M380" s="53">
        <f t="shared" si="70"/>
        <v>1</v>
      </c>
      <c r="N380" s="966"/>
      <c r="O380" s="53">
        <f t="shared" si="71"/>
        <v>1</v>
      </c>
      <c r="P380" s="966"/>
      <c r="Q380" s="53">
        <f t="shared" si="72"/>
        <v>1</v>
      </c>
      <c r="R380" s="493">
        <f t="shared" si="73"/>
        <v>0</v>
      </c>
      <c r="S380" s="802">
        <f t="shared" si="64"/>
        <v>0</v>
      </c>
    </row>
    <row r="381" spans="1:19">
      <c r="A381" s="968"/>
      <c r="B381" s="137"/>
      <c r="C381" s="53">
        <f t="shared" si="65"/>
        <v>1</v>
      </c>
      <c r="D381" s="966"/>
      <c r="E381" s="53">
        <f t="shared" si="66"/>
        <v>0.02</v>
      </c>
      <c r="F381" s="966"/>
      <c r="G381" s="53">
        <f t="shared" si="67"/>
        <v>1</v>
      </c>
      <c r="H381" s="966"/>
      <c r="I381" s="53">
        <f t="shared" si="68"/>
        <v>1</v>
      </c>
      <c r="J381" s="966"/>
      <c r="K381" s="53">
        <f t="shared" si="69"/>
        <v>1</v>
      </c>
      <c r="L381" s="966"/>
      <c r="M381" s="53">
        <f t="shared" si="70"/>
        <v>1</v>
      </c>
      <c r="N381" s="966"/>
      <c r="O381" s="53">
        <f t="shared" si="71"/>
        <v>1</v>
      </c>
      <c r="P381" s="966"/>
      <c r="Q381" s="53">
        <f t="shared" si="72"/>
        <v>1</v>
      </c>
      <c r="R381" s="493">
        <f t="shared" si="73"/>
        <v>0</v>
      </c>
      <c r="S381" s="802">
        <f t="shared" si="64"/>
        <v>0</v>
      </c>
    </row>
    <row r="382" spans="1:19">
      <c r="A382" s="968"/>
      <c r="B382" s="137"/>
      <c r="C382" s="53">
        <f t="shared" si="65"/>
        <v>1</v>
      </c>
      <c r="D382" s="966"/>
      <c r="E382" s="53">
        <f t="shared" si="66"/>
        <v>0.02</v>
      </c>
      <c r="F382" s="966"/>
      <c r="G382" s="53">
        <f t="shared" si="67"/>
        <v>1</v>
      </c>
      <c r="H382" s="966"/>
      <c r="I382" s="53">
        <f t="shared" si="68"/>
        <v>1</v>
      </c>
      <c r="J382" s="966"/>
      <c r="K382" s="53">
        <f t="shared" si="69"/>
        <v>1</v>
      </c>
      <c r="L382" s="966"/>
      <c r="M382" s="53">
        <f t="shared" si="70"/>
        <v>1</v>
      </c>
      <c r="N382" s="966"/>
      <c r="O382" s="53">
        <f t="shared" si="71"/>
        <v>1</v>
      </c>
      <c r="P382" s="966"/>
      <c r="Q382" s="53">
        <f t="shared" si="72"/>
        <v>1</v>
      </c>
      <c r="R382" s="493">
        <f t="shared" si="73"/>
        <v>0</v>
      </c>
      <c r="S382" s="802">
        <f t="shared" si="64"/>
        <v>0</v>
      </c>
    </row>
    <row r="383" spans="1:19">
      <c r="A383" s="968"/>
      <c r="B383" s="137"/>
      <c r="C383" s="53">
        <f t="shared" si="65"/>
        <v>1</v>
      </c>
      <c r="D383" s="966"/>
      <c r="E383" s="53">
        <f t="shared" si="66"/>
        <v>0.02</v>
      </c>
      <c r="F383" s="966"/>
      <c r="G383" s="53">
        <f t="shared" si="67"/>
        <v>1</v>
      </c>
      <c r="H383" s="966"/>
      <c r="I383" s="53">
        <f t="shared" si="68"/>
        <v>1</v>
      </c>
      <c r="J383" s="966"/>
      <c r="K383" s="53">
        <f t="shared" si="69"/>
        <v>1</v>
      </c>
      <c r="L383" s="966"/>
      <c r="M383" s="53">
        <f t="shared" si="70"/>
        <v>1</v>
      </c>
      <c r="N383" s="966"/>
      <c r="O383" s="53">
        <f t="shared" si="71"/>
        <v>1</v>
      </c>
      <c r="P383" s="966"/>
      <c r="Q383" s="53">
        <f t="shared" si="72"/>
        <v>1</v>
      </c>
      <c r="R383" s="493">
        <f t="shared" si="73"/>
        <v>0</v>
      </c>
      <c r="S383" s="802">
        <f t="shared" si="64"/>
        <v>0</v>
      </c>
    </row>
    <row r="384" spans="1:19">
      <c r="A384" s="968"/>
      <c r="B384" s="137"/>
      <c r="C384" s="53">
        <f t="shared" si="65"/>
        <v>1</v>
      </c>
      <c r="D384" s="966"/>
      <c r="E384" s="53">
        <f t="shared" si="66"/>
        <v>0.02</v>
      </c>
      <c r="F384" s="966"/>
      <c r="G384" s="53">
        <f t="shared" si="67"/>
        <v>1</v>
      </c>
      <c r="H384" s="966"/>
      <c r="I384" s="53">
        <f t="shared" si="68"/>
        <v>1</v>
      </c>
      <c r="J384" s="966"/>
      <c r="K384" s="53">
        <f t="shared" si="69"/>
        <v>1</v>
      </c>
      <c r="L384" s="966"/>
      <c r="M384" s="53">
        <f t="shared" si="70"/>
        <v>1</v>
      </c>
      <c r="N384" s="966"/>
      <c r="O384" s="53">
        <f t="shared" si="71"/>
        <v>1</v>
      </c>
      <c r="P384" s="966"/>
      <c r="Q384" s="53">
        <f t="shared" si="72"/>
        <v>1</v>
      </c>
      <c r="R384" s="493">
        <f t="shared" si="73"/>
        <v>0</v>
      </c>
      <c r="S384" s="802">
        <f t="shared" si="64"/>
        <v>0</v>
      </c>
    </row>
    <row r="385" spans="1:19">
      <c r="A385" s="968"/>
      <c r="B385" s="137"/>
      <c r="C385" s="53">
        <f t="shared" si="65"/>
        <v>1</v>
      </c>
      <c r="D385" s="966"/>
      <c r="E385" s="53">
        <f t="shared" si="66"/>
        <v>0.02</v>
      </c>
      <c r="F385" s="966"/>
      <c r="G385" s="53">
        <f t="shared" si="67"/>
        <v>1</v>
      </c>
      <c r="H385" s="966"/>
      <c r="I385" s="53">
        <f t="shared" si="68"/>
        <v>1</v>
      </c>
      <c r="J385" s="966"/>
      <c r="K385" s="53">
        <f t="shared" si="69"/>
        <v>1</v>
      </c>
      <c r="L385" s="966"/>
      <c r="M385" s="53">
        <f t="shared" si="70"/>
        <v>1</v>
      </c>
      <c r="N385" s="966"/>
      <c r="O385" s="53">
        <f t="shared" si="71"/>
        <v>1</v>
      </c>
      <c r="P385" s="966"/>
      <c r="Q385" s="53">
        <f t="shared" si="72"/>
        <v>1</v>
      </c>
      <c r="R385" s="493">
        <f t="shared" si="73"/>
        <v>0</v>
      </c>
      <c r="S385" s="802">
        <f t="shared" ref="S385:S422" si="74">ROUND(R385*B385/10000,0)</f>
        <v>0</v>
      </c>
    </row>
    <row r="386" spans="1:19">
      <c r="A386" s="968"/>
      <c r="B386" s="137"/>
      <c r="C386" s="53">
        <f t="shared" si="65"/>
        <v>1</v>
      </c>
      <c r="D386" s="966"/>
      <c r="E386" s="53">
        <f t="shared" si="66"/>
        <v>0.02</v>
      </c>
      <c r="F386" s="966"/>
      <c r="G386" s="53">
        <f t="shared" si="67"/>
        <v>1</v>
      </c>
      <c r="H386" s="966"/>
      <c r="I386" s="53">
        <f t="shared" si="68"/>
        <v>1</v>
      </c>
      <c r="J386" s="966"/>
      <c r="K386" s="53">
        <f t="shared" si="69"/>
        <v>1</v>
      </c>
      <c r="L386" s="966"/>
      <c r="M386" s="53">
        <f t="shared" si="70"/>
        <v>1</v>
      </c>
      <c r="N386" s="966"/>
      <c r="O386" s="53">
        <f t="shared" si="71"/>
        <v>1</v>
      </c>
      <c r="P386" s="966"/>
      <c r="Q386" s="53">
        <f t="shared" si="72"/>
        <v>1</v>
      </c>
      <c r="R386" s="493">
        <f t="shared" si="73"/>
        <v>0</v>
      </c>
      <c r="S386" s="802">
        <f t="shared" si="74"/>
        <v>0</v>
      </c>
    </row>
    <row r="387" spans="1:19">
      <c r="A387" s="968"/>
      <c r="B387" s="137"/>
      <c r="C387" s="53">
        <f t="shared" si="65"/>
        <v>1</v>
      </c>
      <c r="D387" s="966"/>
      <c r="E387" s="53">
        <f t="shared" si="66"/>
        <v>0.02</v>
      </c>
      <c r="F387" s="966"/>
      <c r="G387" s="53">
        <f t="shared" si="67"/>
        <v>1</v>
      </c>
      <c r="H387" s="966"/>
      <c r="I387" s="53">
        <f t="shared" si="68"/>
        <v>1</v>
      </c>
      <c r="J387" s="966"/>
      <c r="K387" s="53">
        <f t="shared" si="69"/>
        <v>1</v>
      </c>
      <c r="L387" s="966"/>
      <c r="M387" s="53">
        <f t="shared" si="70"/>
        <v>1</v>
      </c>
      <c r="N387" s="966"/>
      <c r="O387" s="53">
        <f t="shared" si="71"/>
        <v>1</v>
      </c>
      <c r="P387" s="966"/>
      <c r="Q387" s="53">
        <f t="shared" si="72"/>
        <v>1</v>
      </c>
      <c r="R387" s="493">
        <f t="shared" si="73"/>
        <v>0</v>
      </c>
      <c r="S387" s="802">
        <f t="shared" si="74"/>
        <v>0</v>
      </c>
    </row>
    <row r="388" spans="1:19">
      <c r="A388" s="968"/>
      <c r="B388" s="137"/>
      <c r="C388" s="53">
        <f t="shared" si="65"/>
        <v>1</v>
      </c>
      <c r="D388" s="966"/>
      <c r="E388" s="53">
        <f t="shared" si="66"/>
        <v>0.02</v>
      </c>
      <c r="F388" s="966"/>
      <c r="G388" s="53">
        <f t="shared" si="67"/>
        <v>1</v>
      </c>
      <c r="H388" s="966"/>
      <c r="I388" s="53">
        <f t="shared" si="68"/>
        <v>1</v>
      </c>
      <c r="J388" s="966"/>
      <c r="K388" s="53">
        <f t="shared" si="69"/>
        <v>1</v>
      </c>
      <c r="L388" s="966"/>
      <c r="M388" s="53">
        <f t="shared" si="70"/>
        <v>1</v>
      </c>
      <c r="N388" s="966"/>
      <c r="O388" s="53">
        <f t="shared" si="71"/>
        <v>1</v>
      </c>
      <c r="P388" s="966"/>
      <c r="Q388" s="53">
        <f t="shared" si="72"/>
        <v>1</v>
      </c>
      <c r="R388" s="493">
        <f t="shared" si="73"/>
        <v>0</v>
      </c>
      <c r="S388" s="802">
        <f t="shared" si="74"/>
        <v>0</v>
      </c>
    </row>
    <row r="389" spans="1:19">
      <c r="A389" s="968"/>
      <c r="B389" s="137"/>
      <c r="C389" s="53">
        <f t="shared" si="65"/>
        <v>1</v>
      </c>
      <c r="D389" s="966"/>
      <c r="E389" s="53">
        <f t="shared" si="66"/>
        <v>0.02</v>
      </c>
      <c r="F389" s="966"/>
      <c r="G389" s="53">
        <f t="shared" si="67"/>
        <v>1</v>
      </c>
      <c r="H389" s="966"/>
      <c r="I389" s="53">
        <f t="shared" si="68"/>
        <v>1</v>
      </c>
      <c r="J389" s="966"/>
      <c r="K389" s="53">
        <f t="shared" si="69"/>
        <v>1</v>
      </c>
      <c r="L389" s="966"/>
      <c r="M389" s="53">
        <f t="shared" si="70"/>
        <v>1</v>
      </c>
      <c r="N389" s="966"/>
      <c r="O389" s="53">
        <f t="shared" si="71"/>
        <v>1</v>
      </c>
      <c r="P389" s="966"/>
      <c r="Q389" s="53">
        <f t="shared" si="72"/>
        <v>1</v>
      </c>
      <c r="R389" s="493">
        <f t="shared" si="73"/>
        <v>0</v>
      </c>
      <c r="S389" s="802">
        <f t="shared" si="74"/>
        <v>0</v>
      </c>
    </row>
    <row r="390" spans="1:19">
      <c r="A390" s="968"/>
      <c r="B390" s="137"/>
      <c r="C390" s="53">
        <f t="shared" si="65"/>
        <v>1</v>
      </c>
      <c r="D390" s="966"/>
      <c r="E390" s="53">
        <f t="shared" si="66"/>
        <v>0.02</v>
      </c>
      <c r="F390" s="966"/>
      <c r="G390" s="53">
        <f t="shared" si="67"/>
        <v>1</v>
      </c>
      <c r="H390" s="966"/>
      <c r="I390" s="53">
        <f t="shared" si="68"/>
        <v>1</v>
      </c>
      <c r="J390" s="966"/>
      <c r="K390" s="53">
        <f t="shared" si="69"/>
        <v>1</v>
      </c>
      <c r="L390" s="966"/>
      <c r="M390" s="53">
        <f t="shared" si="70"/>
        <v>1</v>
      </c>
      <c r="N390" s="966"/>
      <c r="O390" s="53">
        <f t="shared" si="71"/>
        <v>1</v>
      </c>
      <c r="P390" s="966"/>
      <c r="Q390" s="53">
        <f t="shared" si="72"/>
        <v>1</v>
      </c>
      <c r="R390" s="493">
        <f t="shared" si="73"/>
        <v>0</v>
      </c>
      <c r="S390" s="802">
        <f t="shared" si="74"/>
        <v>0</v>
      </c>
    </row>
    <row r="391" spans="1:19">
      <c r="A391" s="968"/>
      <c r="B391" s="137"/>
      <c r="C391" s="53">
        <f t="shared" si="65"/>
        <v>1</v>
      </c>
      <c r="D391" s="966"/>
      <c r="E391" s="53">
        <f t="shared" si="66"/>
        <v>0.02</v>
      </c>
      <c r="F391" s="966"/>
      <c r="G391" s="53">
        <f t="shared" si="67"/>
        <v>1</v>
      </c>
      <c r="H391" s="966"/>
      <c r="I391" s="53">
        <f t="shared" si="68"/>
        <v>1</v>
      </c>
      <c r="J391" s="966"/>
      <c r="K391" s="53">
        <f t="shared" si="69"/>
        <v>1</v>
      </c>
      <c r="L391" s="966"/>
      <c r="M391" s="53">
        <f t="shared" si="70"/>
        <v>1</v>
      </c>
      <c r="N391" s="966"/>
      <c r="O391" s="53">
        <f t="shared" si="71"/>
        <v>1</v>
      </c>
      <c r="P391" s="966"/>
      <c r="Q391" s="53">
        <f t="shared" si="72"/>
        <v>1</v>
      </c>
      <c r="R391" s="493">
        <f t="shared" si="73"/>
        <v>0</v>
      </c>
      <c r="S391" s="802">
        <f t="shared" si="74"/>
        <v>0</v>
      </c>
    </row>
    <row r="392" spans="1:19">
      <c r="A392" s="968"/>
      <c r="B392" s="137"/>
      <c r="C392" s="53">
        <f t="shared" si="65"/>
        <v>1</v>
      </c>
      <c r="D392" s="966"/>
      <c r="E392" s="53">
        <f t="shared" si="66"/>
        <v>0.02</v>
      </c>
      <c r="F392" s="966"/>
      <c r="G392" s="53">
        <f t="shared" si="67"/>
        <v>1</v>
      </c>
      <c r="H392" s="966"/>
      <c r="I392" s="53">
        <f t="shared" si="68"/>
        <v>1</v>
      </c>
      <c r="J392" s="966"/>
      <c r="K392" s="53">
        <f t="shared" si="69"/>
        <v>1</v>
      </c>
      <c r="L392" s="966"/>
      <c r="M392" s="53">
        <f t="shared" si="70"/>
        <v>1</v>
      </c>
      <c r="N392" s="966"/>
      <c r="O392" s="53">
        <f t="shared" si="71"/>
        <v>1</v>
      </c>
      <c r="P392" s="966"/>
      <c r="Q392" s="53">
        <f t="shared" si="72"/>
        <v>1</v>
      </c>
      <c r="R392" s="493">
        <f t="shared" si="73"/>
        <v>0</v>
      </c>
      <c r="S392" s="802">
        <f t="shared" si="74"/>
        <v>0</v>
      </c>
    </row>
    <row r="393" spans="1:19">
      <c r="A393" s="968"/>
      <c r="B393" s="137"/>
      <c r="C393" s="53">
        <f t="shared" si="65"/>
        <v>1</v>
      </c>
      <c r="D393" s="966"/>
      <c r="E393" s="53">
        <f t="shared" si="66"/>
        <v>0.02</v>
      </c>
      <c r="F393" s="966"/>
      <c r="G393" s="53">
        <f t="shared" si="67"/>
        <v>1</v>
      </c>
      <c r="H393" s="966"/>
      <c r="I393" s="53">
        <f t="shared" si="68"/>
        <v>1</v>
      </c>
      <c r="J393" s="966"/>
      <c r="K393" s="53">
        <f t="shared" si="69"/>
        <v>1</v>
      </c>
      <c r="L393" s="966"/>
      <c r="M393" s="53">
        <f t="shared" si="70"/>
        <v>1</v>
      </c>
      <c r="N393" s="966"/>
      <c r="O393" s="53">
        <f t="shared" si="71"/>
        <v>1</v>
      </c>
      <c r="P393" s="966"/>
      <c r="Q393" s="53">
        <f t="shared" si="72"/>
        <v>1</v>
      </c>
      <c r="R393" s="493">
        <f t="shared" si="73"/>
        <v>0</v>
      </c>
      <c r="S393" s="802">
        <f t="shared" si="74"/>
        <v>0</v>
      </c>
    </row>
    <row r="394" spans="1:19">
      <c r="A394" s="968"/>
      <c r="B394" s="137"/>
      <c r="C394" s="53">
        <f t="shared" si="65"/>
        <v>1</v>
      </c>
      <c r="D394" s="966"/>
      <c r="E394" s="53">
        <f t="shared" si="66"/>
        <v>0.02</v>
      </c>
      <c r="F394" s="966"/>
      <c r="G394" s="53">
        <f t="shared" si="67"/>
        <v>1</v>
      </c>
      <c r="H394" s="966"/>
      <c r="I394" s="53">
        <f t="shared" si="68"/>
        <v>1</v>
      </c>
      <c r="J394" s="966"/>
      <c r="K394" s="53">
        <f t="shared" si="69"/>
        <v>1</v>
      </c>
      <c r="L394" s="966"/>
      <c r="M394" s="53">
        <f t="shared" si="70"/>
        <v>1</v>
      </c>
      <c r="N394" s="966"/>
      <c r="O394" s="53">
        <f t="shared" si="71"/>
        <v>1</v>
      </c>
      <c r="P394" s="966"/>
      <c r="Q394" s="53">
        <f t="shared" si="72"/>
        <v>1</v>
      </c>
      <c r="R394" s="493">
        <f t="shared" si="73"/>
        <v>0</v>
      </c>
      <c r="S394" s="802">
        <f t="shared" si="74"/>
        <v>0</v>
      </c>
    </row>
    <row r="395" spans="1:19">
      <c r="A395" s="968"/>
      <c r="B395" s="137"/>
      <c r="C395" s="53">
        <f t="shared" si="65"/>
        <v>1</v>
      </c>
      <c r="D395" s="966"/>
      <c r="E395" s="53">
        <f t="shared" si="66"/>
        <v>0.02</v>
      </c>
      <c r="F395" s="966"/>
      <c r="G395" s="53">
        <f t="shared" si="67"/>
        <v>1</v>
      </c>
      <c r="H395" s="966"/>
      <c r="I395" s="53">
        <f t="shared" si="68"/>
        <v>1</v>
      </c>
      <c r="J395" s="966"/>
      <c r="K395" s="53">
        <f t="shared" si="69"/>
        <v>1</v>
      </c>
      <c r="L395" s="966"/>
      <c r="M395" s="53">
        <f t="shared" si="70"/>
        <v>1</v>
      </c>
      <c r="N395" s="966"/>
      <c r="O395" s="53">
        <f t="shared" si="71"/>
        <v>1</v>
      </c>
      <c r="P395" s="966"/>
      <c r="Q395" s="53">
        <f t="shared" si="72"/>
        <v>1</v>
      </c>
      <c r="R395" s="493">
        <f t="shared" si="73"/>
        <v>0</v>
      </c>
      <c r="S395" s="802">
        <f t="shared" si="74"/>
        <v>0</v>
      </c>
    </row>
    <row r="396" spans="1:19">
      <c r="A396" s="968"/>
      <c r="B396" s="137"/>
      <c r="C396" s="53">
        <f t="shared" si="65"/>
        <v>1</v>
      </c>
      <c r="D396" s="966"/>
      <c r="E396" s="53">
        <f t="shared" si="66"/>
        <v>0.02</v>
      </c>
      <c r="F396" s="966"/>
      <c r="G396" s="53">
        <f t="shared" si="67"/>
        <v>1</v>
      </c>
      <c r="H396" s="966"/>
      <c r="I396" s="53">
        <f t="shared" si="68"/>
        <v>1</v>
      </c>
      <c r="J396" s="966"/>
      <c r="K396" s="53">
        <f t="shared" si="69"/>
        <v>1</v>
      </c>
      <c r="L396" s="966"/>
      <c r="M396" s="53">
        <f t="shared" si="70"/>
        <v>1</v>
      </c>
      <c r="N396" s="966"/>
      <c r="O396" s="53">
        <f t="shared" si="71"/>
        <v>1</v>
      </c>
      <c r="P396" s="966"/>
      <c r="Q396" s="53">
        <f t="shared" si="72"/>
        <v>1</v>
      </c>
      <c r="R396" s="493">
        <f t="shared" si="73"/>
        <v>0</v>
      </c>
      <c r="S396" s="802">
        <f t="shared" si="74"/>
        <v>0</v>
      </c>
    </row>
    <row r="397" spans="1:19">
      <c r="A397" s="968"/>
      <c r="B397" s="137"/>
      <c r="C397" s="53">
        <f t="shared" si="65"/>
        <v>1</v>
      </c>
      <c r="D397" s="966"/>
      <c r="E397" s="53">
        <f t="shared" si="66"/>
        <v>0.02</v>
      </c>
      <c r="F397" s="966"/>
      <c r="G397" s="53">
        <f t="shared" si="67"/>
        <v>1</v>
      </c>
      <c r="H397" s="966"/>
      <c r="I397" s="53">
        <f t="shared" si="68"/>
        <v>1</v>
      </c>
      <c r="J397" s="966"/>
      <c r="K397" s="53">
        <f t="shared" si="69"/>
        <v>1</v>
      </c>
      <c r="L397" s="966"/>
      <c r="M397" s="53">
        <f t="shared" si="70"/>
        <v>1</v>
      </c>
      <c r="N397" s="966"/>
      <c r="O397" s="53">
        <f t="shared" si="71"/>
        <v>1</v>
      </c>
      <c r="P397" s="966"/>
      <c r="Q397" s="53">
        <f t="shared" si="72"/>
        <v>1</v>
      </c>
      <c r="R397" s="493">
        <f t="shared" si="73"/>
        <v>0</v>
      </c>
      <c r="S397" s="802">
        <f t="shared" si="74"/>
        <v>0</v>
      </c>
    </row>
    <row r="398" spans="1:19">
      <c r="A398" s="968"/>
      <c r="B398" s="137"/>
      <c r="C398" s="53">
        <f t="shared" si="65"/>
        <v>1</v>
      </c>
      <c r="D398" s="966"/>
      <c r="E398" s="53">
        <f t="shared" si="66"/>
        <v>0.02</v>
      </c>
      <c r="F398" s="966"/>
      <c r="G398" s="53">
        <f t="shared" si="67"/>
        <v>1</v>
      </c>
      <c r="H398" s="966"/>
      <c r="I398" s="53">
        <f t="shared" si="68"/>
        <v>1</v>
      </c>
      <c r="J398" s="966"/>
      <c r="K398" s="53">
        <f t="shared" si="69"/>
        <v>1</v>
      </c>
      <c r="L398" s="966"/>
      <c r="M398" s="53">
        <f t="shared" si="70"/>
        <v>1</v>
      </c>
      <c r="N398" s="966"/>
      <c r="O398" s="53">
        <f t="shared" si="71"/>
        <v>1</v>
      </c>
      <c r="P398" s="966"/>
      <c r="Q398" s="53">
        <f t="shared" si="72"/>
        <v>1</v>
      </c>
      <c r="R398" s="493">
        <f t="shared" si="73"/>
        <v>0</v>
      </c>
      <c r="S398" s="802">
        <f t="shared" si="74"/>
        <v>0</v>
      </c>
    </row>
    <row r="399" spans="1:19">
      <c r="A399" s="968"/>
      <c r="B399" s="137"/>
      <c r="C399" s="53">
        <f t="shared" si="65"/>
        <v>1</v>
      </c>
      <c r="D399" s="966"/>
      <c r="E399" s="53">
        <f t="shared" si="66"/>
        <v>0.02</v>
      </c>
      <c r="F399" s="966"/>
      <c r="G399" s="53">
        <f t="shared" si="67"/>
        <v>1</v>
      </c>
      <c r="H399" s="966"/>
      <c r="I399" s="53">
        <f t="shared" si="68"/>
        <v>1</v>
      </c>
      <c r="J399" s="966"/>
      <c r="K399" s="53">
        <f t="shared" si="69"/>
        <v>1</v>
      </c>
      <c r="L399" s="966"/>
      <c r="M399" s="53">
        <f t="shared" si="70"/>
        <v>1</v>
      </c>
      <c r="N399" s="966"/>
      <c r="O399" s="53">
        <f t="shared" si="71"/>
        <v>1</v>
      </c>
      <c r="P399" s="966"/>
      <c r="Q399" s="53">
        <f t="shared" si="72"/>
        <v>1</v>
      </c>
      <c r="R399" s="493">
        <f t="shared" si="73"/>
        <v>0</v>
      </c>
      <c r="S399" s="802">
        <f t="shared" si="74"/>
        <v>0</v>
      </c>
    </row>
    <row r="400" spans="1:19">
      <c r="A400" s="968"/>
      <c r="B400" s="137"/>
      <c r="C400" s="53">
        <f t="shared" si="65"/>
        <v>1</v>
      </c>
      <c r="D400" s="966"/>
      <c r="E400" s="53">
        <f t="shared" si="66"/>
        <v>0.02</v>
      </c>
      <c r="F400" s="966"/>
      <c r="G400" s="53">
        <f t="shared" si="67"/>
        <v>1</v>
      </c>
      <c r="H400" s="966"/>
      <c r="I400" s="53">
        <f t="shared" si="68"/>
        <v>1</v>
      </c>
      <c r="J400" s="966"/>
      <c r="K400" s="53">
        <f t="shared" si="69"/>
        <v>1</v>
      </c>
      <c r="L400" s="966"/>
      <c r="M400" s="53">
        <f t="shared" si="70"/>
        <v>1</v>
      </c>
      <c r="N400" s="966"/>
      <c r="O400" s="53">
        <f t="shared" si="71"/>
        <v>1</v>
      </c>
      <c r="P400" s="966"/>
      <c r="Q400" s="53">
        <f t="shared" si="72"/>
        <v>1</v>
      </c>
      <c r="R400" s="493">
        <f t="shared" si="73"/>
        <v>0</v>
      </c>
      <c r="S400" s="802">
        <f t="shared" si="74"/>
        <v>0</v>
      </c>
    </row>
    <row r="401" spans="1:19">
      <c r="A401" s="968"/>
      <c r="B401" s="137"/>
      <c r="C401" s="53">
        <f t="shared" si="65"/>
        <v>1</v>
      </c>
      <c r="D401" s="966"/>
      <c r="E401" s="53">
        <f t="shared" si="66"/>
        <v>0.02</v>
      </c>
      <c r="F401" s="966"/>
      <c r="G401" s="53">
        <f t="shared" si="67"/>
        <v>1</v>
      </c>
      <c r="H401" s="966"/>
      <c r="I401" s="53">
        <f t="shared" si="68"/>
        <v>1</v>
      </c>
      <c r="J401" s="966"/>
      <c r="K401" s="53">
        <f t="shared" si="69"/>
        <v>1</v>
      </c>
      <c r="L401" s="966"/>
      <c r="M401" s="53">
        <f t="shared" si="70"/>
        <v>1</v>
      </c>
      <c r="N401" s="966"/>
      <c r="O401" s="53">
        <f t="shared" si="71"/>
        <v>1</v>
      </c>
      <c r="P401" s="966"/>
      <c r="Q401" s="53">
        <f t="shared" si="72"/>
        <v>1</v>
      </c>
      <c r="R401" s="493">
        <f t="shared" si="73"/>
        <v>0</v>
      </c>
      <c r="S401" s="802">
        <f t="shared" si="74"/>
        <v>0</v>
      </c>
    </row>
    <row r="402" spans="1:19">
      <c r="A402" s="968"/>
      <c r="B402" s="137"/>
      <c r="C402" s="53">
        <f t="shared" si="65"/>
        <v>1</v>
      </c>
      <c r="D402" s="966"/>
      <c r="E402" s="53">
        <f t="shared" si="66"/>
        <v>0.02</v>
      </c>
      <c r="F402" s="966"/>
      <c r="G402" s="53">
        <f t="shared" si="67"/>
        <v>1</v>
      </c>
      <c r="H402" s="966"/>
      <c r="I402" s="53">
        <f t="shared" si="68"/>
        <v>1</v>
      </c>
      <c r="J402" s="966"/>
      <c r="K402" s="53">
        <f t="shared" si="69"/>
        <v>1</v>
      </c>
      <c r="L402" s="966"/>
      <c r="M402" s="53">
        <f t="shared" si="70"/>
        <v>1</v>
      </c>
      <c r="N402" s="966"/>
      <c r="O402" s="53">
        <f t="shared" si="71"/>
        <v>1</v>
      </c>
      <c r="P402" s="966"/>
      <c r="Q402" s="53">
        <f t="shared" si="72"/>
        <v>1</v>
      </c>
      <c r="R402" s="493">
        <f t="shared" si="73"/>
        <v>0</v>
      </c>
      <c r="S402" s="802">
        <f t="shared" si="74"/>
        <v>0</v>
      </c>
    </row>
    <row r="403" spans="1:19">
      <c r="A403" s="968"/>
      <c r="B403" s="137"/>
      <c r="C403" s="53">
        <f t="shared" si="65"/>
        <v>1</v>
      </c>
      <c r="D403" s="966"/>
      <c r="E403" s="53">
        <f t="shared" si="66"/>
        <v>0.02</v>
      </c>
      <c r="F403" s="966"/>
      <c r="G403" s="53">
        <f t="shared" si="67"/>
        <v>1</v>
      </c>
      <c r="H403" s="966"/>
      <c r="I403" s="53">
        <f t="shared" si="68"/>
        <v>1</v>
      </c>
      <c r="J403" s="966"/>
      <c r="K403" s="53">
        <f t="shared" si="69"/>
        <v>1</v>
      </c>
      <c r="L403" s="966"/>
      <c r="M403" s="53">
        <f t="shared" si="70"/>
        <v>1</v>
      </c>
      <c r="N403" s="966"/>
      <c r="O403" s="53">
        <f t="shared" si="71"/>
        <v>1</v>
      </c>
      <c r="P403" s="966"/>
      <c r="Q403" s="53">
        <f t="shared" si="72"/>
        <v>1</v>
      </c>
      <c r="R403" s="493">
        <f t="shared" si="73"/>
        <v>0</v>
      </c>
      <c r="S403" s="802">
        <f t="shared" si="74"/>
        <v>0</v>
      </c>
    </row>
    <row r="404" spans="1:19">
      <c r="A404" s="968"/>
      <c r="B404" s="137"/>
      <c r="C404" s="53">
        <f t="shared" si="65"/>
        <v>1</v>
      </c>
      <c r="D404" s="966"/>
      <c r="E404" s="53">
        <f t="shared" si="66"/>
        <v>0.02</v>
      </c>
      <c r="F404" s="966"/>
      <c r="G404" s="53">
        <f t="shared" si="67"/>
        <v>1</v>
      </c>
      <c r="H404" s="966"/>
      <c r="I404" s="53">
        <f t="shared" si="68"/>
        <v>1</v>
      </c>
      <c r="J404" s="966"/>
      <c r="K404" s="53">
        <f t="shared" si="69"/>
        <v>1</v>
      </c>
      <c r="L404" s="966"/>
      <c r="M404" s="53">
        <f t="shared" si="70"/>
        <v>1</v>
      </c>
      <c r="N404" s="966"/>
      <c r="O404" s="53">
        <f t="shared" si="71"/>
        <v>1</v>
      </c>
      <c r="P404" s="966"/>
      <c r="Q404" s="53">
        <f t="shared" si="72"/>
        <v>1</v>
      </c>
      <c r="R404" s="493">
        <f t="shared" si="73"/>
        <v>0</v>
      </c>
      <c r="S404" s="802">
        <f t="shared" si="74"/>
        <v>0</v>
      </c>
    </row>
    <row r="405" spans="1:19">
      <c r="A405" s="968"/>
      <c r="B405" s="137"/>
      <c r="C405" s="53">
        <f t="shared" si="65"/>
        <v>1</v>
      </c>
      <c r="D405" s="966"/>
      <c r="E405" s="53">
        <f t="shared" si="66"/>
        <v>0.02</v>
      </c>
      <c r="F405" s="966"/>
      <c r="G405" s="53">
        <f t="shared" si="67"/>
        <v>1</v>
      </c>
      <c r="H405" s="966"/>
      <c r="I405" s="53">
        <f t="shared" si="68"/>
        <v>1</v>
      </c>
      <c r="J405" s="966"/>
      <c r="K405" s="53">
        <f t="shared" si="69"/>
        <v>1</v>
      </c>
      <c r="L405" s="966"/>
      <c r="M405" s="53">
        <f t="shared" si="70"/>
        <v>1</v>
      </c>
      <c r="N405" s="966"/>
      <c r="O405" s="53">
        <f t="shared" si="71"/>
        <v>1</v>
      </c>
      <c r="P405" s="966"/>
      <c r="Q405" s="53">
        <f t="shared" si="72"/>
        <v>1</v>
      </c>
      <c r="R405" s="493">
        <f t="shared" si="73"/>
        <v>0</v>
      </c>
      <c r="S405" s="802">
        <f t="shared" si="74"/>
        <v>0</v>
      </c>
    </row>
    <row r="406" spans="1:19">
      <c r="A406" s="968"/>
      <c r="B406" s="137"/>
      <c r="C406" s="53">
        <f t="shared" si="65"/>
        <v>1</v>
      </c>
      <c r="D406" s="966"/>
      <c r="E406" s="53">
        <f t="shared" si="66"/>
        <v>0.02</v>
      </c>
      <c r="F406" s="966"/>
      <c r="G406" s="53">
        <f t="shared" si="67"/>
        <v>1</v>
      </c>
      <c r="H406" s="966"/>
      <c r="I406" s="53">
        <f t="shared" si="68"/>
        <v>1</v>
      </c>
      <c r="J406" s="966"/>
      <c r="K406" s="53">
        <f t="shared" si="69"/>
        <v>1</v>
      </c>
      <c r="L406" s="966"/>
      <c r="M406" s="53">
        <f t="shared" si="70"/>
        <v>1</v>
      </c>
      <c r="N406" s="966"/>
      <c r="O406" s="53">
        <f t="shared" si="71"/>
        <v>1</v>
      </c>
      <c r="P406" s="966"/>
      <c r="Q406" s="53">
        <f t="shared" si="72"/>
        <v>1</v>
      </c>
      <c r="R406" s="493">
        <f t="shared" si="73"/>
        <v>0</v>
      </c>
      <c r="S406" s="802">
        <f t="shared" si="74"/>
        <v>0</v>
      </c>
    </row>
    <row r="407" spans="1:19">
      <c r="A407" s="968"/>
      <c r="B407" s="137"/>
      <c r="C407" s="53">
        <f t="shared" si="65"/>
        <v>1</v>
      </c>
      <c r="D407" s="966"/>
      <c r="E407" s="53">
        <f t="shared" si="66"/>
        <v>0.02</v>
      </c>
      <c r="F407" s="966"/>
      <c r="G407" s="53">
        <f t="shared" si="67"/>
        <v>1</v>
      </c>
      <c r="H407" s="966"/>
      <c r="I407" s="53">
        <f t="shared" si="68"/>
        <v>1</v>
      </c>
      <c r="J407" s="966"/>
      <c r="K407" s="53">
        <f t="shared" si="69"/>
        <v>1</v>
      </c>
      <c r="L407" s="966"/>
      <c r="M407" s="53">
        <f t="shared" si="70"/>
        <v>1</v>
      </c>
      <c r="N407" s="966"/>
      <c r="O407" s="53">
        <f t="shared" si="71"/>
        <v>1</v>
      </c>
      <c r="P407" s="966"/>
      <c r="Q407" s="53">
        <f t="shared" si="72"/>
        <v>1</v>
      </c>
      <c r="R407" s="493">
        <f t="shared" si="73"/>
        <v>0</v>
      </c>
      <c r="S407" s="802">
        <f t="shared" si="74"/>
        <v>0</v>
      </c>
    </row>
    <row r="408" spans="1:19">
      <c r="A408" s="968"/>
      <c r="B408" s="137"/>
      <c r="C408" s="53">
        <f t="shared" si="65"/>
        <v>1</v>
      </c>
      <c r="D408" s="966"/>
      <c r="E408" s="53">
        <f t="shared" si="66"/>
        <v>0.02</v>
      </c>
      <c r="F408" s="966"/>
      <c r="G408" s="53">
        <f t="shared" si="67"/>
        <v>1</v>
      </c>
      <c r="H408" s="966"/>
      <c r="I408" s="53">
        <f t="shared" si="68"/>
        <v>1</v>
      </c>
      <c r="J408" s="966"/>
      <c r="K408" s="53">
        <f t="shared" si="69"/>
        <v>1</v>
      </c>
      <c r="L408" s="966"/>
      <c r="M408" s="53">
        <f t="shared" si="70"/>
        <v>1</v>
      </c>
      <c r="N408" s="966"/>
      <c r="O408" s="53">
        <f t="shared" si="71"/>
        <v>1</v>
      </c>
      <c r="P408" s="966"/>
      <c r="Q408" s="53">
        <f t="shared" si="72"/>
        <v>1</v>
      </c>
      <c r="R408" s="493">
        <f t="shared" si="73"/>
        <v>0</v>
      </c>
      <c r="S408" s="802">
        <f t="shared" si="74"/>
        <v>0</v>
      </c>
    </row>
    <row r="409" spans="1:19">
      <c r="A409" s="968"/>
      <c r="B409" s="137"/>
      <c r="C409" s="53">
        <f t="shared" si="65"/>
        <v>1</v>
      </c>
      <c r="D409" s="966"/>
      <c r="E409" s="53">
        <f t="shared" si="66"/>
        <v>0.02</v>
      </c>
      <c r="F409" s="966"/>
      <c r="G409" s="53">
        <f t="shared" si="67"/>
        <v>1</v>
      </c>
      <c r="H409" s="966"/>
      <c r="I409" s="53">
        <f t="shared" si="68"/>
        <v>1</v>
      </c>
      <c r="J409" s="966"/>
      <c r="K409" s="53">
        <f t="shared" si="69"/>
        <v>1</v>
      </c>
      <c r="L409" s="966"/>
      <c r="M409" s="53">
        <f t="shared" si="70"/>
        <v>1</v>
      </c>
      <c r="N409" s="966"/>
      <c r="O409" s="53">
        <f t="shared" si="71"/>
        <v>1</v>
      </c>
      <c r="P409" s="966"/>
      <c r="Q409" s="53">
        <f t="shared" si="72"/>
        <v>1</v>
      </c>
      <c r="R409" s="493">
        <f t="shared" si="73"/>
        <v>0</v>
      </c>
      <c r="S409" s="802">
        <f t="shared" si="74"/>
        <v>0</v>
      </c>
    </row>
    <row r="410" spans="1:19">
      <c r="A410" s="968"/>
      <c r="B410" s="137"/>
      <c r="C410" s="53">
        <f t="shared" ref="C410:C473" si="75">IF(B410="",1,(LOOKUP(B410,$3:$3,$4:$4)-LOOKUP($B$24,$3:$3,$4:$4)+100)/100)</f>
        <v>1</v>
      </c>
      <c r="D410" s="966"/>
      <c r="E410" s="53">
        <f t="shared" ref="E410:E473" si="76">(SUMIF($5:$5,D410,$6:$6)-SUMIF($5:$5,$D$24,$6:$6)+100)/100</f>
        <v>0.02</v>
      </c>
      <c r="F410" s="966"/>
      <c r="G410" s="53">
        <f t="shared" ref="G410:G473" si="77">(SUMIF($7:$7,F410,$8:$8)-SUMIF($7:$7,$F$24,$8:$8)+100)/100</f>
        <v>1</v>
      </c>
      <c r="H410" s="966"/>
      <c r="I410" s="53">
        <f t="shared" ref="I410:I473" si="78">(SUMIF($9:$9,H410,$10:$10)-SUMIF($9:$9,$H$24,$10:$10)+100)/100</f>
        <v>1</v>
      </c>
      <c r="J410" s="966"/>
      <c r="K410" s="53">
        <f t="shared" ref="K410:K473" si="79">(SUMIF($11:$11,J410,$12:$12)-SUMIF($11:$11,$J$24,$12:$12)+100)/100</f>
        <v>1</v>
      </c>
      <c r="L410" s="966"/>
      <c r="M410" s="53">
        <f t="shared" ref="M410:M473" si="80">(SUMIF($13:$13,L410,$14:$14)-SUMIF($13:$13,$L$24,$14:$14)+100)/100</f>
        <v>1</v>
      </c>
      <c r="N410" s="966"/>
      <c r="O410" s="53">
        <f t="shared" ref="O410:O473" si="81">(SUMIF($15:$15,N410,$16:$16)-SUMIF($15:$15,$N$24,$16:$16)+100)/100</f>
        <v>1</v>
      </c>
      <c r="P410" s="966"/>
      <c r="Q410" s="53">
        <f t="shared" ref="Q410:Q473" si="82">(SUMIF($17:$17,P410,$18:$18)-SUMIF($17:$17,$P$24,$18:$18)+100)/100</f>
        <v>1</v>
      </c>
      <c r="R410" s="493">
        <f t="shared" ref="R410:R473" si="83">IF(B410="",0,ROUND($R$24*C410*E410*G410*I410*K410*M410*O410*Q410,0))</f>
        <v>0</v>
      </c>
      <c r="S410" s="802">
        <f t="shared" si="74"/>
        <v>0</v>
      </c>
    </row>
    <row r="411" spans="1:19">
      <c r="A411" s="968"/>
      <c r="B411" s="137"/>
      <c r="C411" s="53">
        <f t="shared" si="75"/>
        <v>1</v>
      </c>
      <c r="D411" s="966"/>
      <c r="E411" s="53">
        <f t="shared" si="76"/>
        <v>0.02</v>
      </c>
      <c r="F411" s="966"/>
      <c r="G411" s="53">
        <f t="shared" si="77"/>
        <v>1</v>
      </c>
      <c r="H411" s="966"/>
      <c r="I411" s="53">
        <f t="shared" si="78"/>
        <v>1</v>
      </c>
      <c r="J411" s="966"/>
      <c r="K411" s="53">
        <f t="shared" si="79"/>
        <v>1</v>
      </c>
      <c r="L411" s="966"/>
      <c r="M411" s="53">
        <f t="shared" si="80"/>
        <v>1</v>
      </c>
      <c r="N411" s="966"/>
      <c r="O411" s="53">
        <f t="shared" si="81"/>
        <v>1</v>
      </c>
      <c r="P411" s="966"/>
      <c r="Q411" s="53">
        <f t="shared" si="82"/>
        <v>1</v>
      </c>
      <c r="R411" s="493">
        <f t="shared" si="83"/>
        <v>0</v>
      </c>
      <c r="S411" s="802">
        <f t="shared" si="74"/>
        <v>0</v>
      </c>
    </row>
    <row r="412" spans="1:19">
      <c r="A412" s="968"/>
      <c r="B412" s="137"/>
      <c r="C412" s="53">
        <f t="shared" si="75"/>
        <v>1</v>
      </c>
      <c r="D412" s="966"/>
      <c r="E412" s="53">
        <f t="shared" si="76"/>
        <v>0.02</v>
      </c>
      <c r="F412" s="966"/>
      <c r="G412" s="53">
        <f t="shared" si="77"/>
        <v>1</v>
      </c>
      <c r="H412" s="966"/>
      <c r="I412" s="53">
        <f t="shared" si="78"/>
        <v>1</v>
      </c>
      <c r="J412" s="966"/>
      <c r="K412" s="53">
        <f t="shared" si="79"/>
        <v>1</v>
      </c>
      <c r="L412" s="966"/>
      <c r="M412" s="53">
        <f t="shared" si="80"/>
        <v>1</v>
      </c>
      <c r="N412" s="966"/>
      <c r="O412" s="53">
        <f t="shared" si="81"/>
        <v>1</v>
      </c>
      <c r="P412" s="966"/>
      <c r="Q412" s="53">
        <f t="shared" si="82"/>
        <v>1</v>
      </c>
      <c r="R412" s="493">
        <f t="shared" si="83"/>
        <v>0</v>
      </c>
      <c r="S412" s="802">
        <f t="shared" si="74"/>
        <v>0</v>
      </c>
    </row>
    <row r="413" spans="1:19">
      <c r="A413" s="968"/>
      <c r="B413" s="137"/>
      <c r="C413" s="53">
        <f t="shared" si="75"/>
        <v>1</v>
      </c>
      <c r="D413" s="966"/>
      <c r="E413" s="53">
        <f t="shared" si="76"/>
        <v>0.02</v>
      </c>
      <c r="F413" s="966"/>
      <c r="G413" s="53">
        <f t="shared" si="77"/>
        <v>1</v>
      </c>
      <c r="H413" s="966"/>
      <c r="I413" s="53">
        <f t="shared" si="78"/>
        <v>1</v>
      </c>
      <c r="J413" s="966"/>
      <c r="K413" s="53">
        <f t="shared" si="79"/>
        <v>1</v>
      </c>
      <c r="L413" s="966"/>
      <c r="M413" s="53">
        <f t="shared" si="80"/>
        <v>1</v>
      </c>
      <c r="N413" s="966"/>
      <c r="O413" s="53">
        <f t="shared" si="81"/>
        <v>1</v>
      </c>
      <c r="P413" s="966"/>
      <c r="Q413" s="53">
        <f t="shared" si="82"/>
        <v>1</v>
      </c>
      <c r="R413" s="493">
        <f t="shared" si="83"/>
        <v>0</v>
      </c>
      <c r="S413" s="802">
        <f t="shared" si="74"/>
        <v>0</v>
      </c>
    </row>
    <row r="414" spans="1:19">
      <c r="A414" s="968"/>
      <c r="B414" s="137"/>
      <c r="C414" s="53">
        <f t="shared" si="75"/>
        <v>1</v>
      </c>
      <c r="D414" s="966"/>
      <c r="E414" s="53">
        <f t="shared" si="76"/>
        <v>0.02</v>
      </c>
      <c r="F414" s="966"/>
      <c r="G414" s="53">
        <f t="shared" si="77"/>
        <v>1</v>
      </c>
      <c r="H414" s="966"/>
      <c r="I414" s="53">
        <f t="shared" si="78"/>
        <v>1</v>
      </c>
      <c r="J414" s="966"/>
      <c r="K414" s="53">
        <f t="shared" si="79"/>
        <v>1</v>
      </c>
      <c r="L414" s="966"/>
      <c r="M414" s="53">
        <f t="shared" si="80"/>
        <v>1</v>
      </c>
      <c r="N414" s="966"/>
      <c r="O414" s="53">
        <f t="shared" si="81"/>
        <v>1</v>
      </c>
      <c r="P414" s="966"/>
      <c r="Q414" s="53">
        <f t="shared" si="82"/>
        <v>1</v>
      </c>
      <c r="R414" s="493">
        <f t="shared" si="83"/>
        <v>0</v>
      </c>
      <c r="S414" s="802">
        <f t="shared" si="74"/>
        <v>0</v>
      </c>
    </row>
    <row r="415" spans="1:19">
      <c r="A415" s="968"/>
      <c r="B415" s="137"/>
      <c r="C415" s="53">
        <f t="shared" si="75"/>
        <v>1</v>
      </c>
      <c r="D415" s="966"/>
      <c r="E415" s="53">
        <f t="shared" si="76"/>
        <v>0.02</v>
      </c>
      <c r="F415" s="966"/>
      <c r="G415" s="53">
        <f t="shared" si="77"/>
        <v>1</v>
      </c>
      <c r="H415" s="966"/>
      <c r="I415" s="53">
        <f t="shared" si="78"/>
        <v>1</v>
      </c>
      <c r="J415" s="966"/>
      <c r="K415" s="53">
        <f t="shared" si="79"/>
        <v>1</v>
      </c>
      <c r="L415" s="966"/>
      <c r="M415" s="53">
        <f t="shared" si="80"/>
        <v>1</v>
      </c>
      <c r="N415" s="966"/>
      <c r="O415" s="53">
        <f t="shared" si="81"/>
        <v>1</v>
      </c>
      <c r="P415" s="966"/>
      <c r="Q415" s="53">
        <f t="shared" si="82"/>
        <v>1</v>
      </c>
      <c r="R415" s="493">
        <f t="shared" si="83"/>
        <v>0</v>
      </c>
      <c r="S415" s="802">
        <f t="shared" si="74"/>
        <v>0</v>
      </c>
    </row>
    <row r="416" spans="1:19">
      <c r="A416" s="968"/>
      <c r="B416" s="137"/>
      <c r="C416" s="53">
        <f t="shared" si="75"/>
        <v>1</v>
      </c>
      <c r="D416" s="966"/>
      <c r="E416" s="53">
        <f t="shared" si="76"/>
        <v>0.02</v>
      </c>
      <c r="F416" s="966"/>
      <c r="G416" s="53">
        <f t="shared" si="77"/>
        <v>1</v>
      </c>
      <c r="H416" s="966"/>
      <c r="I416" s="53">
        <f t="shared" si="78"/>
        <v>1</v>
      </c>
      <c r="J416" s="966"/>
      <c r="K416" s="53">
        <f t="shared" si="79"/>
        <v>1</v>
      </c>
      <c r="L416" s="966"/>
      <c r="M416" s="53">
        <f t="shared" si="80"/>
        <v>1</v>
      </c>
      <c r="N416" s="966"/>
      <c r="O416" s="53">
        <f t="shared" si="81"/>
        <v>1</v>
      </c>
      <c r="P416" s="966"/>
      <c r="Q416" s="53">
        <f t="shared" si="82"/>
        <v>1</v>
      </c>
      <c r="R416" s="493">
        <f t="shared" si="83"/>
        <v>0</v>
      </c>
      <c r="S416" s="802">
        <f t="shared" si="74"/>
        <v>0</v>
      </c>
    </row>
    <row r="417" spans="1:19">
      <c r="A417" s="968"/>
      <c r="B417" s="137"/>
      <c r="C417" s="53">
        <f t="shared" si="75"/>
        <v>1</v>
      </c>
      <c r="D417" s="966"/>
      <c r="E417" s="53">
        <f t="shared" si="76"/>
        <v>0.02</v>
      </c>
      <c r="F417" s="966"/>
      <c r="G417" s="53">
        <f t="shared" si="77"/>
        <v>1</v>
      </c>
      <c r="H417" s="966"/>
      <c r="I417" s="53">
        <f t="shared" si="78"/>
        <v>1</v>
      </c>
      <c r="J417" s="966"/>
      <c r="K417" s="53">
        <f t="shared" si="79"/>
        <v>1</v>
      </c>
      <c r="L417" s="966"/>
      <c r="M417" s="53">
        <f t="shared" si="80"/>
        <v>1</v>
      </c>
      <c r="N417" s="966"/>
      <c r="O417" s="53">
        <f t="shared" si="81"/>
        <v>1</v>
      </c>
      <c r="P417" s="966"/>
      <c r="Q417" s="53">
        <f t="shared" si="82"/>
        <v>1</v>
      </c>
      <c r="R417" s="493">
        <f t="shared" si="83"/>
        <v>0</v>
      </c>
      <c r="S417" s="802">
        <f t="shared" si="74"/>
        <v>0</v>
      </c>
    </row>
    <row r="418" spans="1:19">
      <c r="A418" s="968"/>
      <c r="B418" s="137"/>
      <c r="C418" s="53">
        <f t="shared" si="75"/>
        <v>1</v>
      </c>
      <c r="D418" s="966"/>
      <c r="E418" s="53">
        <f t="shared" si="76"/>
        <v>0.02</v>
      </c>
      <c r="F418" s="966"/>
      <c r="G418" s="53">
        <f t="shared" si="77"/>
        <v>1</v>
      </c>
      <c r="H418" s="966"/>
      <c r="I418" s="53">
        <f t="shared" si="78"/>
        <v>1</v>
      </c>
      <c r="J418" s="966"/>
      <c r="K418" s="53">
        <f t="shared" si="79"/>
        <v>1</v>
      </c>
      <c r="L418" s="966"/>
      <c r="M418" s="53">
        <f t="shared" si="80"/>
        <v>1</v>
      </c>
      <c r="N418" s="966"/>
      <c r="O418" s="53">
        <f t="shared" si="81"/>
        <v>1</v>
      </c>
      <c r="P418" s="966"/>
      <c r="Q418" s="53">
        <f t="shared" si="82"/>
        <v>1</v>
      </c>
      <c r="R418" s="493">
        <f t="shared" si="83"/>
        <v>0</v>
      </c>
      <c r="S418" s="802">
        <f t="shared" si="74"/>
        <v>0</v>
      </c>
    </row>
    <row r="419" spans="1:19">
      <c r="A419" s="968"/>
      <c r="B419" s="137"/>
      <c r="C419" s="53">
        <f t="shared" si="75"/>
        <v>1</v>
      </c>
      <c r="D419" s="966"/>
      <c r="E419" s="53">
        <f t="shared" si="76"/>
        <v>0.02</v>
      </c>
      <c r="F419" s="966"/>
      <c r="G419" s="53">
        <f t="shared" si="77"/>
        <v>1</v>
      </c>
      <c r="H419" s="966"/>
      <c r="I419" s="53">
        <f t="shared" si="78"/>
        <v>1</v>
      </c>
      <c r="J419" s="966"/>
      <c r="K419" s="53">
        <f t="shared" si="79"/>
        <v>1</v>
      </c>
      <c r="L419" s="966"/>
      <c r="M419" s="53">
        <f t="shared" si="80"/>
        <v>1</v>
      </c>
      <c r="N419" s="966"/>
      <c r="O419" s="53">
        <f t="shared" si="81"/>
        <v>1</v>
      </c>
      <c r="P419" s="966"/>
      <c r="Q419" s="53">
        <f t="shared" si="82"/>
        <v>1</v>
      </c>
      <c r="R419" s="493">
        <f t="shared" si="83"/>
        <v>0</v>
      </c>
      <c r="S419" s="802">
        <f t="shared" si="74"/>
        <v>0</v>
      </c>
    </row>
    <row r="420" spans="1:19">
      <c r="A420" s="968"/>
      <c r="B420" s="137"/>
      <c r="C420" s="53">
        <f t="shared" si="75"/>
        <v>1</v>
      </c>
      <c r="D420" s="966"/>
      <c r="E420" s="53">
        <f t="shared" si="76"/>
        <v>0.02</v>
      </c>
      <c r="F420" s="966"/>
      <c r="G420" s="53">
        <f t="shared" si="77"/>
        <v>1</v>
      </c>
      <c r="H420" s="966"/>
      <c r="I420" s="53">
        <f t="shared" si="78"/>
        <v>1</v>
      </c>
      <c r="J420" s="966"/>
      <c r="K420" s="53">
        <f t="shared" si="79"/>
        <v>1</v>
      </c>
      <c r="L420" s="966"/>
      <c r="M420" s="53">
        <f t="shared" si="80"/>
        <v>1</v>
      </c>
      <c r="N420" s="966"/>
      <c r="O420" s="53">
        <f t="shared" si="81"/>
        <v>1</v>
      </c>
      <c r="P420" s="966"/>
      <c r="Q420" s="53">
        <f t="shared" si="82"/>
        <v>1</v>
      </c>
      <c r="R420" s="493">
        <f t="shared" si="83"/>
        <v>0</v>
      </c>
      <c r="S420" s="802">
        <f t="shared" si="74"/>
        <v>0</v>
      </c>
    </row>
    <row r="421" spans="1:19">
      <c r="A421" s="968"/>
      <c r="B421" s="137"/>
      <c r="C421" s="53">
        <f t="shared" si="75"/>
        <v>1</v>
      </c>
      <c r="D421" s="966"/>
      <c r="E421" s="53">
        <f t="shared" si="76"/>
        <v>0.02</v>
      </c>
      <c r="F421" s="966"/>
      <c r="G421" s="53">
        <f t="shared" si="77"/>
        <v>1</v>
      </c>
      <c r="H421" s="966"/>
      <c r="I421" s="53">
        <f t="shared" si="78"/>
        <v>1</v>
      </c>
      <c r="J421" s="966"/>
      <c r="K421" s="53">
        <f t="shared" si="79"/>
        <v>1</v>
      </c>
      <c r="L421" s="966"/>
      <c r="M421" s="53">
        <f t="shared" si="80"/>
        <v>1</v>
      </c>
      <c r="N421" s="966"/>
      <c r="O421" s="53">
        <f t="shared" si="81"/>
        <v>1</v>
      </c>
      <c r="P421" s="966"/>
      <c r="Q421" s="53">
        <f t="shared" si="82"/>
        <v>1</v>
      </c>
      <c r="R421" s="493">
        <f t="shared" si="83"/>
        <v>0</v>
      </c>
      <c r="S421" s="802">
        <f t="shared" si="74"/>
        <v>0</v>
      </c>
    </row>
    <row r="422" spans="1:19">
      <c r="A422" s="968"/>
      <c r="B422" s="137"/>
      <c r="C422" s="53">
        <f t="shared" si="75"/>
        <v>1</v>
      </c>
      <c r="D422" s="966"/>
      <c r="E422" s="53">
        <f t="shared" si="76"/>
        <v>0.02</v>
      </c>
      <c r="F422" s="966"/>
      <c r="G422" s="53">
        <f t="shared" si="77"/>
        <v>1</v>
      </c>
      <c r="H422" s="966"/>
      <c r="I422" s="53">
        <f t="shared" si="78"/>
        <v>1</v>
      </c>
      <c r="J422" s="966"/>
      <c r="K422" s="53">
        <f t="shared" si="79"/>
        <v>1</v>
      </c>
      <c r="L422" s="966"/>
      <c r="M422" s="53">
        <f t="shared" si="80"/>
        <v>1</v>
      </c>
      <c r="N422" s="966"/>
      <c r="O422" s="53">
        <f t="shared" si="81"/>
        <v>1</v>
      </c>
      <c r="P422" s="966"/>
      <c r="Q422" s="53">
        <f t="shared" si="82"/>
        <v>1</v>
      </c>
      <c r="R422" s="493">
        <f t="shared" si="83"/>
        <v>0</v>
      </c>
      <c r="S422" s="802">
        <f t="shared" si="74"/>
        <v>0</v>
      </c>
    </row>
    <row r="423" spans="1:19">
      <c r="A423" s="968"/>
      <c r="B423" s="137"/>
      <c r="C423" s="53">
        <f t="shared" si="75"/>
        <v>1</v>
      </c>
      <c r="D423" s="966"/>
      <c r="E423" s="53">
        <f t="shared" si="76"/>
        <v>0.02</v>
      </c>
      <c r="F423" s="966"/>
      <c r="G423" s="53">
        <f t="shared" si="77"/>
        <v>1</v>
      </c>
      <c r="H423" s="966"/>
      <c r="I423" s="53">
        <f t="shared" si="78"/>
        <v>1</v>
      </c>
      <c r="J423" s="966"/>
      <c r="K423" s="53">
        <f t="shared" si="79"/>
        <v>1</v>
      </c>
      <c r="L423" s="966"/>
      <c r="M423" s="53">
        <f t="shared" si="80"/>
        <v>1</v>
      </c>
      <c r="N423" s="966"/>
      <c r="O423" s="53">
        <f t="shared" si="81"/>
        <v>1</v>
      </c>
      <c r="P423" s="966"/>
      <c r="Q423" s="53">
        <f t="shared" si="82"/>
        <v>1</v>
      </c>
      <c r="R423" s="493">
        <f t="shared" si="83"/>
        <v>0</v>
      </c>
      <c r="S423" s="802">
        <f t="shared" ref="S423:S467" si="84">ROUND(R423*B423/10000,0)</f>
        <v>0</v>
      </c>
    </row>
    <row r="424" spans="1:19">
      <c r="A424" s="968"/>
      <c r="B424" s="137"/>
      <c r="C424" s="53">
        <f t="shared" si="75"/>
        <v>1</v>
      </c>
      <c r="D424" s="966"/>
      <c r="E424" s="53">
        <f t="shared" si="76"/>
        <v>0.02</v>
      </c>
      <c r="F424" s="966"/>
      <c r="G424" s="53">
        <f t="shared" si="77"/>
        <v>1</v>
      </c>
      <c r="H424" s="966"/>
      <c r="I424" s="53">
        <f t="shared" si="78"/>
        <v>1</v>
      </c>
      <c r="J424" s="966"/>
      <c r="K424" s="53">
        <f t="shared" si="79"/>
        <v>1</v>
      </c>
      <c r="L424" s="966"/>
      <c r="M424" s="53">
        <f t="shared" si="80"/>
        <v>1</v>
      </c>
      <c r="N424" s="966"/>
      <c r="O424" s="53">
        <f t="shared" si="81"/>
        <v>1</v>
      </c>
      <c r="P424" s="966"/>
      <c r="Q424" s="53">
        <f t="shared" si="82"/>
        <v>1</v>
      </c>
      <c r="R424" s="493">
        <f t="shared" si="83"/>
        <v>0</v>
      </c>
      <c r="S424" s="802">
        <f t="shared" si="84"/>
        <v>0</v>
      </c>
    </row>
    <row r="425" spans="1:19">
      <c r="A425" s="968"/>
      <c r="B425" s="137"/>
      <c r="C425" s="53">
        <f t="shared" si="75"/>
        <v>1</v>
      </c>
      <c r="D425" s="966"/>
      <c r="E425" s="53">
        <f t="shared" si="76"/>
        <v>0.02</v>
      </c>
      <c r="F425" s="966"/>
      <c r="G425" s="53">
        <f t="shared" si="77"/>
        <v>1</v>
      </c>
      <c r="H425" s="966"/>
      <c r="I425" s="53">
        <f t="shared" si="78"/>
        <v>1</v>
      </c>
      <c r="J425" s="966"/>
      <c r="K425" s="53">
        <f t="shared" si="79"/>
        <v>1</v>
      </c>
      <c r="L425" s="966"/>
      <c r="M425" s="53">
        <f t="shared" si="80"/>
        <v>1</v>
      </c>
      <c r="N425" s="966"/>
      <c r="O425" s="53">
        <f t="shared" si="81"/>
        <v>1</v>
      </c>
      <c r="P425" s="966"/>
      <c r="Q425" s="53">
        <f t="shared" si="82"/>
        <v>1</v>
      </c>
      <c r="R425" s="493">
        <f t="shared" si="83"/>
        <v>0</v>
      </c>
      <c r="S425" s="802">
        <f t="shared" si="84"/>
        <v>0</v>
      </c>
    </row>
    <row r="426" spans="1:19">
      <c r="A426" s="968"/>
      <c r="B426" s="137"/>
      <c r="C426" s="53">
        <f t="shared" si="75"/>
        <v>1</v>
      </c>
      <c r="D426" s="966"/>
      <c r="E426" s="53">
        <f t="shared" si="76"/>
        <v>0.02</v>
      </c>
      <c r="F426" s="966"/>
      <c r="G426" s="53">
        <f t="shared" si="77"/>
        <v>1</v>
      </c>
      <c r="H426" s="966"/>
      <c r="I426" s="53">
        <f t="shared" si="78"/>
        <v>1</v>
      </c>
      <c r="J426" s="966"/>
      <c r="K426" s="53">
        <f t="shared" si="79"/>
        <v>1</v>
      </c>
      <c r="L426" s="966"/>
      <c r="M426" s="53">
        <f t="shared" si="80"/>
        <v>1</v>
      </c>
      <c r="N426" s="966"/>
      <c r="O426" s="53">
        <f t="shared" si="81"/>
        <v>1</v>
      </c>
      <c r="P426" s="966"/>
      <c r="Q426" s="53">
        <f t="shared" si="82"/>
        <v>1</v>
      </c>
      <c r="R426" s="493">
        <f t="shared" si="83"/>
        <v>0</v>
      </c>
      <c r="S426" s="802">
        <f t="shared" si="84"/>
        <v>0</v>
      </c>
    </row>
    <row r="427" spans="1:19">
      <c r="A427" s="968"/>
      <c r="B427" s="137"/>
      <c r="C427" s="53">
        <f t="shared" si="75"/>
        <v>1</v>
      </c>
      <c r="D427" s="966"/>
      <c r="E427" s="53">
        <f t="shared" si="76"/>
        <v>0.02</v>
      </c>
      <c r="F427" s="966"/>
      <c r="G427" s="53">
        <f t="shared" si="77"/>
        <v>1</v>
      </c>
      <c r="H427" s="966"/>
      <c r="I427" s="53">
        <f t="shared" si="78"/>
        <v>1</v>
      </c>
      <c r="J427" s="966"/>
      <c r="K427" s="53">
        <f t="shared" si="79"/>
        <v>1</v>
      </c>
      <c r="L427" s="966"/>
      <c r="M427" s="53">
        <f t="shared" si="80"/>
        <v>1</v>
      </c>
      <c r="N427" s="966"/>
      <c r="O427" s="53">
        <f t="shared" si="81"/>
        <v>1</v>
      </c>
      <c r="P427" s="966"/>
      <c r="Q427" s="53">
        <f t="shared" si="82"/>
        <v>1</v>
      </c>
      <c r="R427" s="493">
        <f t="shared" si="83"/>
        <v>0</v>
      </c>
      <c r="S427" s="802">
        <f t="shared" si="84"/>
        <v>0</v>
      </c>
    </row>
    <row r="428" spans="1:19">
      <c r="A428" s="968"/>
      <c r="B428" s="137"/>
      <c r="C428" s="53">
        <f t="shared" si="75"/>
        <v>1</v>
      </c>
      <c r="D428" s="966"/>
      <c r="E428" s="53">
        <f t="shared" si="76"/>
        <v>0.02</v>
      </c>
      <c r="F428" s="966"/>
      <c r="G428" s="53">
        <f t="shared" si="77"/>
        <v>1</v>
      </c>
      <c r="H428" s="966"/>
      <c r="I428" s="53">
        <f t="shared" si="78"/>
        <v>1</v>
      </c>
      <c r="J428" s="966"/>
      <c r="K428" s="53">
        <f t="shared" si="79"/>
        <v>1</v>
      </c>
      <c r="L428" s="966"/>
      <c r="M428" s="53">
        <f t="shared" si="80"/>
        <v>1</v>
      </c>
      <c r="N428" s="966"/>
      <c r="O428" s="53">
        <f t="shared" si="81"/>
        <v>1</v>
      </c>
      <c r="P428" s="966"/>
      <c r="Q428" s="53">
        <f t="shared" si="82"/>
        <v>1</v>
      </c>
      <c r="R428" s="493">
        <f t="shared" si="83"/>
        <v>0</v>
      </c>
      <c r="S428" s="802">
        <f t="shared" si="84"/>
        <v>0</v>
      </c>
    </row>
    <row r="429" spans="1:19">
      <c r="A429" s="968"/>
      <c r="B429" s="137"/>
      <c r="C429" s="53">
        <f t="shared" si="75"/>
        <v>1</v>
      </c>
      <c r="D429" s="966"/>
      <c r="E429" s="53">
        <f t="shared" si="76"/>
        <v>0.02</v>
      </c>
      <c r="F429" s="966"/>
      <c r="G429" s="53">
        <f t="shared" si="77"/>
        <v>1</v>
      </c>
      <c r="H429" s="966"/>
      <c r="I429" s="53">
        <f t="shared" si="78"/>
        <v>1</v>
      </c>
      <c r="J429" s="966"/>
      <c r="K429" s="53">
        <f t="shared" si="79"/>
        <v>1</v>
      </c>
      <c r="L429" s="966"/>
      <c r="M429" s="53">
        <f t="shared" si="80"/>
        <v>1</v>
      </c>
      <c r="N429" s="966"/>
      <c r="O429" s="53">
        <f t="shared" si="81"/>
        <v>1</v>
      </c>
      <c r="P429" s="966"/>
      <c r="Q429" s="53">
        <f t="shared" si="82"/>
        <v>1</v>
      </c>
      <c r="R429" s="493">
        <f t="shared" si="83"/>
        <v>0</v>
      </c>
      <c r="S429" s="802">
        <f t="shared" si="84"/>
        <v>0</v>
      </c>
    </row>
    <row r="430" spans="1:19">
      <c r="A430" s="968"/>
      <c r="B430" s="137"/>
      <c r="C430" s="53">
        <f t="shared" si="75"/>
        <v>1</v>
      </c>
      <c r="D430" s="966"/>
      <c r="E430" s="53">
        <f t="shared" si="76"/>
        <v>0.02</v>
      </c>
      <c r="F430" s="966"/>
      <c r="G430" s="53">
        <f t="shared" si="77"/>
        <v>1</v>
      </c>
      <c r="H430" s="966"/>
      <c r="I430" s="53">
        <f t="shared" si="78"/>
        <v>1</v>
      </c>
      <c r="J430" s="966"/>
      <c r="K430" s="53">
        <f t="shared" si="79"/>
        <v>1</v>
      </c>
      <c r="L430" s="966"/>
      <c r="M430" s="53">
        <f t="shared" si="80"/>
        <v>1</v>
      </c>
      <c r="N430" s="966"/>
      <c r="O430" s="53">
        <f t="shared" si="81"/>
        <v>1</v>
      </c>
      <c r="P430" s="966"/>
      <c r="Q430" s="53">
        <f t="shared" si="82"/>
        <v>1</v>
      </c>
      <c r="R430" s="493">
        <f t="shared" si="83"/>
        <v>0</v>
      </c>
      <c r="S430" s="802">
        <f t="shared" si="84"/>
        <v>0</v>
      </c>
    </row>
    <row r="431" spans="1:19">
      <c r="A431" s="968"/>
      <c r="B431" s="137"/>
      <c r="C431" s="53">
        <f t="shared" si="75"/>
        <v>1</v>
      </c>
      <c r="D431" s="966"/>
      <c r="E431" s="53">
        <f t="shared" si="76"/>
        <v>0.02</v>
      </c>
      <c r="F431" s="966"/>
      <c r="G431" s="53">
        <f t="shared" si="77"/>
        <v>1</v>
      </c>
      <c r="H431" s="966"/>
      <c r="I431" s="53">
        <f t="shared" si="78"/>
        <v>1</v>
      </c>
      <c r="J431" s="966"/>
      <c r="K431" s="53">
        <f t="shared" si="79"/>
        <v>1</v>
      </c>
      <c r="L431" s="966"/>
      <c r="M431" s="53">
        <f t="shared" si="80"/>
        <v>1</v>
      </c>
      <c r="N431" s="966"/>
      <c r="O431" s="53">
        <f t="shared" si="81"/>
        <v>1</v>
      </c>
      <c r="P431" s="966"/>
      <c r="Q431" s="53">
        <f t="shared" si="82"/>
        <v>1</v>
      </c>
      <c r="R431" s="493">
        <f t="shared" si="83"/>
        <v>0</v>
      </c>
      <c r="S431" s="802">
        <f t="shared" si="84"/>
        <v>0</v>
      </c>
    </row>
    <row r="432" spans="1:19">
      <c r="A432" s="968"/>
      <c r="B432" s="137"/>
      <c r="C432" s="53">
        <f t="shared" si="75"/>
        <v>1</v>
      </c>
      <c r="D432" s="966"/>
      <c r="E432" s="53">
        <f t="shared" si="76"/>
        <v>0.02</v>
      </c>
      <c r="F432" s="966"/>
      <c r="G432" s="53">
        <f t="shared" si="77"/>
        <v>1</v>
      </c>
      <c r="H432" s="966"/>
      <c r="I432" s="53">
        <f t="shared" si="78"/>
        <v>1</v>
      </c>
      <c r="J432" s="966"/>
      <c r="K432" s="53">
        <f t="shared" si="79"/>
        <v>1</v>
      </c>
      <c r="L432" s="966"/>
      <c r="M432" s="53">
        <f t="shared" si="80"/>
        <v>1</v>
      </c>
      <c r="N432" s="966"/>
      <c r="O432" s="53">
        <f t="shared" si="81"/>
        <v>1</v>
      </c>
      <c r="P432" s="966"/>
      <c r="Q432" s="53">
        <f t="shared" si="82"/>
        <v>1</v>
      </c>
      <c r="R432" s="493">
        <f t="shared" si="83"/>
        <v>0</v>
      </c>
      <c r="S432" s="802">
        <f t="shared" si="84"/>
        <v>0</v>
      </c>
    </row>
    <row r="433" spans="1:19">
      <c r="A433" s="968"/>
      <c r="B433" s="137"/>
      <c r="C433" s="53">
        <f t="shared" si="75"/>
        <v>1</v>
      </c>
      <c r="D433" s="966"/>
      <c r="E433" s="53">
        <f t="shared" si="76"/>
        <v>0.02</v>
      </c>
      <c r="F433" s="966"/>
      <c r="G433" s="53">
        <f t="shared" si="77"/>
        <v>1</v>
      </c>
      <c r="H433" s="966"/>
      <c r="I433" s="53">
        <f t="shared" si="78"/>
        <v>1</v>
      </c>
      <c r="J433" s="966"/>
      <c r="K433" s="53">
        <f t="shared" si="79"/>
        <v>1</v>
      </c>
      <c r="L433" s="966"/>
      <c r="M433" s="53">
        <f t="shared" si="80"/>
        <v>1</v>
      </c>
      <c r="N433" s="966"/>
      <c r="O433" s="53">
        <f t="shared" si="81"/>
        <v>1</v>
      </c>
      <c r="P433" s="966"/>
      <c r="Q433" s="53">
        <f t="shared" si="82"/>
        <v>1</v>
      </c>
      <c r="R433" s="493">
        <f t="shared" si="83"/>
        <v>0</v>
      </c>
      <c r="S433" s="802">
        <f t="shared" si="84"/>
        <v>0</v>
      </c>
    </row>
    <row r="434" spans="1:19">
      <c r="A434" s="968"/>
      <c r="B434" s="137"/>
      <c r="C434" s="53">
        <f t="shared" si="75"/>
        <v>1</v>
      </c>
      <c r="D434" s="966"/>
      <c r="E434" s="53">
        <f t="shared" si="76"/>
        <v>0.02</v>
      </c>
      <c r="F434" s="966"/>
      <c r="G434" s="53">
        <f t="shared" si="77"/>
        <v>1</v>
      </c>
      <c r="H434" s="966"/>
      <c r="I434" s="53">
        <f t="shared" si="78"/>
        <v>1</v>
      </c>
      <c r="J434" s="966"/>
      <c r="K434" s="53">
        <f t="shared" si="79"/>
        <v>1</v>
      </c>
      <c r="L434" s="966"/>
      <c r="M434" s="53">
        <f t="shared" si="80"/>
        <v>1</v>
      </c>
      <c r="N434" s="966"/>
      <c r="O434" s="53">
        <f t="shared" si="81"/>
        <v>1</v>
      </c>
      <c r="P434" s="966"/>
      <c r="Q434" s="53">
        <f t="shared" si="82"/>
        <v>1</v>
      </c>
      <c r="R434" s="493">
        <f t="shared" si="83"/>
        <v>0</v>
      </c>
      <c r="S434" s="802">
        <f t="shared" si="84"/>
        <v>0</v>
      </c>
    </row>
    <row r="435" spans="1:19">
      <c r="A435" s="968"/>
      <c r="B435" s="137"/>
      <c r="C435" s="53">
        <f t="shared" si="75"/>
        <v>1</v>
      </c>
      <c r="D435" s="966"/>
      <c r="E435" s="53">
        <f t="shared" si="76"/>
        <v>0.02</v>
      </c>
      <c r="F435" s="966"/>
      <c r="G435" s="53">
        <f t="shared" si="77"/>
        <v>1</v>
      </c>
      <c r="H435" s="966"/>
      <c r="I435" s="53">
        <f t="shared" si="78"/>
        <v>1</v>
      </c>
      <c r="J435" s="966"/>
      <c r="K435" s="53">
        <f t="shared" si="79"/>
        <v>1</v>
      </c>
      <c r="L435" s="966"/>
      <c r="M435" s="53">
        <f t="shared" si="80"/>
        <v>1</v>
      </c>
      <c r="N435" s="966"/>
      <c r="O435" s="53">
        <f t="shared" si="81"/>
        <v>1</v>
      </c>
      <c r="P435" s="966"/>
      <c r="Q435" s="53">
        <f t="shared" si="82"/>
        <v>1</v>
      </c>
      <c r="R435" s="493">
        <f t="shared" si="83"/>
        <v>0</v>
      </c>
      <c r="S435" s="802">
        <f t="shared" si="84"/>
        <v>0</v>
      </c>
    </row>
    <row r="436" spans="1:19">
      <c r="A436" s="968"/>
      <c r="B436" s="137"/>
      <c r="C436" s="53">
        <f t="shared" si="75"/>
        <v>1</v>
      </c>
      <c r="D436" s="966"/>
      <c r="E436" s="53">
        <f t="shared" si="76"/>
        <v>0.02</v>
      </c>
      <c r="F436" s="966"/>
      <c r="G436" s="53">
        <f t="shared" si="77"/>
        <v>1</v>
      </c>
      <c r="H436" s="966"/>
      <c r="I436" s="53">
        <f t="shared" si="78"/>
        <v>1</v>
      </c>
      <c r="J436" s="966"/>
      <c r="K436" s="53">
        <f t="shared" si="79"/>
        <v>1</v>
      </c>
      <c r="L436" s="966"/>
      <c r="M436" s="53">
        <f t="shared" si="80"/>
        <v>1</v>
      </c>
      <c r="N436" s="966"/>
      <c r="O436" s="53">
        <f t="shared" si="81"/>
        <v>1</v>
      </c>
      <c r="P436" s="966"/>
      <c r="Q436" s="53">
        <f t="shared" si="82"/>
        <v>1</v>
      </c>
      <c r="R436" s="493">
        <f t="shared" si="83"/>
        <v>0</v>
      </c>
      <c r="S436" s="802">
        <f t="shared" si="84"/>
        <v>0</v>
      </c>
    </row>
    <row r="437" spans="1:19">
      <c r="A437" s="968"/>
      <c r="B437" s="137"/>
      <c r="C437" s="53">
        <f t="shared" si="75"/>
        <v>1</v>
      </c>
      <c r="D437" s="966"/>
      <c r="E437" s="53">
        <f t="shared" si="76"/>
        <v>0.02</v>
      </c>
      <c r="F437" s="966"/>
      <c r="G437" s="53">
        <f t="shared" si="77"/>
        <v>1</v>
      </c>
      <c r="H437" s="966"/>
      <c r="I437" s="53">
        <f t="shared" si="78"/>
        <v>1</v>
      </c>
      <c r="J437" s="966"/>
      <c r="K437" s="53">
        <f t="shared" si="79"/>
        <v>1</v>
      </c>
      <c r="L437" s="966"/>
      <c r="M437" s="53">
        <f t="shared" si="80"/>
        <v>1</v>
      </c>
      <c r="N437" s="966"/>
      <c r="O437" s="53">
        <f t="shared" si="81"/>
        <v>1</v>
      </c>
      <c r="P437" s="966"/>
      <c r="Q437" s="53">
        <f t="shared" si="82"/>
        <v>1</v>
      </c>
      <c r="R437" s="493">
        <f t="shared" si="83"/>
        <v>0</v>
      </c>
      <c r="S437" s="802">
        <f t="shared" si="84"/>
        <v>0</v>
      </c>
    </row>
    <row r="438" spans="1:19">
      <c r="A438" s="968"/>
      <c r="B438" s="137"/>
      <c r="C438" s="53">
        <f t="shared" si="75"/>
        <v>1</v>
      </c>
      <c r="D438" s="966"/>
      <c r="E438" s="53">
        <f t="shared" si="76"/>
        <v>0.02</v>
      </c>
      <c r="F438" s="966"/>
      <c r="G438" s="53">
        <f t="shared" si="77"/>
        <v>1</v>
      </c>
      <c r="H438" s="966"/>
      <c r="I438" s="53">
        <f t="shared" si="78"/>
        <v>1</v>
      </c>
      <c r="J438" s="966"/>
      <c r="K438" s="53">
        <f t="shared" si="79"/>
        <v>1</v>
      </c>
      <c r="L438" s="966"/>
      <c r="M438" s="53">
        <f t="shared" si="80"/>
        <v>1</v>
      </c>
      <c r="N438" s="966"/>
      <c r="O438" s="53">
        <f t="shared" si="81"/>
        <v>1</v>
      </c>
      <c r="P438" s="966"/>
      <c r="Q438" s="53">
        <f t="shared" si="82"/>
        <v>1</v>
      </c>
      <c r="R438" s="493">
        <f t="shared" si="83"/>
        <v>0</v>
      </c>
      <c r="S438" s="802">
        <f t="shared" si="84"/>
        <v>0</v>
      </c>
    </row>
    <row r="439" spans="1:19">
      <c r="A439" s="968"/>
      <c r="B439" s="137"/>
      <c r="C439" s="53">
        <f t="shared" si="75"/>
        <v>1</v>
      </c>
      <c r="D439" s="966"/>
      <c r="E439" s="53">
        <f t="shared" si="76"/>
        <v>0.02</v>
      </c>
      <c r="F439" s="966"/>
      <c r="G439" s="53">
        <f t="shared" si="77"/>
        <v>1</v>
      </c>
      <c r="H439" s="966"/>
      <c r="I439" s="53">
        <f t="shared" si="78"/>
        <v>1</v>
      </c>
      <c r="J439" s="966"/>
      <c r="K439" s="53">
        <f t="shared" si="79"/>
        <v>1</v>
      </c>
      <c r="L439" s="966"/>
      <c r="M439" s="53">
        <f t="shared" si="80"/>
        <v>1</v>
      </c>
      <c r="N439" s="966"/>
      <c r="O439" s="53">
        <f t="shared" si="81"/>
        <v>1</v>
      </c>
      <c r="P439" s="966"/>
      <c r="Q439" s="53">
        <f t="shared" si="82"/>
        <v>1</v>
      </c>
      <c r="R439" s="493">
        <f t="shared" si="83"/>
        <v>0</v>
      </c>
      <c r="S439" s="802">
        <f t="shared" si="84"/>
        <v>0</v>
      </c>
    </row>
    <row r="440" spans="1:19">
      <c r="A440" s="968"/>
      <c r="B440" s="137"/>
      <c r="C440" s="53">
        <f t="shared" si="75"/>
        <v>1</v>
      </c>
      <c r="D440" s="966"/>
      <c r="E440" s="53">
        <f t="shared" si="76"/>
        <v>0.02</v>
      </c>
      <c r="F440" s="966"/>
      <c r="G440" s="53">
        <f t="shared" si="77"/>
        <v>1</v>
      </c>
      <c r="H440" s="966"/>
      <c r="I440" s="53">
        <f t="shared" si="78"/>
        <v>1</v>
      </c>
      <c r="J440" s="966"/>
      <c r="K440" s="53">
        <f t="shared" si="79"/>
        <v>1</v>
      </c>
      <c r="L440" s="966"/>
      <c r="M440" s="53">
        <f t="shared" si="80"/>
        <v>1</v>
      </c>
      <c r="N440" s="966"/>
      <c r="O440" s="53">
        <f t="shared" si="81"/>
        <v>1</v>
      </c>
      <c r="P440" s="966"/>
      <c r="Q440" s="53">
        <f t="shared" si="82"/>
        <v>1</v>
      </c>
      <c r="R440" s="493">
        <f t="shared" si="83"/>
        <v>0</v>
      </c>
      <c r="S440" s="802">
        <f t="shared" si="84"/>
        <v>0</v>
      </c>
    </row>
    <row r="441" spans="1:19">
      <c r="A441" s="968"/>
      <c r="B441" s="137"/>
      <c r="C441" s="53">
        <f t="shared" si="75"/>
        <v>1</v>
      </c>
      <c r="D441" s="966"/>
      <c r="E441" s="53">
        <f t="shared" si="76"/>
        <v>0.02</v>
      </c>
      <c r="F441" s="966"/>
      <c r="G441" s="53">
        <f t="shared" si="77"/>
        <v>1</v>
      </c>
      <c r="H441" s="966"/>
      <c r="I441" s="53">
        <f t="shared" si="78"/>
        <v>1</v>
      </c>
      <c r="J441" s="966"/>
      <c r="K441" s="53">
        <f t="shared" si="79"/>
        <v>1</v>
      </c>
      <c r="L441" s="966"/>
      <c r="M441" s="53">
        <f t="shared" si="80"/>
        <v>1</v>
      </c>
      <c r="N441" s="966"/>
      <c r="O441" s="53">
        <f t="shared" si="81"/>
        <v>1</v>
      </c>
      <c r="P441" s="966"/>
      <c r="Q441" s="53">
        <f t="shared" si="82"/>
        <v>1</v>
      </c>
      <c r="R441" s="493">
        <f t="shared" si="83"/>
        <v>0</v>
      </c>
      <c r="S441" s="802">
        <f t="shared" si="84"/>
        <v>0</v>
      </c>
    </row>
    <row r="442" spans="1:19">
      <c r="A442" s="968"/>
      <c r="B442" s="137"/>
      <c r="C442" s="53">
        <f t="shared" si="75"/>
        <v>1</v>
      </c>
      <c r="D442" s="966"/>
      <c r="E442" s="53">
        <f t="shared" si="76"/>
        <v>0.02</v>
      </c>
      <c r="F442" s="966"/>
      <c r="G442" s="53">
        <f t="shared" si="77"/>
        <v>1</v>
      </c>
      <c r="H442" s="966"/>
      <c r="I442" s="53">
        <f t="shared" si="78"/>
        <v>1</v>
      </c>
      <c r="J442" s="966"/>
      <c r="K442" s="53">
        <f t="shared" si="79"/>
        <v>1</v>
      </c>
      <c r="L442" s="966"/>
      <c r="M442" s="53">
        <f t="shared" si="80"/>
        <v>1</v>
      </c>
      <c r="N442" s="966"/>
      <c r="O442" s="53">
        <f t="shared" si="81"/>
        <v>1</v>
      </c>
      <c r="P442" s="966"/>
      <c r="Q442" s="53">
        <f t="shared" si="82"/>
        <v>1</v>
      </c>
      <c r="R442" s="493">
        <f t="shared" si="83"/>
        <v>0</v>
      </c>
      <c r="S442" s="802">
        <f t="shared" si="84"/>
        <v>0</v>
      </c>
    </row>
    <row r="443" spans="1:19">
      <c r="A443" s="968"/>
      <c r="B443" s="137"/>
      <c r="C443" s="53">
        <f t="shared" si="75"/>
        <v>1</v>
      </c>
      <c r="D443" s="966"/>
      <c r="E443" s="53">
        <f t="shared" si="76"/>
        <v>0.02</v>
      </c>
      <c r="F443" s="966"/>
      <c r="G443" s="53">
        <f t="shared" si="77"/>
        <v>1</v>
      </c>
      <c r="H443" s="966"/>
      <c r="I443" s="53">
        <f t="shared" si="78"/>
        <v>1</v>
      </c>
      <c r="J443" s="966"/>
      <c r="K443" s="53">
        <f t="shared" si="79"/>
        <v>1</v>
      </c>
      <c r="L443" s="966"/>
      <c r="M443" s="53">
        <f t="shared" si="80"/>
        <v>1</v>
      </c>
      <c r="N443" s="966"/>
      <c r="O443" s="53">
        <f t="shared" si="81"/>
        <v>1</v>
      </c>
      <c r="P443" s="966"/>
      <c r="Q443" s="53">
        <f t="shared" si="82"/>
        <v>1</v>
      </c>
      <c r="R443" s="493">
        <f t="shared" si="83"/>
        <v>0</v>
      </c>
      <c r="S443" s="802">
        <f t="shared" si="84"/>
        <v>0</v>
      </c>
    </row>
    <row r="444" spans="1:19">
      <c r="A444" s="968"/>
      <c r="B444" s="137"/>
      <c r="C444" s="53">
        <f t="shared" si="75"/>
        <v>1</v>
      </c>
      <c r="D444" s="966"/>
      <c r="E444" s="53">
        <f t="shared" si="76"/>
        <v>0.02</v>
      </c>
      <c r="F444" s="966"/>
      <c r="G444" s="53">
        <f t="shared" si="77"/>
        <v>1</v>
      </c>
      <c r="H444" s="966"/>
      <c r="I444" s="53">
        <f t="shared" si="78"/>
        <v>1</v>
      </c>
      <c r="J444" s="966"/>
      <c r="K444" s="53">
        <f t="shared" si="79"/>
        <v>1</v>
      </c>
      <c r="L444" s="966"/>
      <c r="M444" s="53">
        <f t="shared" si="80"/>
        <v>1</v>
      </c>
      <c r="N444" s="966"/>
      <c r="O444" s="53">
        <f t="shared" si="81"/>
        <v>1</v>
      </c>
      <c r="P444" s="966"/>
      <c r="Q444" s="53">
        <f t="shared" si="82"/>
        <v>1</v>
      </c>
      <c r="R444" s="493">
        <f t="shared" si="83"/>
        <v>0</v>
      </c>
      <c r="S444" s="802">
        <f t="shared" si="84"/>
        <v>0</v>
      </c>
    </row>
    <row r="445" spans="1:19">
      <c r="A445" s="968"/>
      <c r="B445" s="137"/>
      <c r="C445" s="53">
        <f t="shared" si="75"/>
        <v>1</v>
      </c>
      <c r="D445" s="966"/>
      <c r="E445" s="53">
        <f t="shared" si="76"/>
        <v>0.02</v>
      </c>
      <c r="F445" s="966"/>
      <c r="G445" s="53">
        <f t="shared" si="77"/>
        <v>1</v>
      </c>
      <c r="H445" s="966"/>
      <c r="I445" s="53">
        <f t="shared" si="78"/>
        <v>1</v>
      </c>
      <c r="J445" s="966"/>
      <c r="K445" s="53">
        <f t="shared" si="79"/>
        <v>1</v>
      </c>
      <c r="L445" s="966"/>
      <c r="M445" s="53">
        <f t="shared" si="80"/>
        <v>1</v>
      </c>
      <c r="N445" s="966"/>
      <c r="O445" s="53">
        <f t="shared" si="81"/>
        <v>1</v>
      </c>
      <c r="P445" s="966"/>
      <c r="Q445" s="53">
        <f t="shared" si="82"/>
        <v>1</v>
      </c>
      <c r="R445" s="493">
        <f t="shared" si="83"/>
        <v>0</v>
      </c>
      <c r="S445" s="802">
        <f t="shared" si="84"/>
        <v>0</v>
      </c>
    </row>
    <row r="446" spans="1:19">
      <c r="A446" s="968"/>
      <c r="B446" s="137"/>
      <c r="C446" s="53">
        <f t="shared" si="75"/>
        <v>1</v>
      </c>
      <c r="D446" s="966"/>
      <c r="E446" s="53">
        <f t="shared" si="76"/>
        <v>0.02</v>
      </c>
      <c r="F446" s="966"/>
      <c r="G446" s="53">
        <f t="shared" si="77"/>
        <v>1</v>
      </c>
      <c r="H446" s="966"/>
      <c r="I446" s="53">
        <f t="shared" si="78"/>
        <v>1</v>
      </c>
      <c r="J446" s="966"/>
      <c r="K446" s="53">
        <f t="shared" si="79"/>
        <v>1</v>
      </c>
      <c r="L446" s="966"/>
      <c r="M446" s="53">
        <f t="shared" si="80"/>
        <v>1</v>
      </c>
      <c r="N446" s="966"/>
      <c r="O446" s="53">
        <f t="shared" si="81"/>
        <v>1</v>
      </c>
      <c r="P446" s="966"/>
      <c r="Q446" s="53">
        <f t="shared" si="82"/>
        <v>1</v>
      </c>
      <c r="R446" s="493">
        <f t="shared" si="83"/>
        <v>0</v>
      </c>
      <c r="S446" s="802">
        <f t="shared" si="84"/>
        <v>0</v>
      </c>
    </row>
    <row r="447" spans="1:19">
      <c r="A447" s="968"/>
      <c r="B447" s="137"/>
      <c r="C447" s="53">
        <f t="shared" si="75"/>
        <v>1</v>
      </c>
      <c r="D447" s="966"/>
      <c r="E447" s="53">
        <f t="shared" si="76"/>
        <v>0.02</v>
      </c>
      <c r="F447" s="966"/>
      <c r="G447" s="53">
        <f t="shared" si="77"/>
        <v>1</v>
      </c>
      <c r="H447" s="966"/>
      <c r="I447" s="53">
        <f t="shared" si="78"/>
        <v>1</v>
      </c>
      <c r="J447" s="966"/>
      <c r="K447" s="53">
        <f t="shared" si="79"/>
        <v>1</v>
      </c>
      <c r="L447" s="966"/>
      <c r="M447" s="53">
        <f t="shared" si="80"/>
        <v>1</v>
      </c>
      <c r="N447" s="966"/>
      <c r="O447" s="53">
        <f t="shared" si="81"/>
        <v>1</v>
      </c>
      <c r="P447" s="966"/>
      <c r="Q447" s="53">
        <f t="shared" si="82"/>
        <v>1</v>
      </c>
      <c r="R447" s="493">
        <f t="shared" si="83"/>
        <v>0</v>
      </c>
      <c r="S447" s="802">
        <f t="shared" si="84"/>
        <v>0</v>
      </c>
    </row>
    <row r="448" spans="1:19">
      <c r="A448" s="968"/>
      <c r="B448" s="137"/>
      <c r="C448" s="53">
        <f t="shared" si="75"/>
        <v>1</v>
      </c>
      <c r="D448" s="966"/>
      <c r="E448" s="53">
        <f t="shared" si="76"/>
        <v>0.02</v>
      </c>
      <c r="F448" s="966"/>
      <c r="G448" s="53">
        <f t="shared" si="77"/>
        <v>1</v>
      </c>
      <c r="H448" s="966"/>
      <c r="I448" s="53">
        <f t="shared" si="78"/>
        <v>1</v>
      </c>
      <c r="J448" s="966"/>
      <c r="K448" s="53">
        <f t="shared" si="79"/>
        <v>1</v>
      </c>
      <c r="L448" s="966"/>
      <c r="M448" s="53">
        <f t="shared" si="80"/>
        <v>1</v>
      </c>
      <c r="N448" s="966"/>
      <c r="O448" s="53">
        <f t="shared" si="81"/>
        <v>1</v>
      </c>
      <c r="P448" s="966"/>
      <c r="Q448" s="53">
        <f t="shared" si="82"/>
        <v>1</v>
      </c>
      <c r="R448" s="493">
        <f t="shared" si="83"/>
        <v>0</v>
      </c>
      <c r="S448" s="802">
        <f t="shared" si="84"/>
        <v>0</v>
      </c>
    </row>
    <row r="449" spans="1:19">
      <c r="A449" s="968"/>
      <c r="B449" s="137"/>
      <c r="C449" s="53">
        <f t="shared" si="75"/>
        <v>1</v>
      </c>
      <c r="D449" s="966"/>
      <c r="E449" s="53">
        <f t="shared" si="76"/>
        <v>0.02</v>
      </c>
      <c r="F449" s="966"/>
      <c r="G449" s="53">
        <f t="shared" si="77"/>
        <v>1</v>
      </c>
      <c r="H449" s="966"/>
      <c r="I449" s="53">
        <f t="shared" si="78"/>
        <v>1</v>
      </c>
      <c r="J449" s="966"/>
      <c r="K449" s="53">
        <f t="shared" si="79"/>
        <v>1</v>
      </c>
      <c r="L449" s="966"/>
      <c r="M449" s="53">
        <f t="shared" si="80"/>
        <v>1</v>
      </c>
      <c r="N449" s="966"/>
      <c r="O449" s="53">
        <f t="shared" si="81"/>
        <v>1</v>
      </c>
      <c r="P449" s="966"/>
      <c r="Q449" s="53">
        <f t="shared" si="82"/>
        <v>1</v>
      </c>
      <c r="R449" s="493">
        <f t="shared" si="83"/>
        <v>0</v>
      </c>
      <c r="S449" s="802">
        <f t="shared" si="84"/>
        <v>0</v>
      </c>
    </row>
    <row r="450" spans="1:19">
      <c r="A450" s="968"/>
      <c r="B450" s="137"/>
      <c r="C450" s="53">
        <f t="shared" si="75"/>
        <v>1</v>
      </c>
      <c r="D450" s="966"/>
      <c r="E450" s="53">
        <f t="shared" si="76"/>
        <v>0.02</v>
      </c>
      <c r="F450" s="966"/>
      <c r="G450" s="53">
        <f t="shared" si="77"/>
        <v>1</v>
      </c>
      <c r="H450" s="966"/>
      <c r="I450" s="53">
        <f t="shared" si="78"/>
        <v>1</v>
      </c>
      <c r="J450" s="966"/>
      <c r="K450" s="53">
        <f t="shared" si="79"/>
        <v>1</v>
      </c>
      <c r="L450" s="966"/>
      <c r="M450" s="53">
        <f t="shared" si="80"/>
        <v>1</v>
      </c>
      <c r="N450" s="966"/>
      <c r="O450" s="53">
        <f t="shared" si="81"/>
        <v>1</v>
      </c>
      <c r="P450" s="966"/>
      <c r="Q450" s="53">
        <f t="shared" si="82"/>
        <v>1</v>
      </c>
      <c r="R450" s="493">
        <f t="shared" si="83"/>
        <v>0</v>
      </c>
      <c r="S450" s="802">
        <f t="shared" si="84"/>
        <v>0</v>
      </c>
    </row>
    <row r="451" spans="1:19">
      <c r="A451" s="968"/>
      <c r="B451" s="137"/>
      <c r="C451" s="53">
        <f t="shared" si="75"/>
        <v>1</v>
      </c>
      <c r="D451" s="966"/>
      <c r="E451" s="53">
        <f t="shared" si="76"/>
        <v>0.02</v>
      </c>
      <c r="F451" s="966"/>
      <c r="G451" s="53">
        <f t="shared" si="77"/>
        <v>1</v>
      </c>
      <c r="H451" s="966"/>
      <c r="I451" s="53">
        <f t="shared" si="78"/>
        <v>1</v>
      </c>
      <c r="J451" s="966"/>
      <c r="K451" s="53">
        <f t="shared" si="79"/>
        <v>1</v>
      </c>
      <c r="L451" s="966"/>
      <c r="M451" s="53">
        <f t="shared" si="80"/>
        <v>1</v>
      </c>
      <c r="N451" s="966"/>
      <c r="O451" s="53">
        <f t="shared" si="81"/>
        <v>1</v>
      </c>
      <c r="P451" s="966"/>
      <c r="Q451" s="53">
        <f t="shared" si="82"/>
        <v>1</v>
      </c>
      <c r="R451" s="493">
        <f t="shared" si="83"/>
        <v>0</v>
      </c>
      <c r="S451" s="802">
        <f t="shared" si="84"/>
        <v>0</v>
      </c>
    </row>
    <row r="452" spans="1:19">
      <c r="A452" s="968"/>
      <c r="B452" s="137"/>
      <c r="C452" s="53">
        <f t="shared" si="75"/>
        <v>1</v>
      </c>
      <c r="D452" s="966"/>
      <c r="E452" s="53">
        <f t="shared" si="76"/>
        <v>0.02</v>
      </c>
      <c r="F452" s="966"/>
      <c r="G452" s="53">
        <f t="shared" si="77"/>
        <v>1</v>
      </c>
      <c r="H452" s="966"/>
      <c r="I452" s="53">
        <f t="shared" si="78"/>
        <v>1</v>
      </c>
      <c r="J452" s="966"/>
      <c r="K452" s="53">
        <f t="shared" si="79"/>
        <v>1</v>
      </c>
      <c r="L452" s="966"/>
      <c r="M452" s="53">
        <f t="shared" si="80"/>
        <v>1</v>
      </c>
      <c r="N452" s="966"/>
      <c r="O452" s="53">
        <f t="shared" si="81"/>
        <v>1</v>
      </c>
      <c r="P452" s="966"/>
      <c r="Q452" s="53">
        <f t="shared" si="82"/>
        <v>1</v>
      </c>
      <c r="R452" s="493">
        <f t="shared" si="83"/>
        <v>0</v>
      </c>
      <c r="S452" s="802">
        <f t="shared" si="84"/>
        <v>0</v>
      </c>
    </row>
    <row r="453" spans="1:19">
      <c r="A453" s="968"/>
      <c r="B453" s="137"/>
      <c r="C453" s="53">
        <f t="shared" si="75"/>
        <v>1</v>
      </c>
      <c r="D453" s="966"/>
      <c r="E453" s="53">
        <f t="shared" si="76"/>
        <v>0.02</v>
      </c>
      <c r="F453" s="966"/>
      <c r="G453" s="53">
        <f t="shared" si="77"/>
        <v>1</v>
      </c>
      <c r="H453" s="966"/>
      <c r="I453" s="53">
        <f t="shared" si="78"/>
        <v>1</v>
      </c>
      <c r="J453" s="966"/>
      <c r="K453" s="53">
        <f t="shared" si="79"/>
        <v>1</v>
      </c>
      <c r="L453" s="966"/>
      <c r="M453" s="53">
        <f t="shared" si="80"/>
        <v>1</v>
      </c>
      <c r="N453" s="966"/>
      <c r="O453" s="53">
        <f t="shared" si="81"/>
        <v>1</v>
      </c>
      <c r="P453" s="966"/>
      <c r="Q453" s="53">
        <f t="shared" si="82"/>
        <v>1</v>
      </c>
      <c r="R453" s="493">
        <f t="shared" si="83"/>
        <v>0</v>
      </c>
      <c r="S453" s="802">
        <f t="shared" si="84"/>
        <v>0</v>
      </c>
    </row>
    <row r="454" spans="1:19">
      <c r="A454" s="968"/>
      <c r="B454" s="137"/>
      <c r="C454" s="53">
        <f t="shared" si="75"/>
        <v>1</v>
      </c>
      <c r="D454" s="966"/>
      <c r="E454" s="53">
        <f t="shared" si="76"/>
        <v>0.02</v>
      </c>
      <c r="F454" s="966"/>
      <c r="G454" s="53">
        <f t="shared" si="77"/>
        <v>1</v>
      </c>
      <c r="H454" s="966"/>
      <c r="I454" s="53">
        <f t="shared" si="78"/>
        <v>1</v>
      </c>
      <c r="J454" s="966"/>
      <c r="K454" s="53">
        <f t="shared" si="79"/>
        <v>1</v>
      </c>
      <c r="L454" s="966"/>
      <c r="M454" s="53">
        <f t="shared" si="80"/>
        <v>1</v>
      </c>
      <c r="N454" s="966"/>
      <c r="O454" s="53">
        <f t="shared" si="81"/>
        <v>1</v>
      </c>
      <c r="P454" s="966"/>
      <c r="Q454" s="53">
        <f t="shared" si="82"/>
        <v>1</v>
      </c>
      <c r="R454" s="493">
        <f t="shared" si="83"/>
        <v>0</v>
      </c>
      <c r="S454" s="802">
        <f t="shared" si="84"/>
        <v>0</v>
      </c>
    </row>
    <row r="455" spans="1:19">
      <c r="A455" s="968"/>
      <c r="B455" s="137"/>
      <c r="C455" s="53">
        <f t="shared" si="75"/>
        <v>1</v>
      </c>
      <c r="D455" s="966"/>
      <c r="E455" s="53">
        <f t="shared" si="76"/>
        <v>0.02</v>
      </c>
      <c r="F455" s="966"/>
      <c r="G455" s="53">
        <f t="shared" si="77"/>
        <v>1</v>
      </c>
      <c r="H455" s="966"/>
      <c r="I455" s="53">
        <f t="shared" si="78"/>
        <v>1</v>
      </c>
      <c r="J455" s="966"/>
      <c r="K455" s="53">
        <f t="shared" si="79"/>
        <v>1</v>
      </c>
      <c r="L455" s="966"/>
      <c r="M455" s="53">
        <f t="shared" si="80"/>
        <v>1</v>
      </c>
      <c r="N455" s="966"/>
      <c r="O455" s="53">
        <f t="shared" si="81"/>
        <v>1</v>
      </c>
      <c r="P455" s="966"/>
      <c r="Q455" s="53">
        <f t="shared" si="82"/>
        <v>1</v>
      </c>
      <c r="R455" s="493">
        <f t="shared" si="83"/>
        <v>0</v>
      </c>
      <c r="S455" s="802">
        <f t="shared" si="84"/>
        <v>0</v>
      </c>
    </row>
    <row r="456" spans="1:19">
      <c r="A456" s="968"/>
      <c r="B456" s="137"/>
      <c r="C456" s="53">
        <f t="shared" si="75"/>
        <v>1</v>
      </c>
      <c r="D456" s="966"/>
      <c r="E456" s="53">
        <f t="shared" si="76"/>
        <v>0.02</v>
      </c>
      <c r="F456" s="966"/>
      <c r="G456" s="53">
        <f t="shared" si="77"/>
        <v>1</v>
      </c>
      <c r="H456" s="966"/>
      <c r="I456" s="53">
        <f t="shared" si="78"/>
        <v>1</v>
      </c>
      <c r="J456" s="966"/>
      <c r="K456" s="53">
        <f t="shared" si="79"/>
        <v>1</v>
      </c>
      <c r="L456" s="966"/>
      <c r="M456" s="53">
        <f t="shared" si="80"/>
        <v>1</v>
      </c>
      <c r="N456" s="966"/>
      <c r="O456" s="53">
        <f t="shared" si="81"/>
        <v>1</v>
      </c>
      <c r="P456" s="966"/>
      <c r="Q456" s="53">
        <f t="shared" si="82"/>
        <v>1</v>
      </c>
      <c r="R456" s="493">
        <f t="shared" si="83"/>
        <v>0</v>
      </c>
      <c r="S456" s="802">
        <f t="shared" si="84"/>
        <v>0</v>
      </c>
    </row>
    <row r="457" spans="1:19">
      <c r="A457" s="968"/>
      <c r="B457" s="137"/>
      <c r="C457" s="53">
        <f t="shared" si="75"/>
        <v>1</v>
      </c>
      <c r="D457" s="966"/>
      <c r="E457" s="53">
        <f t="shared" si="76"/>
        <v>0.02</v>
      </c>
      <c r="F457" s="966"/>
      <c r="G457" s="53">
        <f t="shared" si="77"/>
        <v>1</v>
      </c>
      <c r="H457" s="966"/>
      <c r="I457" s="53">
        <f t="shared" si="78"/>
        <v>1</v>
      </c>
      <c r="J457" s="966"/>
      <c r="K457" s="53">
        <f t="shared" si="79"/>
        <v>1</v>
      </c>
      <c r="L457" s="966"/>
      <c r="M457" s="53">
        <f t="shared" si="80"/>
        <v>1</v>
      </c>
      <c r="N457" s="966"/>
      <c r="O457" s="53">
        <f t="shared" si="81"/>
        <v>1</v>
      </c>
      <c r="P457" s="966"/>
      <c r="Q457" s="53">
        <f t="shared" si="82"/>
        <v>1</v>
      </c>
      <c r="R457" s="493">
        <f t="shared" si="83"/>
        <v>0</v>
      </c>
      <c r="S457" s="802">
        <f t="shared" si="84"/>
        <v>0</v>
      </c>
    </row>
    <row r="458" spans="1:19">
      <c r="A458" s="968"/>
      <c r="B458" s="137"/>
      <c r="C458" s="53">
        <f t="shared" si="75"/>
        <v>1</v>
      </c>
      <c r="D458" s="966"/>
      <c r="E458" s="53">
        <f t="shared" si="76"/>
        <v>0.02</v>
      </c>
      <c r="F458" s="966"/>
      <c r="G458" s="53">
        <f t="shared" si="77"/>
        <v>1</v>
      </c>
      <c r="H458" s="966"/>
      <c r="I458" s="53">
        <f t="shared" si="78"/>
        <v>1</v>
      </c>
      <c r="J458" s="966"/>
      <c r="K458" s="53">
        <f t="shared" si="79"/>
        <v>1</v>
      </c>
      <c r="L458" s="966"/>
      <c r="M458" s="53">
        <f t="shared" si="80"/>
        <v>1</v>
      </c>
      <c r="N458" s="966"/>
      <c r="O458" s="53">
        <f t="shared" si="81"/>
        <v>1</v>
      </c>
      <c r="P458" s="966"/>
      <c r="Q458" s="53">
        <f t="shared" si="82"/>
        <v>1</v>
      </c>
      <c r="R458" s="493">
        <f t="shared" si="83"/>
        <v>0</v>
      </c>
      <c r="S458" s="802">
        <f t="shared" si="84"/>
        <v>0</v>
      </c>
    </row>
    <row r="459" spans="1:19">
      <c r="A459" s="968"/>
      <c r="B459" s="137"/>
      <c r="C459" s="53">
        <f t="shared" si="75"/>
        <v>1</v>
      </c>
      <c r="D459" s="966"/>
      <c r="E459" s="53">
        <f t="shared" si="76"/>
        <v>0.02</v>
      </c>
      <c r="F459" s="966"/>
      <c r="G459" s="53">
        <f t="shared" si="77"/>
        <v>1</v>
      </c>
      <c r="H459" s="966"/>
      <c r="I459" s="53">
        <f t="shared" si="78"/>
        <v>1</v>
      </c>
      <c r="J459" s="966"/>
      <c r="K459" s="53">
        <f t="shared" si="79"/>
        <v>1</v>
      </c>
      <c r="L459" s="966"/>
      <c r="M459" s="53">
        <f t="shared" si="80"/>
        <v>1</v>
      </c>
      <c r="N459" s="966"/>
      <c r="O459" s="53">
        <f t="shared" si="81"/>
        <v>1</v>
      </c>
      <c r="P459" s="966"/>
      <c r="Q459" s="53">
        <f t="shared" si="82"/>
        <v>1</v>
      </c>
      <c r="R459" s="493">
        <f t="shared" si="83"/>
        <v>0</v>
      </c>
      <c r="S459" s="802">
        <f t="shared" si="84"/>
        <v>0</v>
      </c>
    </row>
    <row r="460" spans="1:19">
      <c r="A460" s="968"/>
      <c r="B460" s="137"/>
      <c r="C460" s="53">
        <f t="shared" si="75"/>
        <v>1</v>
      </c>
      <c r="D460" s="966"/>
      <c r="E460" s="53">
        <f t="shared" si="76"/>
        <v>0.02</v>
      </c>
      <c r="F460" s="966"/>
      <c r="G460" s="53">
        <f t="shared" si="77"/>
        <v>1</v>
      </c>
      <c r="H460" s="966"/>
      <c r="I460" s="53">
        <f t="shared" si="78"/>
        <v>1</v>
      </c>
      <c r="J460" s="966"/>
      <c r="K460" s="53">
        <f t="shared" si="79"/>
        <v>1</v>
      </c>
      <c r="L460" s="966"/>
      <c r="M460" s="53">
        <f t="shared" si="80"/>
        <v>1</v>
      </c>
      <c r="N460" s="966"/>
      <c r="O460" s="53">
        <f t="shared" si="81"/>
        <v>1</v>
      </c>
      <c r="P460" s="966"/>
      <c r="Q460" s="53">
        <f t="shared" si="82"/>
        <v>1</v>
      </c>
      <c r="R460" s="493">
        <f t="shared" si="83"/>
        <v>0</v>
      </c>
      <c r="S460" s="802">
        <f t="shared" si="84"/>
        <v>0</v>
      </c>
    </row>
    <row r="461" spans="1:19">
      <c r="A461" s="968"/>
      <c r="B461" s="137"/>
      <c r="C461" s="53">
        <f t="shared" si="75"/>
        <v>1</v>
      </c>
      <c r="D461" s="966"/>
      <c r="E461" s="53">
        <f t="shared" si="76"/>
        <v>0.02</v>
      </c>
      <c r="F461" s="966"/>
      <c r="G461" s="53">
        <f t="shared" si="77"/>
        <v>1</v>
      </c>
      <c r="H461" s="966"/>
      <c r="I461" s="53">
        <f t="shared" si="78"/>
        <v>1</v>
      </c>
      <c r="J461" s="966"/>
      <c r="K461" s="53">
        <f t="shared" si="79"/>
        <v>1</v>
      </c>
      <c r="L461" s="966"/>
      <c r="M461" s="53">
        <f t="shared" si="80"/>
        <v>1</v>
      </c>
      <c r="N461" s="966"/>
      <c r="O461" s="53">
        <f t="shared" si="81"/>
        <v>1</v>
      </c>
      <c r="P461" s="966"/>
      <c r="Q461" s="53">
        <f t="shared" si="82"/>
        <v>1</v>
      </c>
      <c r="R461" s="493">
        <f t="shared" si="83"/>
        <v>0</v>
      </c>
      <c r="S461" s="802">
        <f t="shared" si="84"/>
        <v>0</v>
      </c>
    </row>
    <row r="462" spans="1:19">
      <c r="A462" s="968"/>
      <c r="B462" s="137"/>
      <c r="C462" s="53">
        <f t="shared" si="75"/>
        <v>1</v>
      </c>
      <c r="D462" s="966"/>
      <c r="E462" s="53">
        <f t="shared" si="76"/>
        <v>0.02</v>
      </c>
      <c r="F462" s="966"/>
      <c r="G462" s="53">
        <f t="shared" si="77"/>
        <v>1</v>
      </c>
      <c r="H462" s="966"/>
      <c r="I462" s="53">
        <f t="shared" si="78"/>
        <v>1</v>
      </c>
      <c r="J462" s="966"/>
      <c r="K462" s="53">
        <f t="shared" si="79"/>
        <v>1</v>
      </c>
      <c r="L462" s="966"/>
      <c r="M462" s="53">
        <f t="shared" si="80"/>
        <v>1</v>
      </c>
      <c r="N462" s="966"/>
      <c r="O462" s="53">
        <f t="shared" si="81"/>
        <v>1</v>
      </c>
      <c r="P462" s="966"/>
      <c r="Q462" s="53">
        <f t="shared" si="82"/>
        <v>1</v>
      </c>
      <c r="R462" s="493">
        <f t="shared" si="83"/>
        <v>0</v>
      </c>
      <c r="S462" s="802">
        <f t="shared" si="84"/>
        <v>0</v>
      </c>
    </row>
    <row r="463" spans="1:19">
      <c r="A463" s="968"/>
      <c r="B463" s="137"/>
      <c r="C463" s="53">
        <f t="shared" si="75"/>
        <v>1</v>
      </c>
      <c r="D463" s="966"/>
      <c r="E463" s="53">
        <f t="shared" si="76"/>
        <v>0.02</v>
      </c>
      <c r="F463" s="966"/>
      <c r="G463" s="53">
        <f t="shared" si="77"/>
        <v>1</v>
      </c>
      <c r="H463" s="966"/>
      <c r="I463" s="53">
        <f t="shared" si="78"/>
        <v>1</v>
      </c>
      <c r="J463" s="966"/>
      <c r="K463" s="53">
        <f t="shared" si="79"/>
        <v>1</v>
      </c>
      <c r="L463" s="966"/>
      <c r="M463" s="53">
        <f t="shared" si="80"/>
        <v>1</v>
      </c>
      <c r="N463" s="966"/>
      <c r="O463" s="53">
        <f t="shared" si="81"/>
        <v>1</v>
      </c>
      <c r="P463" s="966"/>
      <c r="Q463" s="53">
        <f t="shared" si="82"/>
        <v>1</v>
      </c>
      <c r="R463" s="493">
        <f t="shared" si="83"/>
        <v>0</v>
      </c>
      <c r="S463" s="802">
        <f t="shared" si="84"/>
        <v>0</v>
      </c>
    </row>
    <row r="464" spans="1:19">
      <c r="A464" s="968"/>
      <c r="B464" s="137"/>
      <c r="C464" s="53">
        <f t="shared" si="75"/>
        <v>1</v>
      </c>
      <c r="D464" s="966"/>
      <c r="E464" s="53">
        <f t="shared" si="76"/>
        <v>0.02</v>
      </c>
      <c r="F464" s="966"/>
      <c r="G464" s="53">
        <f t="shared" si="77"/>
        <v>1</v>
      </c>
      <c r="H464" s="966"/>
      <c r="I464" s="53">
        <f t="shared" si="78"/>
        <v>1</v>
      </c>
      <c r="J464" s="966"/>
      <c r="K464" s="53">
        <f t="shared" si="79"/>
        <v>1</v>
      </c>
      <c r="L464" s="966"/>
      <c r="M464" s="53">
        <f t="shared" si="80"/>
        <v>1</v>
      </c>
      <c r="N464" s="966"/>
      <c r="O464" s="53">
        <f t="shared" si="81"/>
        <v>1</v>
      </c>
      <c r="P464" s="966"/>
      <c r="Q464" s="53">
        <f t="shared" si="82"/>
        <v>1</v>
      </c>
      <c r="R464" s="493">
        <f t="shared" si="83"/>
        <v>0</v>
      </c>
      <c r="S464" s="802">
        <f t="shared" si="84"/>
        <v>0</v>
      </c>
    </row>
    <row r="465" spans="1:19">
      <c r="A465" s="968"/>
      <c r="B465" s="137"/>
      <c r="C465" s="53">
        <f t="shared" si="75"/>
        <v>1</v>
      </c>
      <c r="D465" s="966"/>
      <c r="E465" s="53">
        <f t="shared" si="76"/>
        <v>0.02</v>
      </c>
      <c r="F465" s="966"/>
      <c r="G465" s="53">
        <f t="shared" si="77"/>
        <v>1</v>
      </c>
      <c r="H465" s="966"/>
      <c r="I465" s="53">
        <f t="shared" si="78"/>
        <v>1</v>
      </c>
      <c r="J465" s="966"/>
      <c r="K465" s="53">
        <f t="shared" si="79"/>
        <v>1</v>
      </c>
      <c r="L465" s="966"/>
      <c r="M465" s="53">
        <f t="shared" si="80"/>
        <v>1</v>
      </c>
      <c r="N465" s="966"/>
      <c r="O465" s="53">
        <f t="shared" si="81"/>
        <v>1</v>
      </c>
      <c r="P465" s="966"/>
      <c r="Q465" s="53">
        <f t="shared" si="82"/>
        <v>1</v>
      </c>
      <c r="R465" s="493">
        <f t="shared" si="83"/>
        <v>0</v>
      </c>
      <c r="S465" s="802">
        <f t="shared" si="84"/>
        <v>0</v>
      </c>
    </row>
    <row r="466" spans="1:19">
      <c r="A466" s="968"/>
      <c r="B466" s="137"/>
      <c r="C466" s="53">
        <f t="shared" si="75"/>
        <v>1</v>
      </c>
      <c r="D466" s="966"/>
      <c r="E466" s="53">
        <f t="shared" si="76"/>
        <v>0.02</v>
      </c>
      <c r="F466" s="966"/>
      <c r="G466" s="53">
        <f t="shared" si="77"/>
        <v>1</v>
      </c>
      <c r="H466" s="966"/>
      <c r="I466" s="53">
        <f t="shared" si="78"/>
        <v>1</v>
      </c>
      <c r="J466" s="966"/>
      <c r="K466" s="53">
        <f t="shared" si="79"/>
        <v>1</v>
      </c>
      <c r="L466" s="966"/>
      <c r="M466" s="53">
        <f t="shared" si="80"/>
        <v>1</v>
      </c>
      <c r="N466" s="966"/>
      <c r="O466" s="53">
        <f t="shared" si="81"/>
        <v>1</v>
      </c>
      <c r="P466" s="966"/>
      <c r="Q466" s="53">
        <f t="shared" si="82"/>
        <v>1</v>
      </c>
      <c r="R466" s="493">
        <f t="shared" si="83"/>
        <v>0</v>
      </c>
      <c r="S466" s="802">
        <f t="shared" si="84"/>
        <v>0</v>
      </c>
    </row>
    <row r="467" spans="1:19">
      <c r="A467" s="968"/>
      <c r="B467" s="137"/>
      <c r="C467" s="53">
        <f t="shared" si="75"/>
        <v>1</v>
      </c>
      <c r="D467" s="966"/>
      <c r="E467" s="53">
        <f t="shared" si="76"/>
        <v>0.02</v>
      </c>
      <c r="F467" s="966"/>
      <c r="G467" s="53">
        <f t="shared" si="77"/>
        <v>1</v>
      </c>
      <c r="H467" s="966"/>
      <c r="I467" s="53">
        <f t="shared" si="78"/>
        <v>1</v>
      </c>
      <c r="J467" s="966"/>
      <c r="K467" s="53">
        <f t="shared" si="79"/>
        <v>1</v>
      </c>
      <c r="L467" s="966"/>
      <c r="M467" s="53">
        <f t="shared" si="80"/>
        <v>1</v>
      </c>
      <c r="N467" s="966"/>
      <c r="O467" s="53">
        <f t="shared" si="81"/>
        <v>1</v>
      </c>
      <c r="P467" s="966"/>
      <c r="Q467" s="53">
        <f t="shared" si="82"/>
        <v>1</v>
      </c>
      <c r="R467" s="493">
        <f t="shared" si="83"/>
        <v>0</v>
      </c>
      <c r="S467" s="802">
        <f t="shared" si="84"/>
        <v>0</v>
      </c>
    </row>
    <row r="468" spans="1:19">
      <c r="A468" s="968"/>
      <c r="B468" s="137"/>
      <c r="C468" s="53">
        <f t="shared" si="75"/>
        <v>1</v>
      </c>
      <c r="D468" s="966"/>
      <c r="E468" s="53">
        <f t="shared" si="76"/>
        <v>0.02</v>
      </c>
      <c r="F468" s="966"/>
      <c r="G468" s="53">
        <f t="shared" si="77"/>
        <v>1</v>
      </c>
      <c r="H468" s="966"/>
      <c r="I468" s="53">
        <f t="shared" si="78"/>
        <v>1</v>
      </c>
      <c r="J468" s="966"/>
      <c r="K468" s="53">
        <f t="shared" si="79"/>
        <v>1</v>
      </c>
      <c r="L468" s="966"/>
      <c r="M468" s="53">
        <f t="shared" si="80"/>
        <v>1</v>
      </c>
      <c r="N468" s="966"/>
      <c r="O468" s="53">
        <f t="shared" si="81"/>
        <v>1</v>
      </c>
      <c r="P468" s="966"/>
      <c r="Q468" s="53">
        <f t="shared" si="82"/>
        <v>1</v>
      </c>
      <c r="R468" s="493">
        <f t="shared" si="83"/>
        <v>0</v>
      </c>
      <c r="S468" s="802">
        <f t="shared" ref="S468:S497" si="85">ROUND(R468*B468/10000,0)</f>
        <v>0</v>
      </c>
    </row>
    <row r="469" spans="1:19">
      <c r="A469" s="968"/>
      <c r="B469" s="137"/>
      <c r="C469" s="53">
        <f t="shared" si="75"/>
        <v>1</v>
      </c>
      <c r="D469" s="966"/>
      <c r="E469" s="53">
        <f t="shared" si="76"/>
        <v>0.02</v>
      </c>
      <c r="F469" s="966"/>
      <c r="G469" s="53">
        <f t="shared" si="77"/>
        <v>1</v>
      </c>
      <c r="H469" s="966"/>
      <c r="I469" s="53">
        <f t="shared" si="78"/>
        <v>1</v>
      </c>
      <c r="J469" s="966"/>
      <c r="K469" s="53">
        <f t="shared" si="79"/>
        <v>1</v>
      </c>
      <c r="L469" s="966"/>
      <c r="M469" s="53">
        <f t="shared" si="80"/>
        <v>1</v>
      </c>
      <c r="N469" s="966"/>
      <c r="O469" s="53">
        <f t="shared" si="81"/>
        <v>1</v>
      </c>
      <c r="P469" s="966"/>
      <c r="Q469" s="53">
        <f t="shared" si="82"/>
        <v>1</v>
      </c>
      <c r="R469" s="493">
        <f t="shared" si="83"/>
        <v>0</v>
      </c>
      <c r="S469" s="802">
        <f t="shared" si="85"/>
        <v>0</v>
      </c>
    </row>
    <row r="470" spans="1:19">
      <c r="A470" s="968"/>
      <c r="B470" s="137"/>
      <c r="C470" s="53">
        <f t="shared" si="75"/>
        <v>1</v>
      </c>
      <c r="D470" s="966"/>
      <c r="E470" s="53">
        <f t="shared" si="76"/>
        <v>0.02</v>
      </c>
      <c r="F470" s="966"/>
      <c r="G470" s="53">
        <f t="shared" si="77"/>
        <v>1</v>
      </c>
      <c r="H470" s="966"/>
      <c r="I470" s="53">
        <f t="shared" si="78"/>
        <v>1</v>
      </c>
      <c r="J470" s="966"/>
      <c r="K470" s="53">
        <f t="shared" si="79"/>
        <v>1</v>
      </c>
      <c r="L470" s="966"/>
      <c r="M470" s="53">
        <f t="shared" si="80"/>
        <v>1</v>
      </c>
      <c r="N470" s="966"/>
      <c r="O470" s="53">
        <f t="shared" si="81"/>
        <v>1</v>
      </c>
      <c r="P470" s="966"/>
      <c r="Q470" s="53">
        <f t="shared" si="82"/>
        <v>1</v>
      </c>
      <c r="R470" s="493">
        <f t="shared" si="83"/>
        <v>0</v>
      </c>
      <c r="S470" s="802">
        <f t="shared" si="85"/>
        <v>0</v>
      </c>
    </row>
    <row r="471" spans="1:19">
      <c r="A471" s="968"/>
      <c r="B471" s="137"/>
      <c r="C471" s="53">
        <f t="shared" si="75"/>
        <v>1</v>
      </c>
      <c r="D471" s="966"/>
      <c r="E471" s="53">
        <f t="shared" si="76"/>
        <v>0.02</v>
      </c>
      <c r="F471" s="966"/>
      <c r="G471" s="53">
        <f t="shared" si="77"/>
        <v>1</v>
      </c>
      <c r="H471" s="966"/>
      <c r="I471" s="53">
        <f t="shared" si="78"/>
        <v>1</v>
      </c>
      <c r="J471" s="966"/>
      <c r="K471" s="53">
        <f t="shared" si="79"/>
        <v>1</v>
      </c>
      <c r="L471" s="966"/>
      <c r="M471" s="53">
        <f t="shared" si="80"/>
        <v>1</v>
      </c>
      <c r="N471" s="966"/>
      <c r="O471" s="53">
        <f t="shared" si="81"/>
        <v>1</v>
      </c>
      <c r="P471" s="966"/>
      <c r="Q471" s="53">
        <f t="shared" si="82"/>
        <v>1</v>
      </c>
      <c r="R471" s="493">
        <f t="shared" si="83"/>
        <v>0</v>
      </c>
      <c r="S471" s="802">
        <f t="shared" si="85"/>
        <v>0</v>
      </c>
    </row>
    <row r="472" spans="1:19">
      <c r="A472" s="968"/>
      <c r="B472" s="137"/>
      <c r="C472" s="53">
        <f t="shared" si="75"/>
        <v>1</v>
      </c>
      <c r="D472" s="966"/>
      <c r="E472" s="53">
        <f t="shared" si="76"/>
        <v>0.02</v>
      </c>
      <c r="F472" s="966"/>
      <c r="G472" s="53">
        <f t="shared" si="77"/>
        <v>1</v>
      </c>
      <c r="H472" s="966"/>
      <c r="I472" s="53">
        <f t="shared" si="78"/>
        <v>1</v>
      </c>
      <c r="J472" s="966"/>
      <c r="K472" s="53">
        <f t="shared" si="79"/>
        <v>1</v>
      </c>
      <c r="L472" s="966"/>
      <c r="M472" s="53">
        <f t="shared" si="80"/>
        <v>1</v>
      </c>
      <c r="N472" s="966"/>
      <c r="O472" s="53">
        <f t="shared" si="81"/>
        <v>1</v>
      </c>
      <c r="P472" s="966"/>
      <c r="Q472" s="53">
        <f t="shared" si="82"/>
        <v>1</v>
      </c>
      <c r="R472" s="493">
        <f t="shared" si="83"/>
        <v>0</v>
      </c>
      <c r="S472" s="802">
        <f t="shared" si="85"/>
        <v>0</v>
      </c>
    </row>
    <row r="473" spans="1:19">
      <c r="A473" s="968"/>
      <c r="B473" s="137"/>
      <c r="C473" s="53">
        <f t="shared" si="75"/>
        <v>1</v>
      </c>
      <c r="D473" s="966"/>
      <c r="E473" s="53">
        <f t="shared" si="76"/>
        <v>0.02</v>
      </c>
      <c r="F473" s="966"/>
      <c r="G473" s="53">
        <f t="shared" si="77"/>
        <v>1</v>
      </c>
      <c r="H473" s="966"/>
      <c r="I473" s="53">
        <f t="shared" si="78"/>
        <v>1</v>
      </c>
      <c r="J473" s="966"/>
      <c r="K473" s="53">
        <f t="shared" si="79"/>
        <v>1</v>
      </c>
      <c r="L473" s="966"/>
      <c r="M473" s="53">
        <f t="shared" si="80"/>
        <v>1</v>
      </c>
      <c r="N473" s="966"/>
      <c r="O473" s="53">
        <f t="shared" si="81"/>
        <v>1</v>
      </c>
      <c r="P473" s="966"/>
      <c r="Q473" s="53">
        <f t="shared" si="82"/>
        <v>1</v>
      </c>
      <c r="R473" s="493">
        <f t="shared" si="83"/>
        <v>0</v>
      </c>
      <c r="S473" s="802">
        <f t="shared" si="85"/>
        <v>0</v>
      </c>
    </row>
    <row r="474" spans="1:19">
      <c r="A474" s="968"/>
      <c r="B474" s="137"/>
      <c r="C474" s="53">
        <f t="shared" ref="C474:C524" si="86">IF(B474="",1,(LOOKUP(B474,$3:$3,$4:$4)-LOOKUP($B$24,$3:$3,$4:$4)+100)/100)</f>
        <v>1</v>
      </c>
      <c r="D474" s="966"/>
      <c r="E474" s="53">
        <f t="shared" ref="E474:E524" si="87">(SUMIF($5:$5,D474,$6:$6)-SUMIF($5:$5,$D$24,$6:$6)+100)/100</f>
        <v>0.02</v>
      </c>
      <c r="F474" s="966"/>
      <c r="G474" s="53">
        <f t="shared" ref="G474:G524" si="88">(SUMIF($7:$7,F474,$8:$8)-SUMIF($7:$7,$F$24,$8:$8)+100)/100</f>
        <v>1</v>
      </c>
      <c r="H474" s="966"/>
      <c r="I474" s="53">
        <f t="shared" ref="I474:I524" si="89">(SUMIF($9:$9,H474,$10:$10)-SUMIF($9:$9,$H$24,$10:$10)+100)/100</f>
        <v>1</v>
      </c>
      <c r="J474" s="966"/>
      <c r="K474" s="53">
        <f t="shared" ref="K474:K524" si="90">(SUMIF($11:$11,J474,$12:$12)-SUMIF($11:$11,$J$24,$12:$12)+100)/100</f>
        <v>1</v>
      </c>
      <c r="L474" s="966"/>
      <c r="M474" s="53">
        <f t="shared" ref="M474:M524" si="91">(SUMIF($13:$13,L474,$14:$14)-SUMIF($13:$13,$L$24,$14:$14)+100)/100</f>
        <v>1</v>
      </c>
      <c r="N474" s="966"/>
      <c r="O474" s="53">
        <f t="shared" ref="O474:O524" si="92">(SUMIF($15:$15,N474,$16:$16)-SUMIF($15:$15,$N$24,$16:$16)+100)/100</f>
        <v>1</v>
      </c>
      <c r="P474" s="966"/>
      <c r="Q474" s="53">
        <f t="shared" ref="Q474:Q524" si="93">(SUMIF($17:$17,P474,$18:$18)-SUMIF($17:$17,$P$24,$18:$18)+100)/100</f>
        <v>1</v>
      </c>
      <c r="R474" s="493">
        <f t="shared" ref="R474:R524" si="94">IF(B474="",0,ROUND($R$24*C474*E474*G474*I474*K474*M474*O474*Q474,0))</f>
        <v>0</v>
      </c>
      <c r="S474" s="802">
        <f t="shared" si="85"/>
        <v>0</v>
      </c>
    </row>
    <row r="475" spans="1:19">
      <c r="A475" s="968"/>
      <c r="B475" s="137"/>
      <c r="C475" s="53">
        <f t="shared" si="86"/>
        <v>1</v>
      </c>
      <c r="D475" s="966"/>
      <c r="E475" s="53">
        <f t="shared" si="87"/>
        <v>0.02</v>
      </c>
      <c r="F475" s="966"/>
      <c r="G475" s="53">
        <f t="shared" si="88"/>
        <v>1</v>
      </c>
      <c r="H475" s="966"/>
      <c r="I475" s="53">
        <f t="shared" si="89"/>
        <v>1</v>
      </c>
      <c r="J475" s="966"/>
      <c r="K475" s="53">
        <f t="shared" si="90"/>
        <v>1</v>
      </c>
      <c r="L475" s="966"/>
      <c r="M475" s="53">
        <f t="shared" si="91"/>
        <v>1</v>
      </c>
      <c r="N475" s="966"/>
      <c r="O475" s="53">
        <f t="shared" si="92"/>
        <v>1</v>
      </c>
      <c r="P475" s="966"/>
      <c r="Q475" s="53">
        <f t="shared" si="93"/>
        <v>1</v>
      </c>
      <c r="R475" s="493">
        <f t="shared" si="94"/>
        <v>0</v>
      </c>
      <c r="S475" s="802">
        <f t="shared" si="85"/>
        <v>0</v>
      </c>
    </row>
    <row r="476" spans="1:19">
      <c r="A476" s="968"/>
      <c r="B476" s="137"/>
      <c r="C476" s="53">
        <f t="shared" si="86"/>
        <v>1</v>
      </c>
      <c r="D476" s="966"/>
      <c r="E476" s="53">
        <f t="shared" si="87"/>
        <v>0.02</v>
      </c>
      <c r="F476" s="966"/>
      <c r="G476" s="53">
        <f t="shared" si="88"/>
        <v>1</v>
      </c>
      <c r="H476" s="966"/>
      <c r="I476" s="53">
        <f t="shared" si="89"/>
        <v>1</v>
      </c>
      <c r="J476" s="966"/>
      <c r="K476" s="53">
        <f t="shared" si="90"/>
        <v>1</v>
      </c>
      <c r="L476" s="966"/>
      <c r="M476" s="53">
        <f t="shared" si="91"/>
        <v>1</v>
      </c>
      <c r="N476" s="966"/>
      <c r="O476" s="53">
        <f t="shared" si="92"/>
        <v>1</v>
      </c>
      <c r="P476" s="966"/>
      <c r="Q476" s="53">
        <f t="shared" si="93"/>
        <v>1</v>
      </c>
      <c r="R476" s="493">
        <f t="shared" si="94"/>
        <v>0</v>
      </c>
      <c r="S476" s="802">
        <f t="shared" si="85"/>
        <v>0</v>
      </c>
    </row>
    <row r="477" spans="1:19">
      <c r="A477" s="968"/>
      <c r="B477" s="137"/>
      <c r="C477" s="53">
        <f t="shared" si="86"/>
        <v>1</v>
      </c>
      <c r="D477" s="966"/>
      <c r="E477" s="53">
        <f t="shared" si="87"/>
        <v>0.02</v>
      </c>
      <c r="F477" s="966"/>
      <c r="G477" s="53">
        <f t="shared" si="88"/>
        <v>1</v>
      </c>
      <c r="H477" s="966"/>
      <c r="I477" s="53">
        <f t="shared" si="89"/>
        <v>1</v>
      </c>
      <c r="J477" s="966"/>
      <c r="K477" s="53">
        <f t="shared" si="90"/>
        <v>1</v>
      </c>
      <c r="L477" s="966"/>
      <c r="M477" s="53">
        <f t="shared" si="91"/>
        <v>1</v>
      </c>
      <c r="N477" s="966"/>
      <c r="O477" s="53">
        <f t="shared" si="92"/>
        <v>1</v>
      </c>
      <c r="P477" s="966"/>
      <c r="Q477" s="53">
        <f t="shared" si="93"/>
        <v>1</v>
      </c>
      <c r="R477" s="493">
        <f t="shared" si="94"/>
        <v>0</v>
      </c>
      <c r="S477" s="802">
        <f t="shared" si="85"/>
        <v>0</v>
      </c>
    </row>
    <row r="478" spans="1:19">
      <c r="A478" s="968"/>
      <c r="B478" s="137"/>
      <c r="C478" s="53">
        <f t="shared" si="86"/>
        <v>1</v>
      </c>
      <c r="D478" s="966"/>
      <c r="E478" s="53">
        <f t="shared" si="87"/>
        <v>0.02</v>
      </c>
      <c r="F478" s="966"/>
      <c r="G478" s="53">
        <f t="shared" si="88"/>
        <v>1</v>
      </c>
      <c r="H478" s="966"/>
      <c r="I478" s="53">
        <f t="shared" si="89"/>
        <v>1</v>
      </c>
      <c r="J478" s="966"/>
      <c r="K478" s="53">
        <f t="shared" si="90"/>
        <v>1</v>
      </c>
      <c r="L478" s="966"/>
      <c r="M478" s="53">
        <f t="shared" si="91"/>
        <v>1</v>
      </c>
      <c r="N478" s="966"/>
      <c r="O478" s="53">
        <f t="shared" si="92"/>
        <v>1</v>
      </c>
      <c r="P478" s="966"/>
      <c r="Q478" s="53">
        <f t="shared" si="93"/>
        <v>1</v>
      </c>
      <c r="R478" s="493">
        <f t="shared" si="94"/>
        <v>0</v>
      </c>
      <c r="S478" s="802">
        <f t="shared" si="85"/>
        <v>0</v>
      </c>
    </row>
    <row r="479" spans="1:19">
      <c r="A479" s="968"/>
      <c r="B479" s="137"/>
      <c r="C479" s="53">
        <f t="shared" si="86"/>
        <v>1</v>
      </c>
      <c r="D479" s="966"/>
      <c r="E479" s="53">
        <f t="shared" si="87"/>
        <v>0.02</v>
      </c>
      <c r="F479" s="966"/>
      <c r="G479" s="53">
        <f t="shared" si="88"/>
        <v>1</v>
      </c>
      <c r="H479" s="966"/>
      <c r="I479" s="53">
        <f t="shared" si="89"/>
        <v>1</v>
      </c>
      <c r="J479" s="966"/>
      <c r="K479" s="53">
        <f t="shared" si="90"/>
        <v>1</v>
      </c>
      <c r="L479" s="966"/>
      <c r="M479" s="53">
        <f t="shared" si="91"/>
        <v>1</v>
      </c>
      <c r="N479" s="966"/>
      <c r="O479" s="53">
        <f t="shared" si="92"/>
        <v>1</v>
      </c>
      <c r="P479" s="966"/>
      <c r="Q479" s="53">
        <f t="shared" si="93"/>
        <v>1</v>
      </c>
      <c r="R479" s="493">
        <f t="shared" si="94"/>
        <v>0</v>
      </c>
      <c r="S479" s="802">
        <f t="shared" si="85"/>
        <v>0</v>
      </c>
    </row>
    <row r="480" spans="1:19">
      <c r="A480" s="968"/>
      <c r="B480" s="137"/>
      <c r="C480" s="53">
        <f t="shared" si="86"/>
        <v>1</v>
      </c>
      <c r="D480" s="966"/>
      <c r="E480" s="53">
        <f t="shared" si="87"/>
        <v>0.02</v>
      </c>
      <c r="F480" s="966"/>
      <c r="G480" s="53">
        <f t="shared" si="88"/>
        <v>1</v>
      </c>
      <c r="H480" s="966"/>
      <c r="I480" s="53">
        <f t="shared" si="89"/>
        <v>1</v>
      </c>
      <c r="J480" s="966"/>
      <c r="K480" s="53">
        <f t="shared" si="90"/>
        <v>1</v>
      </c>
      <c r="L480" s="966"/>
      <c r="M480" s="53">
        <f t="shared" si="91"/>
        <v>1</v>
      </c>
      <c r="N480" s="966"/>
      <c r="O480" s="53">
        <f t="shared" si="92"/>
        <v>1</v>
      </c>
      <c r="P480" s="966"/>
      <c r="Q480" s="53">
        <f t="shared" si="93"/>
        <v>1</v>
      </c>
      <c r="R480" s="493">
        <f t="shared" si="94"/>
        <v>0</v>
      </c>
      <c r="S480" s="802">
        <f t="shared" si="85"/>
        <v>0</v>
      </c>
    </row>
    <row r="481" spans="1:19">
      <c r="A481" s="968"/>
      <c r="B481" s="137"/>
      <c r="C481" s="53">
        <f t="shared" si="86"/>
        <v>1</v>
      </c>
      <c r="D481" s="966"/>
      <c r="E481" s="53">
        <f t="shared" si="87"/>
        <v>0.02</v>
      </c>
      <c r="F481" s="966"/>
      <c r="G481" s="53">
        <f t="shared" si="88"/>
        <v>1</v>
      </c>
      <c r="H481" s="966"/>
      <c r="I481" s="53">
        <f t="shared" si="89"/>
        <v>1</v>
      </c>
      <c r="J481" s="966"/>
      <c r="K481" s="53">
        <f t="shared" si="90"/>
        <v>1</v>
      </c>
      <c r="L481" s="966"/>
      <c r="M481" s="53">
        <f t="shared" si="91"/>
        <v>1</v>
      </c>
      <c r="N481" s="966"/>
      <c r="O481" s="53">
        <f t="shared" si="92"/>
        <v>1</v>
      </c>
      <c r="P481" s="966"/>
      <c r="Q481" s="53">
        <f t="shared" si="93"/>
        <v>1</v>
      </c>
      <c r="R481" s="493">
        <f t="shared" si="94"/>
        <v>0</v>
      </c>
      <c r="S481" s="802">
        <f t="shared" si="85"/>
        <v>0</v>
      </c>
    </row>
    <row r="482" spans="1:19">
      <c r="A482" s="968"/>
      <c r="B482" s="137"/>
      <c r="C482" s="53">
        <f t="shared" si="86"/>
        <v>1</v>
      </c>
      <c r="D482" s="966"/>
      <c r="E482" s="53">
        <f t="shared" si="87"/>
        <v>0.02</v>
      </c>
      <c r="F482" s="966"/>
      <c r="G482" s="53">
        <f t="shared" si="88"/>
        <v>1</v>
      </c>
      <c r="H482" s="966"/>
      <c r="I482" s="53">
        <f t="shared" si="89"/>
        <v>1</v>
      </c>
      <c r="J482" s="966"/>
      <c r="K482" s="53">
        <f t="shared" si="90"/>
        <v>1</v>
      </c>
      <c r="L482" s="966"/>
      <c r="M482" s="53">
        <f t="shared" si="91"/>
        <v>1</v>
      </c>
      <c r="N482" s="966"/>
      <c r="O482" s="53">
        <f t="shared" si="92"/>
        <v>1</v>
      </c>
      <c r="P482" s="966"/>
      <c r="Q482" s="53">
        <f t="shared" si="93"/>
        <v>1</v>
      </c>
      <c r="R482" s="493">
        <f t="shared" si="94"/>
        <v>0</v>
      </c>
      <c r="S482" s="802">
        <f t="shared" si="85"/>
        <v>0</v>
      </c>
    </row>
    <row r="483" spans="1:19">
      <c r="A483" s="968"/>
      <c r="B483" s="137"/>
      <c r="C483" s="53">
        <f t="shared" si="86"/>
        <v>1</v>
      </c>
      <c r="D483" s="966"/>
      <c r="E483" s="53">
        <f t="shared" si="87"/>
        <v>0.02</v>
      </c>
      <c r="F483" s="966"/>
      <c r="G483" s="53">
        <f t="shared" si="88"/>
        <v>1</v>
      </c>
      <c r="H483" s="966"/>
      <c r="I483" s="53">
        <f t="shared" si="89"/>
        <v>1</v>
      </c>
      <c r="J483" s="966"/>
      <c r="K483" s="53">
        <f t="shared" si="90"/>
        <v>1</v>
      </c>
      <c r="L483" s="966"/>
      <c r="M483" s="53">
        <f t="shared" si="91"/>
        <v>1</v>
      </c>
      <c r="N483" s="966"/>
      <c r="O483" s="53">
        <f t="shared" si="92"/>
        <v>1</v>
      </c>
      <c r="P483" s="966"/>
      <c r="Q483" s="53">
        <f t="shared" si="93"/>
        <v>1</v>
      </c>
      <c r="R483" s="493">
        <f t="shared" si="94"/>
        <v>0</v>
      </c>
      <c r="S483" s="802">
        <f t="shared" si="85"/>
        <v>0</v>
      </c>
    </row>
    <row r="484" spans="1:19">
      <c r="A484" s="968"/>
      <c r="B484" s="137"/>
      <c r="C484" s="53">
        <f t="shared" si="86"/>
        <v>1</v>
      </c>
      <c r="D484" s="966"/>
      <c r="E484" s="53">
        <f t="shared" si="87"/>
        <v>0.02</v>
      </c>
      <c r="F484" s="966"/>
      <c r="G484" s="53">
        <f t="shared" si="88"/>
        <v>1</v>
      </c>
      <c r="H484" s="966"/>
      <c r="I484" s="53">
        <f t="shared" si="89"/>
        <v>1</v>
      </c>
      <c r="J484" s="966"/>
      <c r="K484" s="53">
        <f t="shared" si="90"/>
        <v>1</v>
      </c>
      <c r="L484" s="966"/>
      <c r="M484" s="53">
        <f t="shared" si="91"/>
        <v>1</v>
      </c>
      <c r="N484" s="966"/>
      <c r="O484" s="53">
        <f t="shared" si="92"/>
        <v>1</v>
      </c>
      <c r="P484" s="966"/>
      <c r="Q484" s="53">
        <f t="shared" si="93"/>
        <v>1</v>
      </c>
      <c r="R484" s="493">
        <f t="shared" si="94"/>
        <v>0</v>
      </c>
      <c r="S484" s="802">
        <f t="shared" si="85"/>
        <v>0</v>
      </c>
    </row>
    <row r="485" spans="1:19">
      <c r="A485" s="968"/>
      <c r="B485" s="137"/>
      <c r="C485" s="53">
        <f t="shared" si="86"/>
        <v>1</v>
      </c>
      <c r="D485" s="966"/>
      <c r="E485" s="53">
        <f t="shared" si="87"/>
        <v>0.02</v>
      </c>
      <c r="F485" s="966"/>
      <c r="G485" s="53">
        <f t="shared" si="88"/>
        <v>1</v>
      </c>
      <c r="H485" s="966"/>
      <c r="I485" s="53">
        <f t="shared" si="89"/>
        <v>1</v>
      </c>
      <c r="J485" s="966"/>
      <c r="K485" s="53">
        <f t="shared" si="90"/>
        <v>1</v>
      </c>
      <c r="L485" s="966"/>
      <c r="M485" s="53">
        <f t="shared" si="91"/>
        <v>1</v>
      </c>
      <c r="N485" s="966"/>
      <c r="O485" s="53">
        <f t="shared" si="92"/>
        <v>1</v>
      </c>
      <c r="P485" s="966"/>
      <c r="Q485" s="53">
        <f t="shared" si="93"/>
        <v>1</v>
      </c>
      <c r="R485" s="493">
        <f t="shared" si="94"/>
        <v>0</v>
      </c>
      <c r="S485" s="802">
        <f t="shared" si="85"/>
        <v>0</v>
      </c>
    </row>
    <row r="486" spans="1:19">
      <c r="A486" s="968"/>
      <c r="B486" s="137"/>
      <c r="C486" s="53">
        <f t="shared" si="86"/>
        <v>1</v>
      </c>
      <c r="D486" s="966"/>
      <c r="E486" s="53">
        <f t="shared" si="87"/>
        <v>0.02</v>
      </c>
      <c r="F486" s="966"/>
      <c r="G486" s="53">
        <f t="shared" si="88"/>
        <v>1</v>
      </c>
      <c r="H486" s="966"/>
      <c r="I486" s="53">
        <f t="shared" si="89"/>
        <v>1</v>
      </c>
      <c r="J486" s="966"/>
      <c r="K486" s="53">
        <f t="shared" si="90"/>
        <v>1</v>
      </c>
      <c r="L486" s="966"/>
      <c r="M486" s="53">
        <f t="shared" si="91"/>
        <v>1</v>
      </c>
      <c r="N486" s="966"/>
      <c r="O486" s="53">
        <f t="shared" si="92"/>
        <v>1</v>
      </c>
      <c r="P486" s="966"/>
      <c r="Q486" s="53">
        <f t="shared" si="93"/>
        <v>1</v>
      </c>
      <c r="R486" s="493">
        <f t="shared" si="94"/>
        <v>0</v>
      </c>
      <c r="S486" s="802">
        <f t="shared" si="85"/>
        <v>0</v>
      </c>
    </row>
    <row r="487" spans="1:19">
      <c r="A487" s="968"/>
      <c r="B487" s="137"/>
      <c r="C487" s="53">
        <f t="shared" si="86"/>
        <v>1</v>
      </c>
      <c r="D487" s="966"/>
      <c r="E487" s="53">
        <f t="shared" si="87"/>
        <v>0.02</v>
      </c>
      <c r="F487" s="966"/>
      <c r="G487" s="53">
        <f t="shared" si="88"/>
        <v>1</v>
      </c>
      <c r="H487" s="966"/>
      <c r="I487" s="53">
        <f t="shared" si="89"/>
        <v>1</v>
      </c>
      <c r="J487" s="966"/>
      <c r="K487" s="53">
        <f t="shared" si="90"/>
        <v>1</v>
      </c>
      <c r="L487" s="966"/>
      <c r="M487" s="53">
        <f t="shared" si="91"/>
        <v>1</v>
      </c>
      <c r="N487" s="966"/>
      <c r="O487" s="53">
        <f t="shared" si="92"/>
        <v>1</v>
      </c>
      <c r="P487" s="966"/>
      <c r="Q487" s="53">
        <f t="shared" si="93"/>
        <v>1</v>
      </c>
      <c r="R487" s="493">
        <f t="shared" si="94"/>
        <v>0</v>
      </c>
      <c r="S487" s="802">
        <f t="shared" si="85"/>
        <v>0</v>
      </c>
    </row>
    <row r="488" spans="1:19">
      <c r="A488" s="968"/>
      <c r="B488" s="137"/>
      <c r="C488" s="53">
        <f t="shared" si="86"/>
        <v>1</v>
      </c>
      <c r="D488" s="966"/>
      <c r="E488" s="53">
        <f t="shared" si="87"/>
        <v>0.02</v>
      </c>
      <c r="F488" s="966"/>
      <c r="G488" s="53">
        <f t="shared" si="88"/>
        <v>1</v>
      </c>
      <c r="H488" s="966"/>
      <c r="I488" s="53">
        <f t="shared" si="89"/>
        <v>1</v>
      </c>
      <c r="J488" s="966"/>
      <c r="K488" s="53">
        <f t="shared" si="90"/>
        <v>1</v>
      </c>
      <c r="L488" s="966"/>
      <c r="M488" s="53">
        <f t="shared" si="91"/>
        <v>1</v>
      </c>
      <c r="N488" s="966"/>
      <c r="O488" s="53">
        <f t="shared" si="92"/>
        <v>1</v>
      </c>
      <c r="P488" s="966"/>
      <c r="Q488" s="53">
        <f t="shared" si="93"/>
        <v>1</v>
      </c>
      <c r="R488" s="493">
        <f t="shared" si="94"/>
        <v>0</v>
      </c>
      <c r="S488" s="802">
        <f t="shared" si="85"/>
        <v>0</v>
      </c>
    </row>
    <row r="489" spans="1:19">
      <c r="A489" s="968"/>
      <c r="B489" s="137"/>
      <c r="C489" s="53">
        <f t="shared" si="86"/>
        <v>1</v>
      </c>
      <c r="D489" s="966"/>
      <c r="E489" s="53">
        <f t="shared" si="87"/>
        <v>0.02</v>
      </c>
      <c r="F489" s="966"/>
      <c r="G489" s="53">
        <f t="shared" si="88"/>
        <v>1</v>
      </c>
      <c r="H489" s="966"/>
      <c r="I489" s="53">
        <f t="shared" si="89"/>
        <v>1</v>
      </c>
      <c r="J489" s="966"/>
      <c r="K489" s="53">
        <f t="shared" si="90"/>
        <v>1</v>
      </c>
      <c r="L489" s="966"/>
      <c r="M489" s="53">
        <f t="shared" si="91"/>
        <v>1</v>
      </c>
      <c r="N489" s="966"/>
      <c r="O489" s="53">
        <f t="shared" si="92"/>
        <v>1</v>
      </c>
      <c r="P489" s="966"/>
      <c r="Q489" s="53">
        <f t="shared" si="93"/>
        <v>1</v>
      </c>
      <c r="R489" s="493">
        <f t="shared" si="94"/>
        <v>0</v>
      </c>
      <c r="S489" s="802">
        <f t="shared" si="85"/>
        <v>0</v>
      </c>
    </row>
    <row r="490" spans="1:19">
      <c r="A490" s="968"/>
      <c r="B490" s="137"/>
      <c r="C490" s="53">
        <f t="shared" si="86"/>
        <v>1</v>
      </c>
      <c r="D490" s="966"/>
      <c r="E490" s="53">
        <f t="shared" si="87"/>
        <v>0.02</v>
      </c>
      <c r="F490" s="966"/>
      <c r="G490" s="53">
        <f t="shared" si="88"/>
        <v>1</v>
      </c>
      <c r="H490" s="966"/>
      <c r="I490" s="53">
        <f t="shared" si="89"/>
        <v>1</v>
      </c>
      <c r="J490" s="966"/>
      <c r="K490" s="53">
        <f t="shared" si="90"/>
        <v>1</v>
      </c>
      <c r="L490" s="966"/>
      <c r="M490" s="53">
        <f t="shared" si="91"/>
        <v>1</v>
      </c>
      <c r="N490" s="966"/>
      <c r="O490" s="53">
        <f t="shared" si="92"/>
        <v>1</v>
      </c>
      <c r="P490" s="966"/>
      <c r="Q490" s="53">
        <f t="shared" si="93"/>
        <v>1</v>
      </c>
      <c r="R490" s="493">
        <f t="shared" si="94"/>
        <v>0</v>
      </c>
      <c r="S490" s="802">
        <f t="shared" si="85"/>
        <v>0</v>
      </c>
    </row>
    <row r="491" spans="1:19">
      <c r="A491" s="968"/>
      <c r="B491" s="137"/>
      <c r="C491" s="53">
        <f t="shared" si="86"/>
        <v>1</v>
      </c>
      <c r="D491" s="966"/>
      <c r="E491" s="53">
        <f t="shared" si="87"/>
        <v>0.02</v>
      </c>
      <c r="F491" s="966"/>
      <c r="G491" s="53">
        <f t="shared" si="88"/>
        <v>1</v>
      </c>
      <c r="H491" s="966"/>
      <c r="I491" s="53">
        <f t="shared" si="89"/>
        <v>1</v>
      </c>
      <c r="J491" s="966"/>
      <c r="K491" s="53">
        <f t="shared" si="90"/>
        <v>1</v>
      </c>
      <c r="L491" s="966"/>
      <c r="M491" s="53">
        <f t="shared" si="91"/>
        <v>1</v>
      </c>
      <c r="N491" s="966"/>
      <c r="O491" s="53">
        <f t="shared" si="92"/>
        <v>1</v>
      </c>
      <c r="P491" s="966"/>
      <c r="Q491" s="53">
        <f t="shared" si="93"/>
        <v>1</v>
      </c>
      <c r="R491" s="493">
        <f t="shared" si="94"/>
        <v>0</v>
      </c>
      <c r="S491" s="802">
        <f t="shared" si="85"/>
        <v>0</v>
      </c>
    </row>
    <row r="492" spans="1:19">
      <c r="A492" s="968"/>
      <c r="B492" s="137"/>
      <c r="C492" s="53">
        <f t="shared" si="86"/>
        <v>1</v>
      </c>
      <c r="D492" s="966"/>
      <c r="E492" s="53">
        <f t="shared" si="87"/>
        <v>0.02</v>
      </c>
      <c r="F492" s="966"/>
      <c r="G492" s="53">
        <f t="shared" si="88"/>
        <v>1</v>
      </c>
      <c r="H492" s="966"/>
      <c r="I492" s="53">
        <f t="shared" si="89"/>
        <v>1</v>
      </c>
      <c r="J492" s="966"/>
      <c r="K492" s="53">
        <f t="shared" si="90"/>
        <v>1</v>
      </c>
      <c r="L492" s="966"/>
      <c r="M492" s="53">
        <f t="shared" si="91"/>
        <v>1</v>
      </c>
      <c r="N492" s="966"/>
      <c r="O492" s="53">
        <f t="shared" si="92"/>
        <v>1</v>
      </c>
      <c r="P492" s="966"/>
      <c r="Q492" s="53">
        <f t="shared" si="93"/>
        <v>1</v>
      </c>
      <c r="R492" s="493">
        <f t="shared" si="94"/>
        <v>0</v>
      </c>
      <c r="S492" s="802">
        <f t="shared" si="85"/>
        <v>0</v>
      </c>
    </row>
    <row r="493" spans="1:19">
      <c r="A493" s="968"/>
      <c r="B493" s="137"/>
      <c r="C493" s="53">
        <f t="shared" si="86"/>
        <v>1</v>
      </c>
      <c r="D493" s="966"/>
      <c r="E493" s="53">
        <f t="shared" si="87"/>
        <v>0.02</v>
      </c>
      <c r="F493" s="966"/>
      <c r="G493" s="53">
        <f t="shared" si="88"/>
        <v>1</v>
      </c>
      <c r="H493" s="966"/>
      <c r="I493" s="53">
        <f t="shared" si="89"/>
        <v>1</v>
      </c>
      <c r="J493" s="966"/>
      <c r="K493" s="53">
        <f t="shared" si="90"/>
        <v>1</v>
      </c>
      <c r="L493" s="966"/>
      <c r="M493" s="53">
        <f t="shared" si="91"/>
        <v>1</v>
      </c>
      <c r="N493" s="966"/>
      <c r="O493" s="53">
        <f t="shared" si="92"/>
        <v>1</v>
      </c>
      <c r="P493" s="966"/>
      <c r="Q493" s="53">
        <f t="shared" si="93"/>
        <v>1</v>
      </c>
      <c r="R493" s="493">
        <f t="shared" si="94"/>
        <v>0</v>
      </c>
      <c r="S493" s="802">
        <f t="shared" si="85"/>
        <v>0</v>
      </c>
    </row>
    <row r="494" spans="1:19">
      <c r="A494" s="968"/>
      <c r="B494" s="137"/>
      <c r="C494" s="53">
        <f t="shared" si="86"/>
        <v>1</v>
      </c>
      <c r="D494" s="966"/>
      <c r="E494" s="53">
        <f t="shared" si="87"/>
        <v>0.02</v>
      </c>
      <c r="F494" s="966"/>
      <c r="G494" s="53">
        <f t="shared" si="88"/>
        <v>1</v>
      </c>
      <c r="H494" s="966"/>
      <c r="I494" s="53">
        <f t="shared" si="89"/>
        <v>1</v>
      </c>
      <c r="J494" s="966"/>
      <c r="K494" s="53">
        <f t="shared" si="90"/>
        <v>1</v>
      </c>
      <c r="L494" s="966"/>
      <c r="M494" s="53">
        <f t="shared" si="91"/>
        <v>1</v>
      </c>
      <c r="N494" s="966"/>
      <c r="O494" s="53">
        <f t="shared" si="92"/>
        <v>1</v>
      </c>
      <c r="P494" s="966"/>
      <c r="Q494" s="53">
        <f t="shared" si="93"/>
        <v>1</v>
      </c>
      <c r="R494" s="493">
        <f t="shared" si="94"/>
        <v>0</v>
      </c>
      <c r="S494" s="802">
        <f t="shared" si="85"/>
        <v>0</v>
      </c>
    </row>
    <row r="495" spans="1:19">
      <c r="A495" s="968"/>
      <c r="B495" s="137"/>
      <c r="C495" s="53">
        <f t="shared" si="86"/>
        <v>1</v>
      </c>
      <c r="D495" s="966"/>
      <c r="E495" s="53">
        <f t="shared" si="87"/>
        <v>0.02</v>
      </c>
      <c r="F495" s="966"/>
      <c r="G495" s="53">
        <f t="shared" si="88"/>
        <v>1</v>
      </c>
      <c r="H495" s="966"/>
      <c r="I495" s="53">
        <f t="shared" si="89"/>
        <v>1</v>
      </c>
      <c r="J495" s="966"/>
      <c r="K495" s="53">
        <f t="shared" si="90"/>
        <v>1</v>
      </c>
      <c r="L495" s="966"/>
      <c r="M495" s="53">
        <f t="shared" si="91"/>
        <v>1</v>
      </c>
      <c r="N495" s="966"/>
      <c r="O495" s="53">
        <f t="shared" si="92"/>
        <v>1</v>
      </c>
      <c r="P495" s="966"/>
      <c r="Q495" s="53">
        <f t="shared" si="93"/>
        <v>1</v>
      </c>
      <c r="R495" s="493">
        <f t="shared" si="94"/>
        <v>0</v>
      </c>
      <c r="S495" s="802">
        <f t="shared" si="85"/>
        <v>0</v>
      </c>
    </row>
    <row r="496" spans="1:19">
      <c r="A496" s="968"/>
      <c r="B496" s="137"/>
      <c r="C496" s="53">
        <f t="shared" si="86"/>
        <v>1</v>
      </c>
      <c r="D496" s="966"/>
      <c r="E496" s="53">
        <f t="shared" si="87"/>
        <v>0.02</v>
      </c>
      <c r="F496" s="966"/>
      <c r="G496" s="53">
        <f t="shared" si="88"/>
        <v>1</v>
      </c>
      <c r="H496" s="966"/>
      <c r="I496" s="53">
        <f t="shared" si="89"/>
        <v>1</v>
      </c>
      <c r="J496" s="966"/>
      <c r="K496" s="53">
        <f t="shared" si="90"/>
        <v>1</v>
      </c>
      <c r="L496" s="966"/>
      <c r="M496" s="53">
        <f t="shared" si="91"/>
        <v>1</v>
      </c>
      <c r="N496" s="966"/>
      <c r="O496" s="53">
        <f t="shared" si="92"/>
        <v>1</v>
      </c>
      <c r="P496" s="966"/>
      <c r="Q496" s="53">
        <f t="shared" si="93"/>
        <v>1</v>
      </c>
      <c r="R496" s="493">
        <f t="shared" si="94"/>
        <v>0</v>
      </c>
      <c r="S496" s="802">
        <f t="shared" si="85"/>
        <v>0</v>
      </c>
    </row>
    <row r="497" spans="1:19">
      <c r="A497" s="968"/>
      <c r="B497" s="137"/>
      <c r="C497" s="53">
        <f t="shared" si="86"/>
        <v>1</v>
      </c>
      <c r="D497" s="966"/>
      <c r="E497" s="53">
        <f t="shared" si="87"/>
        <v>0.02</v>
      </c>
      <c r="F497" s="966"/>
      <c r="G497" s="53">
        <f t="shared" si="88"/>
        <v>1</v>
      </c>
      <c r="H497" s="966"/>
      <c r="I497" s="53">
        <f t="shared" si="89"/>
        <v>1</v>
      </c>
      <c r="J497" s="966"/>
      <c r="K497" s="53">
        <f t="shared" si="90"/>
        <v>1</v>
      </c>
      <c r="L497" s="966"/>
      <c r="M497" s="53">
        <f t="shared" si="91"/>
        <v>1</v>
      </c>
      <c r="N497" s="966"/>
      <c r="O497" s="53">
        <f t="shared" si="92"/>
        <v>1</v>
      </c>
      <c r="P497" s="966"/>
      <c r="Q497" s="53">
        <f t="shared" si="93"/>
        <v>1</v>
      </c>
      <c r="R497" s="493">
        <f t="shared" si="94"/>
        <v>0</v>
      </c>
      <c r="S497" s="802">
        <f t="shared" si="85"/>
        <v>0</v>
      </c>
    </row>
    <row r="498" spans="1:19">
      <c r="A498" s="968"/>
      <c r="B498" s="137"/>
      <c r="C498" s="53">
        <f t="shared" si="86"/>
        <v>1</v>
      </c>
      <c r="D498" s="966"/>
      <c r="E498" s="53">
        <f t="shared" si="87"/>
        <v>0.02</v>
      </c>
      <c r="F498" s="966"/>
      <c r="G498" s="53">
        <f t="shared" si="88"/>
        <v>1</v>
      </c>
      <c r="H498" s="966"/>
      <c r="I498" s="53">
        <f t="shared" si="89"/>
        <v>1</v>
      </c>
      <c r="J498" s="966"/>
      <c r="K498" s="53">
        <f t="shared" si="90"/>
        <v>1</v>
      </c>
      <c r="L498" s="966"/>
      <c r="M498" s="53">
        <f t="shared" si="91"/>
        <v>1</v>
      </c>
      <c r="N498" s="966"/>
      <c r="O498" s="53">
        <f t="shared" si="92"/>
        <v>1</v>
      </c>
      <c r="P498" s="966"/>
      <c r="Q498" s="53">
        <f t="shared" si="93"/>
        <v>1</v>
      </c>
      <c r="R498" s="493">
        <f t="shared" si="94"/>
        <v>0</v>
      </c>
      <c r="S498" s="802">
        <f t="shared" ref="S498:S524" si="95">ROUND(R498*B498/10000,0)</f>
        <v>0</v>
      </c>
    </row>
    <row r="499" spans="1:19">
      <c r="A499" s="968"/>
      <c r="B499" s="137"/>
      <c r="C499" s="53">
        <f t="shared" si="86"/>
        <v>1</v>
      </c>
      <c r="D499" s="966"/>
      <c r="E499" s="53">
        <f t="shared" si="87"/>
        <v>0.02</v>
      </c>
      <c r="F499" s="966"/>
      <c r="G499" s="53">
        <f t="shared" si="88"/>
        <v>1</v>
      </c>
      <c r="H499" s="966"/>
      <c r="I499" s="53">
        <f t="shared" si="89"/>
        <v>1</v>
      </c>
      <c r="J499" s="966"/>
      <c r="K499" s="53">
        <f t="shared" si="90"/>
        <v>1</v>
      </c>
      <c r="L499" s="966"/>
      <c r="M499" s="53">
        <f t="shared" si="91"/>
        <v>1</v>
      </c>
      <c r="N499" s="966"/>
      <c r="O499" s="53">
        <f t="shared" si="92"/>
        <v>1</v>
      </c>
      <c r="P499" s="966"/>
      <c r="Q499" s="53">
        <f t="shared" si="93"/>
        <v>1</v>
      </c>
      <c r="R499" s="493">
        <f t="shared" si="94"/>
        <v>0</v>
      </c>
      <c r="S499" s="802">
        <f t="shared" si="95"/>
        <v>0</v>
      </c>
    </row>
    <row r="500" spans="1:19">
      <c r="A500" s="968"/>
      <c r="B500" s="137"/>
      <c r="C500" s="53">
        <f t="shared" si="86"/>
        <v>1</v>
      </c>
      <c r="D500" s="966"/>
      <c r="E500" s="53">
        <f t="shared" si="87"/>
        <v>0.02</v>
      </c>
      <c r="F500" s="966"/>
      <c r="G500" s="53">
        <f t="shared" si="88"/>
        <v>1</v>
      </c>
      <c r="H500" s="966"/>
      <c r="I500" s="53">
        <f t="shared" si="89"/>
        <v>1</v>
      </c>
      <c r="J500" s="966"/>
      <c r="K500" s="53">
        <f t="shared" si="90"/>
        <v>1</v>
      </c>
      <c r="L500" s="966"/>
      <c r="M500" s="53">
        <f t="shared" si="91"/>
        <v>1</v>
      </c>
      <c r="N500" s="966"/>
      <c r="O500" s="53">
        <f t="shared" si="92"/>
        <v>1</v>
      </c>
      <c r="P500" s="966"/>
      <c r="Q500" s="53">
        <f t="shared" si="93"/>
        <v>1</v>
      </c>
      <c r="R500" s="493">
        <f t="shared" si="94"/>
        <v>0</v>
      </c>
      <c r="S500" s="802">
        <f t="shared" si="95"/>
        <v>0</v>
      </c>
    </row>
    <row r="501" spans="1:19">
      <c r="A501" s="968"/>
      <c r="B501" s="137"/>
      <c r="C501" s="53">
        <f t="shared" si="86"/>
        <v>1</v>
      </c>
      <c r="D501" s="966"/>
      <c r="E501" s="53">
        <f t="shared" si="87"/>
        <v>0.02</v>
      </c>
      <c r="F501" s="966"/>
      <c r="G501" s="53">
        <f t="shared" si="88"/>
        <v>1</v>
      </c>
      <c r="H501" s="966"/>
      <c r="I501" s="53">
        <f t="shared" si="89"/>
        <v>1</v>
      </c>
      <c r="J501" s="966"/>
      <c r="K501" s="53">
        <f t="shared" si="90"/>
        <v>1</v>
      </c>
      <c r="L501" s="966"/>
      <c r="M501" s="53">
        <f t="shared" si="91"/>
        <v>1</v>
      </c>
      <c r="N501" s="966"/>
      <c r="O501" s="53">
        <f t="shared" si="92"/>
        <v>1</v>
      </c>
      <c r="P501" s="966"/>
      <c r="Q501" s="53">
        <f t="shared" si="93"/>
        <v>1</v>
      </c>
      <c r="R501" s="493">
        <f t="shared" si="94"/>
        <v>0</v>
      </c>
      <c r="S501" s="802">
        <f t="shared" si="95"/>
        <v>0</v>
      </c>
    </row>
    <row r="502" spans="1:19">
      <c r="A502" s="968"/>
      <c r="B502" s="137"/>
      <c r="C502" s="53">
        <f t="shared" si="86"/>
        <v>1</v>
      </c>
      <c r="D502" s="966"/>
      <c r="E502" s="53">
        <f t="shared" si="87"/>
        <v>0.02</v>
      </c>
      <c r="F502" s="966"/>
      <c r="G502" s="53">
        <f t="shared" si="88"/>
        <v>1</v>
      </c>
      <c r="H502" s="966"/>
      <c r="I502" s="53">
        <f t="shared" si="89"/>
        <v>1</v>
      </c>
      <c r="J502" s="966"/>
      <c r="K502" s="53">
        <f t="shared" si="90"/>
        <v>1</v>
      </c>
      <c r="L502" s="966"/>
      <c r="M502" s="53">
        <f t="shared" si="91"/>
        <v>1</v>
      </c>
      <c r="N502" s="966"/>
      <c r="O502" s="53">
        <f t="shared" si="92"/>
        <v>1</v>
      </c>
      <c r="P502" s="966"/>
      <c r="Q502" s="53">
        <f t="shared" si="93"/>
        <v>1</v>
      </c>
      <c r="R502" s="493">
        <f t="shared" si="94"/>
        <v>0</v>
      </c>
      <c r="S502" s="802">
        <f t="shared" si="95"/>
        <v>0</v>
      </c>
    </row>
    <row r="503" spans="1:19">
      <c r="A503" s="968"/>
      <c r="B503" s="137"/>
      <c r="C503" s="53">
        <f t="shared" si="86"/>
        <v>1</v>
      </c>
      <c r="D503" s="966"/>
      <c r="E503" s="53">
        <f t="shared" si="87"/>
        <v>0.02</v>
      </c>
      <c r="F503" s="966"/>
      <c r="G503" s="53">
        <f t="shared" si="88"/>
        <v>1</v>
      </c>
      <c r="H503" s="966"/>
      <c r="I503" s="53">
        <f t="shared" si="89"/>
        <v>1</v>
      </c>
      <c r="J503" s="966"/>
      <c r="K503" s="53">
        <f t="shared" si="90"/>
        <v>1</v>
      </c>
      <c r="L503" s="966"/>
      <c r="M503" s="53">
        <f t="shared" si="91"/>
        <v>1</v>
      </c>
      <c r="N503" s="966"/>
      <c r="O503" s="53">
        <f t="shared" si="92"/>
        <v>1</v>
      </c>
      <c r="P503" s="966"/>
      <c r="Q503" s="53">
        <f t="shared" si="93"/>
        <v>1</v>
      </c>
      <c r="R503" s="493">
        <f t="shared" si="94"/>
        <v>0</v>
      </c>
      <c r="S503" s="802">
        <f t="shared" si="95"/>
        <v>0</v>
      </c>
    </row>
    <row r="504" spans="1:19">
      <c r="A504" s="968"/>
      <c r="B504" s="137"/>
      <c r="C504" s="53">
        <f t="shared" si="86"/>
        <v>1</v>
      </c>
      <c r="D504" s="966"/>
      <c r="E504" s="53">
        <f t="shared" si="87"/>
        <v>0.02</v>
      </c>
      <c r="F504" s="966"/>
      <c r="G504" s="53">
        <f t="shared" si="88"/>
        <v>1</v>
      </c>
      <c r="H504" s="966"/>
      <c r="I504" s="53">
        <f t="shared" si="89"/>
        <v>1</v>
      </c>
      <c r="J504" s="966"/>
      <c r="K504" s="53">
        <f t="shared" si="90"/>
        <v>1</v>
      </c>
      <c r="L504" s="966"/>
      <c r="M504" s="53">
        <f t="shared" si="91"/>
        <v>1</v>
      </c>
      <c r="N504" s="966"/>
      <c r="O504" s="53">
        <f t="shared" si="92"/>
        <v>1</v>
      </c>
      <c r="P504" s="966"/>
      <c r="Q504" s="53">
        <f t="shared" si="93"/>
        <v>1</v>
      </c>
      <c r="R504" s="493">
        <f t="shared" si="94"/>
        <v>0</v>
      </c>
      <c r="S504" s="802">
        <f t="shared" si="95"/>
        <v>0</v>
      </c>
    </row>
    <row r="505" spans="1:19">
      <c r="A505" s="968"/>
      <c r="B505" s="137"/>
      <c r="C505" s="53">
        <f t="shared" si="86"/>
        <v>1</v>
      </c>
      <c r="D505" s="966"/>
      <c r="E505" s="53">
        <f t="shared" si="87"/>
        <v>0.02</v>
      </c>
      <c r="F505" s="966"/>
      <c r="G505" s="53">
        <f t="shared" si="88"/>
        <v>1</v>
      </c>
      <c r="H505" s="966"/>
      <c r="I505" s="53">
        <f t="shared" si="89"/>
        <v>1</v>
      </c>
      <c r="J505" s="966"/>
      <c r="K505" s="53">
        <f t="shared" si="90"/>
        <v>1</v>
      </c>
      <c r="L505" s="966"/>
      <c r="M505" s="53">
        <f t="shared" si="91"/>
        <v>1</v>
      </c>
      <c r="N505" s="966"/>
      <c r="O505" s="53">
        <f t="shared" si="92"/>
        <v>1</v>
      </c>
      <c r="P505" s="966"/>
      <c r="Q505" s="53">
        <f t="shared" si="93"/>
        <v>1</v>
      </c>
      <c r="R505" s="493">
        <f t="shared" si="94"/>
        <v>0</v>
      </c>
      <c r="S505" s="802">
        <f t="shared" si="95"/>
        <v>0</v>
      </c>
    </row>
    <row r="506" spans="1:19">
      <c r="A506" s="968"/>
      <c r="B506" s="137"/>
      <c r="C506" s="53">
        <f t="shared" si="86"/>
        <v>1</v>
      </c>
      <c r="D506" s="966"/>
      <c r="E506" s="53">
        <f t="shared" si="87"/>
        <v>0.02</v>
      </c>
      <c r="F506" s="966"/>
      <c r="G506" s="53">
        <f t="shared" si="88"/>
        <v>1</v>
      </c>
      <c r="H506" s="966"/>
      <c r="I506" s="53">
        <f t="shared" si="89"/>
        <v>1</v>
      </c>
      <c r="J506" s="966"/>
      <c r="K506" s="53">
        <f t="shared" si="90"/>
        <v>1</v>
      </c>
      <c r="L506" s="966"/>
      <c r="M506" s="53">
        <f t="shared" si="91"/>
        <v>1</v>
      </c>
      <c r="N506" s="966"/>
      <c r="O506" s="53">
        <f t="shared" si="92"/>
        <v>1</v>
      </c>
      <c r="P506" s="966"/>
      <c r="Q506" s="53">
        <f t="shared" si="93"/>
        <v>1</v>
      </c>
      <c r="R506" s="493">
        <f t="shared" si="94"/>
        <v>0</v>
      </c>
      <c r="S506" s="802">
        <f t="shared" si="95"/>
        <v>0</v>
      </c>
    </row>
    <row r="507" spans="1:19">
      <c r="A507" s="968"/>
      <c r="B507" s="137"/>
      <c r="C507" s="53">
        <f t="shared" si="86"/>
        <v>1</v>
      </c>
      <c r="D507" s="966"/>
      <c r="E507" s="53">
        <f t="shared" si="87"/>
        <v>0.02</v>
      </c>
      <c r="F507" s="966"/>
      <c r="G507" s="53">
        <f t="shared" si="88"/>
        <v>1</v>
      </c>
      <c r="H507" s="966"/>
      <c r="I507" s="53">
        <f t="shared" si="89"/>
        <v>1</v>
      </c>
      <c r="J507" s="966"/>
      <c r="K507" s="53">
        <f t="shared" si="90"/>
        <v>1</v>
      </c>
      <c r="L507" s="966"/>
      <c r="M507" s="53">
        <f t="shared" si="91"/>
        <v>1</v>
      </c>
      <c r="N507" s="966"/>
      <c r="O507" s="53">
        <f t="shared" si="92"/>
        <v>1</v>
      </c>
      <c r="P507" s="966"/>
      <c r="Q507" s="53">
        <f t="shared" si="93"/>
        <v>1</v>
      </c>
      <c r="R507" s="493">
        <f t="shared" si="94"/>
        <v>0</v>
      </c>
      <c r="S507" s="802">
        <f t="shared" si="95"/>
        <v>0</v>
      </c>
    </row>
    <row r="508" spans="1:19">
      <c r="A508" s="968"/>
      <c r="B508" s="137"/>
      <c r="C508" s="53">
        <f t="shared" si="86"/>
        <v>1</v>
      </c>
      <c r="D508" s="966"/>
      <c r="E508" s="53">
        <f t="shared" si="87"/>
        <v>0.02</v>
      </c>
      <c r="F508" s="966"/>
      <c r="G508" s="53">
        <f t="shared" si="88"/>
        <v>1</v>
      </c>
      <c r="H508" s="966"/>
      <c r="I508" s="53">
        <f t="shared" si="89"/>
        <v>1</v>
      </c>
      <c r="J508" s="966"/>
      <c r="K508" s="53">
        <f t="shared" si="90"/>
        <v>1</v>
      </c>
      <c r="L508" s="966"/>
      <c r="M508" s="53">
        <f t="shared" si="91"/>
        <v>1</v>
      </c>
      <c r="N508" s="966"/>
      <c r="O508" s="53">
        <f t="shared" si="92"/>
        <v>1</v>
      </c>
      <c r="P508" s="966"/>
      <c r="Q508" s="53">
        <f t="shared" si="93"/>
        <v>1</v>
      </c>
      <c r="R508" s="493">
        <f t="shared" si="94"/>
        <v>0</v>
      </c>
      <c r="S508" s="802">
        <f t="shared" si="95"/>
        <v>0</v>
      </c>
    </row>
    <row r="509" spans="1:19">
      <c r="A509" s="968"/>
      <c r="B509" s="137"/>
      <c r="C509" s="53">
        <f t="shared" si="86"/>
        <v>1</v>
      </c>
      <c r="D509" s="966"/>
      <c r="E509" s="53">
        <f t="shared" si="87"/>
        <v>0.02</v>
      </c>
      <c r="F509" s="966"/>
      <c r="G509" s="53">
        <f t="shared" si="88"/>
        <v>1</v>
      </c>
      <c r="H509" s="966"/>
      <c r="I509" s="53">
        <f t="shared" si="89"/>
        <v>1</v>
      </c>
      <c r="J509" s="966"/>
      <c r="K509" s="53">
        <f t="shared" si="90"/>
        <v>1</v>
      </c>
      <c r="L509" s="966"/>
      <c r="M509" s="53">
        <f t="shared" si="91"/>
        <v>1</v>
      </c>
      <c r="N509" s="966"/>
      <c r="O509" s="53">
        <f t="shared" si="92"/>
        <v>1</v>
      </c>
      <c r="P509" s="966"/>
      <c r="Q509" s="53">
        <f t="shared" si="93"/>
        <v>1</v>
      </c>
      <c r="R509" s="493">
        <f t="shared" si="94"/>
        <v>0</v>
      </c>
      <c r="S509" s="802">
        <f t="shared" si="95"/>
        <v>0</v>
      </c>
    </row>
    <row r="510" spans="1:19">
      <c r="A510" s="968"/>
      <c r="B510" s="137"/>
      <c r="C510" s="53">
        <f t="shared" si="86"/>
        <v>1</v>
      </c>
      <c r="D510" s="966"/>
      <c r="E510" s="53">
        <f t="shared" si="87"/>
        <v>0.02</v>
      </c>
      <c r="F510" s="966"/>
      <c r="G510" s="53">
        <f t="shared" si="88"/>
        <v>1</v>
      </c>
      <c r="H510" s="966"/>
      <c r="I510" s="53">
        <f t="shared" si="89"/>
        <v>1</v>
      </c>
      <c r="J510" s="966"/>
      <c r="K510" s="53">
        <f t="shared" si="90"/>
        <v>1</v>
      </c>
      <c r="L510" s="966"/>
      <c r="M510" s="53">
        <f t="shared" si="91"/>
        <v>1</v>
      </c>
      <c r="N510" s="966"/>
      <c r="O510" s="53">
        <f t="shared" si="92"/>
        <v>1</v>
      </c>
      <c r="P510" s="966"/>
      <c r="Q510" s="53">
        <f t="shared" si="93"/>
        <v>1</v>
      </c>
      <c r="R510" s="493">
        <f t="shared" si="94"/>
        <v>0</v>
      </c>
      <c r="S510" s="802">
        <f t="shared" si="95"/>
        <v>0</v>
      </c>
    </row>
    <row r="511" spans="1:19">
      <c r="A511" s="968"/>
      <c r="B511" s="137"/>
      <c r="C511" s="53">
        <f t="shared" si="86"/>
        <v>1</v>
      </c>
      <c r="D511" s="966"/>
      <c r="E511" s="53">
        <f t="shared" si="87"/>
        <v>0.02</v>
      </c>
      <c r="F511" s="966"/>
      <c r="G511" s="53">
        <f t="shared" si="88"/>
        <v>1</v>
      </c>
      <c r="H511" s="966"/>
      <c r="I511" s="53">
        <f t="shared" si="89"/>
        <v>1</v>
      </c>
      <c r="J511" s="966"/>
      <c r="K511" s="53">
        <f t="shared" si="90"/>
        <v>1</v>
      </c>
      <c r="L511" s="966"/>
      <c r="M511" s="53">
        <f t="shared" si="91"/>
        <v>1</v>
      </c>
      <c r="N511" s="966"/>
      <c r="O511" s="53">
        <f t="shared" si="92"/>
        <v>1</v>
      </c>
      <c r="P511" s="966"/>
      <c r="Q511" s="53">
        <f t="shared" si="93"/>
        <v>1</v>
      </c>
      <c r="R511" s="493">
        <f t="shared" si="94"/>
        <v>0</v>
      </c>
      <c r="S511" s="802">
        <f t="shared" si="95"/>
        <v>0</v>
      </c>
    </row>
    <row r="512" spans="1:19">
      <c r="A512" s="968"/>
      <c r="B512" s="137"/>
      <c r="C512" s="53">
        <f t="shared" si="86"/>
        <v>1</v>
      </c>
      <c r="D512" s="966"/>
      <c r="E512" s="53">
        <f t="shared" si="87"/>
        <v>0.02</v>
      </c>
      <c r="F512" s="966"/>
      <c r="G512" s="53">
        <f t="shared" si="88"/>
        <v>1</v>
      </c>
      <c r="H512" s="966"/>
      <c r="I512" s="53">
        <f t="shared" si="89"/>
        <v>1</v>
      </c>
      <c r="J512" s="966"/>
      <c r="K512" s="53">
        <f t="shared" si="90"/>
        <v>1</v>
      </c>
      <c r="L512" s="966"/>
      <c r="M512" s="53">
        <f t="shared" si="91"/>
        <v>1</v>
      </c>
      <c r="N512" s="966"/>
      <c r="O512" s="53">
        <f t="shared" si="92"/>
        <v>1</v>
      </c>
      <c r="P512" s="966"/>
      <c r="Q512" s="53">
        <f t="shared" si="93"/>
        <v>1</v>
      </c>
      <c r="R512" s="493">
        <f t="shared" si="94"/>
        <v>0</v>
      </c>
      <c r="S512" s="802">
        <f t="shared" si="95"/>
        <v>0</v>
      </c>
    </row>
    <row r="513" spans="1:19">
      <c r="A513" s="968"/>
      <c r="B513" s="137"/>
      <c r="C513" s="53">
        <f t="shared" si="86"/>
        <v>1</v>
      </c>
      <c r="D513" s="966"/>
      <c r="E513" s="53">
        <f t="shared" si="87"/>
        <v>0.02</v>
      </c>
      <c r="F513" s="966"/>
      <c r="G513" s="53">
        <f t="shared" si="88"/>
        <v>1</v>
      </c>
      <c r="H513" s="966"/>
      <c r="I513" s="53">
        <f t="shared" si="89"/>
        <v>1</v>
      </c>
      <c r="J513" s="966"/>
      <c r="K513" s="53">
        <f t="shared" si="90"/>
        <v>1</v>
      </c>
      <c r="L513" s="966"/>
      <c r="M513" s="53">
        <f t="shared" si="91"/>
        <v>1</v>
      </c>
      <c r="N513" s="966"/>
      <c r="O513" s="53">
        <f t="shared" si="92"/>
        <v>1</v>
      </c>
      <c r="P513" s="966"/>
      <c r="Q513" s="53">
        <f t="shared" si="93"/>
        <v>1</v>
      </c>
      <c r="R513" s="493">
        <f t="shared" si="94"/>
        <v>0</v>
      </c>
      <c r="S513" s="802">
        <f t="shared" si="95"/>
        <v>0</v>
      </c>
    </row>
    <row r="514" spans="1:19">
      <c r="A514" s="968"/>
      <c r="B514" s="137"/>
      <c r="C514" s="53">
        <f t="shared" si="86"/>
        <v>1</v>
      </c>
      <c r="D514" s="966"/>
      <c r="E514" s="53">
        <f t="shared" si="87"/>
        <v>0.02</v>
      </c>
      <c r="F514" s="966"/>
      <c r="G514" s="53">
        <f t="shared" si="88"/>
        <v>1</v>
      </c>
      <c r="H514" s="966"/>
      <c r="I514" s="53">
        <f t="shared" si="89"/>
        <v>1</v>
      </c>
      <c r="J514" s="966"/>
      <c r="K514" s="53">
        <f t="shared" si="90"/>
        <v>1</v>
      </c>
      <c r="L514" s="966"/>
      <c r="M514" s="53">
        <f t="shared" si="91"/>
        <v>1</v>
      </c>
      <c r="N514" s="966"/>
      <c r="O514" s="53">
        <f t="shared" si="92"/>
        <v>1</v>
      </c>
      <c r="P514" s="966"/>
      <c r="Q514" s="53">
        <f t="shared" si="93"/>
        <v>1</v>
      </c>
      <c r="R514" s="493">
        <f t="shared" si="94"/>
        <v>0</v>
      </c>
      <c r="S514" s="802">
        <f t="shared" si="95"/>
        <v>0</v>
      </c>
    </row>
    <row r="515" spans="1:19">
      <c r="A515" s="968"/>
      <c r="B515" s="137"/>
      <c r="C515" s="53">
        <f t="shared" si="86"/>
        <v>1</v>
      </c>
      <c r="D515" s="966"/>
      <c r="E515" s="53">
        <f t="shared" si="87"/>
        <v>0.02</v>
      </c>
      <c r="F515" s="966"/>
      <c r="G515" s="53">
        <f t="shared" si="88"/>
        <v>1</v>
      </c>
      <c r="H515" s="966"/>
      <c r="I515" s="53">
        <f t="shared" si="89"/>
        <v>1</v>
      </c>
      <c r="J515" s="966"/>
      <c r="K515" s="53">
        <f t="shared" si="90"/>
        <v>1</v>
      </c>
      <c r="L515" s="966"/>
      <c r="M515" s="53">
        <f t="shared" si="91"/>
        <v>1</v>
      </c>
      <c r="N515" s="966"/>
      <c r="O515" s="53">
        <f t="shared" si="92"/>
        <v>1</v>
      </c>
      <c r="P515" s="966"/>
      <c r="Q515" s="53">
        <f t="shared" si="93"/>
        <v>1</v>
      </c>
      <c r="R515" s="493">
        <f t="shared" si="94"/>
        <v>0</v>
      </c>
      <c r="S515" s="802">
        <f t="shared" si="95"/>
        <v>0</v>
      </c>
    </row>
    <row r="516" spans="1:19">
      <c r="A516" s="968"/>
      <c r="B516" s="137"/>
      <c r="C516" s="53">
        <f t="shared" si="86"/>
        <v>1</v>
      </c>
      <c r="D516" s="966"/>
      <c r="E516" s="53">
        <f t="shared" si="87"/>
        <v>0.02</v>
      </c>
      <c r="F516" s="966"/>
      <c r="G516" s="53">
        <f t="shared" si="88"/>
        <v>1</v>
      </c>
      <c r="H516" s="966"/>
      <c r="I516" s="53">
        <f t="shared" si="89"/>
        <v>1</v>
      </c>
      <c r="J516" s="966"/>
      <c r="K516" s="53">
        <f t="shared" si="90"/>
        <v>1</v>
      </c>
      <c r="L516" s="966"/>
      <c r="M516" s="53">
        <f t="shared" si="91"/>
        <v>1</v>
      </c>
      <c r="N516" s="966"/>
      <c r="O516" s="53">
        <f t="shared" si="92"/>
        <v>1</v>
      </c>
      <c r="P516" s="966"/>
      <c r="Q516" s="53">
        <f t="shared" si="93"/>
        <v>1</v>
      </c>
      <c r="R516" s="493">
        <f t="shared" si="94"/>
        <v>0</v>
      </c>
      <c r="S516" s="802">
        <f t="shared" si="95"/>
        <v>0</v>
      </c>
    </row>
    <row r="517" spans="1:19">
      <c r="A517" s="968"/>
      <c r="B517" s="137"/>
      <c r="C517" s="53">
        <f t="shared" si="86"/>
        <v>1</v>
      </c>
      <c r="D517" s="966"/>
      <c r="E517" s="53">
        <f t="shared" si="87"/>
        <v>0.02</v>
      </c>
      <c r="F517" s="966"/>
      <c r="G517" s="53">
        <f t="shared" si="88"/>
        <v>1</v>
      </c>
      <c r="H517" s="966"/>
      <c r="I517" s="53">
        <f t="shared" si="89"/>
        <v>1</v>
      </c>
      <c r="J517" s="966"/>
      <c r="K517" s="53">
        <f t="shared" si="90"/>
        <v>1</v>
      </c>
      <c r="L517" s="966"/>
      <c r="M517" s="53">
        <f t="shared" si="91"/>
        <v>1</v>
      </c>
      <c r="N517" s="966"/>
      <c r="O517" s="53">
        <f t="shared" si="92"/>
        <v>1</v>
      </c>
      <c r="P517" s="966"/>
      <c r="Q517" s="53">
        <f t="shared" si="93"/>
        <v>1</v>
      </c>
      <c r="R517" s="493">
        <f t="shared" si="94"/>
        <v>0</v>
      </c>
      <c r="S517" s="802">
        <f t="shared" si="95"/>
        <v>0</v>
      </c>
    </row>
    <row r="518" spans="1:19">
      <c r="A518" s="968"/>
      <c r="B518" s="137"/>
      <c r="C518" s="53">
        <f t="shared" si="86"/>
        <v>1</v>
      </c>
      <c r="D518" s="966"/>
      <c r="E518" s="53">
        <f t="shared" si="87"/>
        <v>0.02</v>
      </c>
      <c r="F518" s="966"/>
      <c r="G518" s="53">
        <f t="shared" si="88"/>
        <v>1</v>
      </c>
      <c r="H518" s="966"/>
      <c r="I518" s="53">
        <f t="shared" si="89"/>
        <v>1</v>
      </c>
      <c r="J518" s="966"/>
      <c r="K518" s="53">
        <f t="shared" si="90"/>
        <v>1</v>
      </c>
      <c r="L518" s="966"/>
      <c r="M518" s="53">
        <f t="shared" si="91"/>
        <v>1</v>
      </c>
      <c r="N518" s="966"/>
      <c r="O518" s="53">
        <f t="shared" si="92"/>
        <v>1</v>
      </c>
      <c r="P518" s="966"/>
      <c r="Q518" s="53">
        <f t="shared" si="93"/>
        <v>1</v>
      </c>
      <c r="R518" s="493">
        <f t="shared" si="94"/>
        <v>0</v>
      </c>
      <c r="S518" s="802">
        <f t="shared" si="95"/>
        <v>0</v>
      </c>
    </row>
    <row r="519" spans="1:19">
      <c r="A519" s="968"/>
      <c r="B519" s="137"/>
      <c r="C519" s="53">
        <f t="shared" si="86"/>
        <v>1</v>
      </c>
      <c r="D519" s="966"/>
      <c r="E519" s="53">
        <f t="shared" si="87"/>
        <v>0.02</v>
      </c>
      <c r="F519" s="966"/>
      <c r="G519" s="53">
        <f t="shared" si="88"/>
        <v>1</v>
      </c>
      <c r="H519" s="966"/>
      <c r="I519" s="53">
        <f t="shared" si="89"/>
        <v>1</v>
      </c>
      <c r="J519" s="966"/>
      <c r="K519" s="53">
        <f t="shared" si="90"/>
        <v>1</v>
      </c>
      <c r="L519" s="966"/>
      <c r="M519" s="53">
        <f t="shared" si="91"/>
        <v>1</v>
      </c>
      <c r="N519" s="966"/>
      <c r="O519" s="53">
        <f t="shared" si="92"/>
        <v>1</v>
      </c>
      <c r="P519" s="966"/>
      <c r="Q519" s="53">
        <f t="shared" si="93"/>
        <v>1</v>
      </c>
      <c r="R519" s="493">
        <f t="shared" si="94"/>
        <v>0</v>
      </c>
      <c r="S519" s="802">
        <f t="shared" si="95"/>
        <v>0</v>
      </c>
    </row>
    <row r="520" spans="1:19">
      <c r="A520" s="968"/>
      <c r="B520" s="137"/>
      <c r="C520" s="53">
        <f t="shared" si="86"/>
        <v>1</v>
      </c>
      <c r="D520" s="966"/>
      <c r="E520" s="53">
        <f t="shared" si="87"/>
        <v>0.02</v>
      </c>
      <c r="F520" s="966"/>
      <c r="G520" s="53">
        <f t="shared" si="88"/>
        <v>1</v>
      </c>
      <c r="H520" s="966"/>
      <c r="I520" s="53">
        <f t="shared" si="89"/>
        <v>1</v>
      </c>
      <c r="J520" s="966"/>
      <c r="K520" s="53">
        <f t="shared" si="90"/>
        <v>1</v>
      </c>
      <c r="L520" s="966"/>
      <c r="M520" s="53">
        <f t="shared" si="91"/>
        <v>1</v>
      </c>
      <c r="N520" s="966"/>
      <c r="O520" s="53">
        <f t="shared" si="92"/>
        <v>1</v>
      </c>
      <c r="P520" s="966"/>
      <c r="Q520" s="53">
        <f t="shared" si="93"/>
        <v>1</v>
      </c>
      <c r="R520" s="493">
        <f t="shared" si="94"/>
        <v>0</v>
      </c>
      <c r="S520" s="802">
        <f t="shared" si="95"/>
        <v>0</v>
      </c>
    </row>
    <row r="521" spans="1:19">
      <c r="A521" s="968"/>
      <c r="B521" s="137"/>
      <c r="C521" s="53">
        <f t="shared" si="86"/>
        <v>1</v>
      </c>
      <c r="D521" s="966"/>
      <c r="E521" s="53">
        <f t="shared" si="87"/>
        <v>0.02</v>
      </c>
      <c r="F521" s="966"/>
      <c r="G521" s="53">
        <f t="shared" si="88"/>
        <v>1</v>
      </c>
      <c r="H521" s="966"/>
      <c r="I521" s="53">
        <f t="shared" si="89"/>
        <v>1</v>
      </c>
      <c r="J521" s="966"/>
      <c r="K521" s="53">
        <f t="shared" si="90"/>
        <v>1</v>
      </c>
      <c r="L521" s="966"/>
      <c r="M521" s="53">
        <f t="shared" si="91"/>
        <v>1</v>
      </c>
      <c r="N521" s="966"/>
      <c r="O521" s="53">
        <f t="shared" si="92"/>
        <v>1</v>
      </c>
      <c r="P521" s="966"/>
      <c r="Q521" s="53">
        <f t="shared" si="93"/>
        <v>1</v>
      </c>
      <c r="R521" s="493">
        <f t="shared" si="94"/>
        <v>0</v>
      </c>
      <c r="S521" s="802">
        <f t="shared" si="95"/>
        <v>0</v>
      </c>
    </row>
    <row r="522" spans="1:19">
      <c r="A522" s="968"/>
      <c r="B522" s="137"/>
      <c r="C522" s="53">
        <f t="shared" si="86"/>
        <v>1</v>
      </c>
      <c r="D522" s="966"/>
      <c r="E522" s="53">
        <f t="shared" si="87"/>
        <v>0.02</v>
      </c>
      <c r="F522" s="966"/>
      <c r="G522" s="53">
        <f t="shared" si="88"/>
        <v>1</v>
      </c>
      <c r="H522" s="966"/>
      <c r="I522" s="53">
        <f t="shared" si="89"/>
        <v>1</v>
      </c>
      <c r="J522" s="966"/>
      <c r="K522" s="53">
        <f t="shared" si="90"/>
        <v>1</v>
      </c>
      <c r="L522" s="966"/>
      <c r="M522" s="53">
        <f t="shared" si="91"/>
        <v>1</v>
      </c>
      <c r="N522" s="966"/>
      <c r="O522" s="53">
        <f t="shared" si="92"/>
        <v>1</v>
      </c>
      <c r="P522" s="966"/>
      <c r="Q522" s="53">
        <f t="shared" si="93"/>
        <v>1</v>
      </c>
      <c r="R522" s="493">
        <f t="shared" si="94"/>
        <v>0</v>
      </c>
      <c r="S522" s="802">
        <f t="shared" si="95"/>
        <v>0</v>
      </c>
    </row>
    <row r="523" spans="1:19">
      <c r="A523" s="968"/>
      <c r="B523" s="137"/>
      <c r="C523" s="53">
        <f t="shared" si="86"/>
        <v>1</v>
      </c>
      <c r="D523" s="966"/>
      <c r="E523" s="53">
        <f t="shared" si="87"/>
        <v>0.02</v>
      </c>
      <c r="F523" s="966"/>
      <c r="G523" s="53">
        <f t="shared" si="88"/>
        <v>1</v>
      </c>
      <c r="H523" s="966"/>
      <c r="I523" s="53">
        <f t="shared" si="89"/>
        <v>1</v>
      </c>
      <c r="J523" s="966"/>
      <c r="K523" s="53">
        <f t="shared" si="90"/>
        <v>1</v>
      </c>
      <c r="L523" s="966"/>
      <c r="M523" s="53">
        <f t="shared" si="91"/>
        <v>1</v>
      </c>
      <c r="N523" s="966"/>
      <c r="O523" s="53">
        <f t="shared" si="92"/>
        <v>1</v>
      </c>
      <c r="P523" s="966"/>
      <c r="Q523" s="53">
        <f t="shared" si="93"/>
        <v>1</v>
      </c>
      <c r="R523" s="493">
        <f t="shared" si="94"/>
        <v>0</v>
      </c>
      <c r="S523" s="802">
        <f t="shared" si="95"/>
        <v>0</v>
      </c>
    </row>
    <row r="524" spans="1:19">
      <c r="A524" s="968"/>
      <c r="B524" s="137"/>
      <c r="C524" s="53">
        <f t="shared" si="86"/>
        <v>1</v>
      </c>
      <c r="D524" s="966"/>
      <c r="E524" s="53">
        <f t="shared" si="87"/>
        <v>0.02</v>
      </c>
      <c r="F524" s="966"/>
      <c r="G524" s="53">
        <f t="shared" si="88"/>
        <v>1</v>
      </c>
      <c r="H524" s="966"/>
      <c r="I524" s="53">
        <f t="shared" si="89"/>
        <v>1</v>
      </c>
      <c r="J524" s="966"/>
      <c r="K524" s="53">
        <f t="shared" si="90"/>
        <v>1</v>
      </c>
      <c r="L524" s="966"/>
      <c r="M524" s="53">
        <f t="shared" si="91"/>
        <v>1</v>
      </c>
      <c r="N524" s="966"/>
      <c r="O524" s="53">
        <f t="shared" si="92"/>
        <v>1</v>
      </c>
      <c r="P524" s="966"/>
      <c r="Q524" s="53">
        <f t="shared" si="93"/>
        <v>1</v>
      </c>
      <c r="R524" s="493">
        <f t="shared" si="94"/>
        <v>0</v>
      </c>
      <c r="S524" s="802">
        <f t="shared" si="95"/>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2794</v>
      </c>
      <c r="C1" s="3035">
        <f>项目基本情况!D3</f>
        <v>43047</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2825</v>
      </c>
      <c r="C2" s="3036">
        <f>'数据-取费表'!B22</f>
        <v>2</v>
      </c>
      <c r="D2" s="3031" t="s">
        <v>2795</v>
      </c>
      <c r="E2" s="3034">
        <f ca="1">INDIRECT("I"&amp;$I$1)/100</f>
        <v>4.7500000000000001E-2</v>
      </c>
      <c r="G2" s="2971"/>
      <c r="H2" s="2971"/>
      <c r="I2" s="2971" t="s">
        <v>2796</v>
      </c>
      <c r="K2" s="2971"/>
      <c r="L2" s="2971"/>
      <c r="M2" s="2971"/>
      <c r="N2" s="2971" t="s">
        <v>2797</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2827</v>
      </c>
      <c r="C3" s="3033">
        <f>'数据-取费表'!B19</f>
        <v>0</v>
      </c>
      <c r="D3" s="3031" t="s">
        <v>2795</v>
      </c>
      <c r="E3" s="3034">
        <f ca="1">INDIRECT("J"&amp;$J$1)/100</f>
        <v>0</v>
      </c>
      <c r="G3" s="2973" t="s">
        <v>2798</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2826</v>
      </c>
      <c r="C4" s="3034">
        <f ca="1">N4/100</f>
        <v>1.4999999999999999E-2</v>
      </c>
      <c r="G4" s="2979" t="s">
        <v>2799</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2800</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2801</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2802</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2803</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2804</v>
      </c>
      <c r="C10" s="2998"/>
      <c r="D10" s="2998"/>
      <c r="E10" s="2998"/>
      <c r="F10" s="2998"/>
      <c r="G10" s="2998"/>
      <c r="H10" s="2998"/>
      <c r="I10" s="2972"/>
      <c r="J10" s="2972"/>
      <c r="K10" s="2998"/>
      <c r="L10" s="2999" t="s">
        <v>2805</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2806</v>
      </c>
      <c r="C11" s="3003" t="s">
        <v>2807</v>
      </c>
      <c r="D11" s="3004" t="s">
        <v>2808</v>
      </c>
      <c r="E11" s="3005"/>
      <c r="F11" s="3004" t="s">
        <v>2809</v>
      </c>
      <c r="G11" s="3006"/>
      <c r="H11" s="3005"/>
      <c r="I11" s="3004" t="s">
        <v>2810</v>
      </c>
      <c r="J11" s="3005"/>
      <c r="K11" s="3001"/>
      <c r="L11" s="3002" t="s">
        <v>2806</v>
      </c>
      <c r="M11" s="3003" t="s">
        <v>2807</v>
      </c>
      <c r="N11" s="3002" t="s">
        <v>2811</v>
      </c>
      <c r="O11" s="3004" t="s">
        <v>2812</v>
      </c>
      <c r="P11" s="3006"/>
      <c r="Q11" s="3006"/>
      <c r="R11" s="3006"/>
      <c r="S11" s="3006"/>
      <c r="T11" s="3005"/>
      <c r="U11" s="3004" t="s">
        <v>2813</v>
      </c>
      <c r="V11" s="3006"/>
      <c r="W11" s="3005"/>
      <c r="X11" s="3002" t="s">
        <v>2814</v>
      </c>
      <c r="Y11" s="3002" t="s">
        <v>2815</v>
      </c>
      <c r="Z11" s="3002" t="s">
        <v>2816</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2817</v>
      </c>
      <c r="E12" s="3011" t="s">
        <v>2818</v>
      </c>
      <c r="F12" s="3011" t="s">
        <v>2819</v>
      </c>
      <c r="G12" s="3011" t="s">
        <v>2820</v>
      </c>
      <c r="H12" s="3011" t="s">
        <v>2802</v>
      </c>
      <c r="I12" s="3012" t="s">
        <v>2821</v>
      </c>
      <c r="J12" s="3012" t="s">
        <v>2821</v>
      </c>
      <c r="K12" s="3008"/>
      <c r="L12" s="3009"/>
      <c r="M12" s="3010"/>
      <c r="N12" s="3009"/>
      <c r="O12" s="3012" t="s">
        <v>2822</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2823</v>
      </c>
      <c r="C13" s="3016">
        <v>42301</v>
      </c>
      <c r="D13" s="3017">
        <v>4.3499999999999996</v>
      </c>
      <c r="E13" s="3017">
        <v>4.3499999999999996</v>
      </c>
      <c r="F13" s="3017">
        <v>4.75</v>
      </c>
      <c r="G13" s="3017">
        <v>4.75</v>
      </c>
      <c r="H13" s="3017">
        <v>4.9000000000000004</v>
      </c>
      <c r="I13" s="3017">
        <v>2.75</v>
      </c>
      <c r="J13" s="3017">
        <v>3.25</v>
      </c>
      <c r="K13" s="3014"/>
      <c r="L13" s="3015" t="s">
        <v>2823</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2824</v>
      </c>
      <c r="Y42" s="3021" t="s">
        <v>2824</v>
      </c>
      <c r="Z42" s="3021" t="s">
        <v>2824</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2824</v>
      </c>
      <c r="Y43" s="3021" t="s">
        <v>2824</v>
      </c>
      <c r="Z43" s="3021" t="s">
        <v>2824</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2824</v>
      </c>
      <c r="Y44" s="3021" t="s">
        <v>2824</v>
      </c>
      <c r="Z44" s="3021" t="s">
        <v>2824</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2824</v>
      </c>
      <c r="Y45" s="3021" t="s">
        <v>2824</v>
      </c>
      <c r="Z45" s="3021" t="s">
        <v>2824</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2824</v>
      </c>
      <c r="Y46" s="3021" t="s">
        <v>2824</v>
      </c>
      <c r="Z46" s="3021" t="s">
        <v>2824</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2824</v>
      </c>
      <c r="Y47" s="3021" t="s">
        <v>2824</v>
      </c>
      <c r="Z47" s="3021" t="s">
        <v>2824</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2824</v>
      </c>
      <c r="Y48" s="3021" t="s">
        <v>2824</v>
      </c>
      <c r="Z48" s="3021" t="s">
        <v>2824</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2824</v>
      </c>
      <c r="Y49" s="3021" t="s">
        <v>2824</v>
      </c>
      <c r="Z49" s="3021" t="s">
        <v>2824</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2824</v>
      </c>
      <c r="Y50" s="3021" t="s">
        <v>2824</v>
      </c>
      <c r="Z50" s="3021" t="s">
        <v>2824</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2824</v>
      </c>
      <c r="V51" s="3021" t="s">
        <v>2824</v>
      </c>
      <c r="W51" s="3021" t="s">
        <v>2824</v>
      </c>
      <c r="X51" s="3021" t="s">
        <v>2824</v>
      </c>
      <c r="Y51" s="3021" t="s">
        <v>2824</v>
      </c>
      <c r="Z51" s="3021" t="s">
        <v>2824</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2824</v>
      </c>
      <c r="J55" s="3021" t="s">
        <v>2824</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topLeftCell="A13" workbookViewId="0">
      <selection activeCell="E47" sqref="E47"/>
    </sheetView>
  </sheetViews>
  <sheetFormatPr defaultRowHeight="13.5"/>
  <sheetData>
    <row r="1" spans="1:2">
      <c r="B1" s="3170" t="s">
        <v>3021</v>
      </c>
    </row>
    <row r="2" spans="1:2">
      <c r="A2" s="3170" t="s">
        <v>3018</v>
      </c>
      <c r="B2">
        <v>259511</v>
      </c>
    </row>
    <row r="3" spans="1:2">
      <c r="A3" s="3170" t="s">
        <v>3019</v>
      </c>
      <c r="B3">
        <v>73851</v>
      </c>
    </row>
    <row r="4" spans="1:2">
      <c r="A4" s="3170" t="s">
        <v>3020</v>
      </c>
      <c r="B4">
        <v>193472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F21" sqref="F21"/>
    </sheetView>
  </sheetViews>
  <sheetFormatPr defaultRowHeight="13.5"/>
  <cols>
    <col min="1" max="1" width="16.25" customWidth="1"/>
    <col min="4" max="4" width="11.625" bestFit="1" customWidth="1"/>
  </cols>
  <sheetData>
    <row r="1" spans="1:4">
      <c r="A1" s="3170" t="s">
        <v>3045</v>
      </c>
      <c r="B1" s="3170" t="s">
        <v>3046</v>
      </c>
      <c r="C1" s="3170" t="s">
        <v>3047</v>
      </c>
      <c r="D1" s="3170" t="s">
        <v>3048</v>
      </c>
    </row>
    <row r="2" spans="1:4" s="3206" customFormat="1">
      <c r="A2" s="3205" t="s">
        <v>3162</v>
      </c>
      <c r="B2" s="3206">
        <v>30138.799999999999</v>
      </c>
      <c r="C2" s="3206">
        <v>4366.8500000000004</v>
      </c>
      <c r="D2" s="3207">
        <v>42578</v>
      </c>
    </row>
    <row r="3" spans="1:4" s="3206" customFormat="1">
      <c r="A3" s="3205" t="s">
        <v>3049</v>
      </c>
      <c r="B3" s="3206">
        <v>20322.52</v>
      </c>
      <c r="C3" s="3206">
        <v>4359.1899999999996</v>
      </c>
      <c r="D3" s="3207">
        <v>42578</v>
      </c>
    </row>
    <row r="4" spans="1:4">
      <c r="A4" s="3170" t="s">
        <v>3050</v>
      </c>
      <c r="B4">
        <v>4208.8</v>
      </c>
      <c r="C4">
        <v>5750</v>
      </c>
      <c r="D4" s="3177">
        <v>42836</v>
      </c>
    </row>
    <row r="5" spans="1:4">
      <c r="A5" s="3170" t="s">
        <v>3051</v>
      </c>
      <c r="B5">
        <v>90704.06</v>
      </c>
      <c r="C5">
        <v>3502.53</v>
      </c>
      <c r="D5" s="3177">
        <v>42482</v>
      </c>
    </row>
    <row r="6" spans="1:4" s="3206" customFormat="1">
      <c r="A6" s="3205" t="s">
        <v>3161</v>
      </c>
      <c r="B6" s="3206">
        <v>117230.2</v>
      </c>
      <c r="C6" s="3206">
        <v>3930</v>
      </c>
      <c r="D6" s="320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2040</v>
      </c>
      <c r="B1" s="3212"/>
      <c r="C1" s="3212"/>
      <c r="D1" s="3212"/>
      <c r="E1" s="3212"/>
      <c r="F1" s="3212"/>
      <c r="G1" s="3212"/>
      <c r="H1" s="3212"/>
      <c r="I1" s="3212"/>
      <c r="J1" s="3212"/>
      <c r="K1" s="3212"/>
      <c r="L1" s="3212"/>
      <c r="M1" s="3212"/>
      <c r="N1" s="3212"/>
      <c r="O1" s="3212"/>
      <c r="P1" s="3212"/>
      <c r="Q1" s="3212"/>
      <c r="R1" s="3212"/>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13" t="s">
        <v>2031</v>
      </c>
      <c r="B3" s="3213" t="s">
        <v>2737</v>
      </c>
      <c r="C3" s="3214" t="s">
        <v>2032</v>
      </c>
      <c r="D3" s="3213" t="s">
        <v>2741</v>
      </c>
      <c r="E3" s="3216" t="s">
        <v>2033</v>
      </c>
      <c r="F3" s="3216"/>
      <c r="G3" s="3216"/>
      <c r="H3" s="3216" t="s">
        <v>2034</v>
      </c>
      <c r="I3" s="3216"/>
      <c r="J3" s="3216"/>
      <c r="K3" s="3214" t="s">
        <v>2035</v>
      </c>
      <c r="L3" s="3214" t="s">
        <v>2036</v>
      </c>
      <c r="M3" s="3213" t="s">
        <v>2738</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79" t="s">
        <v>2044</v>
      </c>
      <c r="F4" s="2679" t="s">
        <v>2750</v>
      </c>
      <c r="G4" s="2679" t="s">
        <v>2038</v>
      </c>
      <c r="H4" s="2679" t="s">
        <v>2039</v>
      </c>
      <c r="I4" s="2679" t="s">
        <v>2751</v>
      </c>
      <c r="J4" s="2679" t="s">
        <v>2038</v>
      </c>
      <c r="K4" s="3214"/>
      <c r="L4" s="3214"/>
      <c r="M4" s="3213"/>
      <c r="N4" s="3215"/>
      <c r="O4" s="3213"/>
      <c r="P4" s="3214"/>
      <c r="Q4" s="3214"/>
      <c r="R4" s="3214"/>
    </row>
    <row r="5" spans="1:18" ht="135" customHeight="1">
      <c r="A5" s="1948" t="s">
        <v>2661</v>
      </c>
      <c r="B5" s="2898" t="s">
        <v>2659</v>
      </c>
      <c r="C5" s="2678">
        <v>22</v>
      </c>
      <c r="D5" s="2677" t="s">
        <v>2660</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17860.72</v>
      </c>
      <c r="P5" s="1815">
        <f ca="1">结果表!E42</f>
        <v>11483</v>
      </c>
      <c r="Q5" s="1815">
        <f ca="1">结果表!D42</f>
        <v>4977</v>
      </c>
      <c r="R5" s="1816">
        <f ca="1">结果表!C42</f>
        <v>8890</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7" t="str">
        <f>结果表!O39</f>
        <v>——</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7">
        <f ca="1">结果表!O40</f>
        <v>8890</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17" t="s">
        <v>2067</v>
      </c>
      <c r="B1" s="3217"/>
      <c r="C1" s="3217"/>
      <c r="D1" s="3217"/>
    </row>
    <row r="2" spans="1:4" ht="47.25" customHeight="1">
      <c r="A2" s="3221" t="str">
        <f>"1.权利限制："&amp;项目基本情况!L24&amp;"未设定租赁等其他他项权利。"</f>
        <v>1.权利限制：根据估价对象《不动产权证书》——、《国有土地使用权》复印件，截至估价期日，估价对象已设定抵押。未设定租赁等其他他项权利。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2068</v>
      </c>
      <c r="B5" s="3220"/>
      <c r="C5" s="3220"/>
      <c r="D5" s="3220"/>
    </row>
    <row r="6" spans="1:4">
      <c r="A6" s="3217" t="s">
        <v>2046</v>
      </c>
      <c r="B6" s="3217"/>
      <c r="C6" s="3217"/>
      <c r="D6" s="3217"/>
    </row>
    <row r="7" spans="1:4" ht="33" customHeight="1">
      <c r="A7" s="3217" t="s">
        <v>2580</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19"/>
      <c r="C11" s="3219"/>
      <c r="D11" s="3219"/>
    </row>
    <row r="12" spans="1:4" ht="168" customHeight="1">
      <c r="A12" s="3220" t="s">
        <v>2070</v>
      </c>
      <c r="B12" s="3220"/>
      <c r="C12" s="3220"/>
      <c r="D12" s="3220"/>
    </row>
    <row r="13" spans="1:4">
      <c r="A13" s="3218" t="s">
        <v>2752</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2708</v>
      </c>
      <c r="B17" s="3217"/>
      <c r="C17" s="3217"/>
      <c r="D17" s="3217"/>
    </row>
    <row r="18" spans="1:4">
      <c r="A18" s="3217" t="s">
        <v>2700</v>
      </c>
      <c r="B18" s="3217"/>
      <c r="C18" s="3217"/>
      <c r="D18" s="3217"/>
    </row>
    <row r="19" spans="1:4">
      <c r="A19" s="2899" t="s">
        <v>2701</v>
      </c>
      <c r="B19" s="2899" t="s">
        <v>2702</v>
      </c>
      <c r="C19" s="2899" t="s">
        <v>2703</v>
      </c>
      <c r="D19" s="2899" t="s">
        <v>2704</v>
      </c>
    </row>
    <row r="20" spans="1:4">
      <c r="A20" s="2899" t="str">
        <f>项目基本情况!B4</f>
        <v>吴薇</v>
      </c>
      <c r="B20" s="2899">
        <f ca="1">项目基本情况!C4</f>
        <v>2002110125</v>
      </c>
      <c r="C20" s="2901"/>
      <c r="D20" s="1805" t="s">
        <v>2709</v>
      </c>
    </row>
    <row r="21" spans="1:4">
      <c r="A21" s="2899" t="str">
        <f>项目基本情况!D4</f>
        <v>刘梅</v>
      </c>
      <c r="B21" s="2899">
        <f ca="1">项目基本情况!E4</f>
        <v>2008110059</v>
      </c>
      <c r="C21" s="2901"/>
      <c r="D21" s="1805" t="s">
        <v>2710</v>
      </c>
    </row>
    <row r="23" spans="1:4">
      <c r="A23" s="3217" t="s">
        <v>2705</v>
      </c>
      <c r="B23" s="3217"/>
      <c r="C23" s="3217"/>
      <c r="D23" s="3217"/>
    </row>
    <row r="24" spans="1:4">
      <c r="A24" s="2899" t="s">
        <v>2701</v>
      </c>
      <c r="B24" s="2899" t="s">
        <v>2706</v>
      </c>
      <c r="C24" s="2899" t="s">
        <v>2703</v>
      </c>
      <c r="D24" s="2899" t="s">
        <v>2704</v>
      </c>
    </row>
    <row r="25" spans="1:4">
      <c r="A25" s="2902" t="s">
        <v>2707</v>
      </c>
      <c r="B25" s="2899" t="s">
        <v>952</v>
      </c>
      <c r="C25" s="2901"/>
      <c r="D25" s="1805" t="s">
        <v>2710</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29" t="s">
        <v>53</v>
      </c>
      <c r="B15" s="3230" t="s">
        <v>846</v>
      </c>
      <c r="C15" s="3226"/>
    </row>
    <row r="16" spans="1:7" ht="14.25">
      <c r="A16" s="3229"/>
      <c r="B16" s="3227" t="s">
        <v>54</v>
      </c>
      <c r="C16" s="1175" t="s">
        <v>53</v>
      </c>
    </row>
    <row r="17" spans="1:3" ht="14.25">
      <c r="A17" s="3229"/>
      <c r="B17" s="3227"/>
      <c r="C17" s="1175" t="s">
        <v>55</v>
      </c>
    </row>
    <row r="18" spans="1:3" ht="14.25">
      <c r="A18" s="3229"/>
      <c r="B18" s="3227"/>
      <c r="C18" s="1175" t="s">
        <v>56</v>
      </c>
    </row>
    <row r="19" spans="1:3" ht="14.25">
      <c r="A19" s="3229"/>
      <c r="B19" s="3225" t="s">
        <v>57</v>
      </c>
      <c r="C19" s="3226"/>
    </row>
    <row r="20" spans="1:3" ht="14.25">
      <c r="A20" s="1176" t="s">
        <v>58</v>
      </c>
      <c r="B20" s="1177"/>
      <c r="C20" s="117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9" t="s">
        <v>837</v>
      </c>
    </row>
    <row r="25" spans="1:3" ht="14.25">
      <c r="A25" s="3228"/>
      <c r="B25" s="3232"/>
      <c r="C25" s="1179" t="s">
        <v>838</v>
      </c>
    </row>
    <row r="26" spans="1:3" ht="14.25">
      <c r="A26" s="3228"/>
      <c r="B26" s="3232"/>
      <c r="C26" s="1179" t="s">
        <v>839</v>
      </c>
    </row>
    <row r="27" spans="1:3" ht="14.25">
      <c r="A27" s="3228"/>
      <c r="B27" s="3232"/>
      <c r="C27" s="1179" t="s">
        <v>840</v>
      </c>
    </row>
    <row r="28" spans="1:3" ht="14.25">
      <c r="A28" s="3228"/>
      <c r="B28" s="3232"/>
      <c r="C28" s="1179" t="s">
        <v>841</v>
      </c>
    </row>
    <row r="29" spans="1:3" ht="14.25">
      <c r="A29" s="3228"/>
      <c r="B29" s="3232"/>
      <c r="C29" s="1179" t="s">
        <v>842</v>
      </c>
    </row>
    <row r="30" spans="1:3" ht="14.25">
      <c r="A30" s="3228"/>
      <c r="B30" s="3232"/>
      <c r="C30" s="1179" t="s">
        <v>843</v>
      </c>
    </row>
    <row r="31" spans="1:3" ht="14.25">
      <c r="A31" s="3228"/>
      <c r="B31" s="3232"/>
      <c r="C31" s="1179" t="s">
        <v>844</v>
      </c>
    </row>
    <row r="32" spans="1:3" ht="14.25">
      <c r="A32" s="3228"/>
      <c r="B32" s="3232"/>
      <c r="C32" s="1179" t="s">
        <v>1647</v>
      </c>
    </row>
    <row r="33" spans="1:3" ht="14.25">
      <c r="A33" s="3228"/>
      <c r="B33" s="3222" t="s">
        <v>1653</v>
      </c>
      <c r="C33" s="1179" t="s">
        <v>1648</v>
      </c>
    </row>
    <row r="34" spans="1:3" ht="14.25">
      <c r="A34" s="3228"/>
      <c r="B34" s="3223"/>
      <c r="C34" s="1184" t="s">
        <v>1649</v>
      </c>
    </row>
    <row r="35" spans="1:3" ht="14.25">
      <c r="A35" s="3228"/>
      <c r="B35" s="3223"/>
      <c r="C35" s="1185" t="s">
        <v>1650</v>
      </c>
    </row>
    <row r="36" spans="1:3" ht="14.25">
      <c r="A36" s="3228"/>
      <c r="B36" s="3223"/>
      <c r="C36" s="1185" t="s">
        <v>1651</v>
      </c>
    </row>
    <row r="37" spans="1:3" ht="14.25">
      <c r="A37" s="3228"/>
      <c r="B37" s="322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43292</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33" t="s">
        <v>1929</v>
      </c>
      <c r="B25" s="3233"/>
      <c r="C25" s="3233"/>
      <c r="D25" s="3233"/>
      <c r="E25" s="3233"/>
      <c r="F25" s="3233"/>
      <c r="G25" s="3233"/>
    </row>
    <row r="26" spans="1:7" ht="20.25" customHeight="1">
      <c r="A26" s="3234" t="s">
        <v>1930</v>
      </c>
      <c r="B26" s="3234"/>
      <c r="C26" s="3234"/>
      <c r="D26" s="3234" t="s">
        <v>1931</v>
      </c>
      <c r="E26" s="3234"/>
      <c r="F26" s="3234"/>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2948</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8" sqref="X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2961</v>
      </c>
      <c r="C18" s="1558"/>
    </row>
    <row r="19" spans="1:3">
      <c r="A19" s="8" t="s">
        <v>120</v>
      </c>
      <c r="B19" s="3147" t="s">
        <v>2969</v>
      </c>
      <c r="C19" s="1558"/>
    </row>
    <row r="20" spans="1:3">
      <c r="A20" s="8" t="s">
        <v>121</v>
      </c>
      <c r="B20" s="8" t="s">
        <v>3116</v>
      </c>
      <c r="C20" s="1558"/>
    </row>
    <row r="21" spans="1:3">
      <c r="A21" s="8" t="s">
        <v>122</v>
      </c>
      <c r="B21" s="8"/>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35"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35"/>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35"/>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35"/>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35"/>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酒店收入计算</vt:lpstr>
      <vt:lpstr>成本逼近法</vt:lpstr>
      <vt:lpstr>不动产收益法-底商</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2018-07-11T03:10:15Z</dcterms:modified>
</cp:coreProperties>
</file>