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比较法-商业" sheetId="33" state="hidden" r:id="rId20"/>
    <sheet name="成本法" sheetId="68" state="hidden" r:id="rId21"/>
    <sheet name="成本法 (元)" sheetId="69" r:id="rId22"/>
    <sheet name="假设开发法" sheetId="12" state="hidden" r:id="rId23"/>
    <sheet name="收益法（汇总）" sheetId="70" state="hidden" r:id="rId24"/>
    <sheet name="收益法" sheetId="15" state="hidden" r:id="rId25"/>
    <sheet name="收益法-酒店模型" sheetId="77"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收益法-地下车库" sheetId="82"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36">'收益法-地下车库'!$A$1:$F$43,'收益法-地下车库'!$H$3:$M$29,'收益法-地下车库'!$A$46:$F$71,'收益法-地下车库'!$I$46:$N$65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 i="43" l="1"/>
  <c r="N6" i="80" s="1"/>
  <c r="I104" i="33" l="1"/>
  <c r="H104" i="33"/>
  <c r="G104" i="33"/>
  <c r="I103" i="33"/>
  <c r="B24" i="31"/>
  <c r="N19" i="1" l="1"/>
  <c r="P7" i="80"/>
  <c r="G19" i="6" l="1"/>
  <c r="G23" i="4" l="1"/>
  <c r="G24" i="4" s="1"/>
  <c r="P74" i="82" l="1"/>
  <c r="Q72" i="82"/>
  <c r="Q59" i="82"/>
  <c r="K59" i="82"/>
  <c r="P61" i="82" s="1"/>
  <c r="Q58" i="82"/>
  <c r="Q51" i="82"/>
  <c r="J50" i="82"/>
  <c r="J49" i="82"/>
  <c r="M47" i="82"/>
  <c r="D46" i="82"/>
  <c r="F33" i="82"/>
  <c r="F61" i="82" s="1"/>
  <c r="F23" i="82"/>
  <c r="D24" i="82" s="1"/>
  <c r="F21" i="82"/>
  <c r="F20" i="82"/>
  <c r="M19" i="82"/>
  <c r="F18" i="82"/>
  <c r="F17" i="82"/>
  <c r="F15" i="82"/>
  <c r="D23" i="82" l="1"/>
  <c r="D22" i="82"/>
  <c r="J49" i="15" l="1"/>
  <c r="E89" i="33" l="1"/>
  <c r="F89" i="33"/>
  <c r="G89" i="33"/>
  <c r="D89" i="33"/>
  <c r="E104" i="33"/>
  <c r="F104" i="33" s="1"/>
  <c r="D104" i="33"/>
  <c r="D3" i="4" l="1"/>
  <c r="N21" i="1" l="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U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48" i="31"/>
  <c r="S284"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49" i="31"/>
  <c r="S45" i="31"/>
  <c r="S41" i="31"/>
  <c r="S37" i="31"/>
  <c r="S33" i="31"/>
  <c r="S77" i="31"/>
  <c r="S73" i="31"/>
  <c r="S69" i="31"/>
  <c r="S65" i="31"/>
  <c r="S61" i="31"/>
  <c r="S57" i="31"/>
  <c r="S97" i="31"/>
  <c r="S93" i="31"/>
  <c r="S89" i="31"/>
  <c r="S85" i="31"/>
  <c r="S81" i="31"/>
  <c r="S101" i="31"/>
  <c r="S105" i="31"/>
  <c r="S109" i="31"/>
  <c r="S445"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AA37" i="33" s="1"/>
  <c r="D111" i="33"/>
  <c r="E111" i="33"/>
  <c r="F111" i="33"/>
  <c r="S516" i="3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F113" i="33"/>
  <c r="G113" i="33"/>
  <c r="H113" i="33"/>
  <c r="I113" i="33"/>
  <c r="J113" i="33"/>
  <c r="K113" i="33"/>
  <c r="L113" i="33"/>
  <c r="M113" i="33"/>
  <c r="H37" i="33"/>
  <c r="AB37" i="33" s="1"/>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AC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AC37" i="33" s="1"/>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S39" i="33"/>
  <c r="S46" i="33"/>
  <c r="F91" i="33"/>
  <c r="H27" i="33"/>
  <c r="H25" i="33"/>
  <c r="AB25" i="33" s="1"/>
  <c r="F25" i="33"/>
  <c r="AA25" i="33" s="1"/>
  <c r="J23" i="33"/>
  <c r="AC23" i="33" s="1"/>
  <c r="H23" i="33"/>
  <c r="AB23" i="33" s="1"/>
  <c r="F81" i="33"/>
  <c r="F19" i="33"/>
  <c r="S19" i="33" s="1"/>
  <c r="W19" i="33"/>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W46" i="33"/>
  <c r="U39" i="33"/>
  <c r="AB34"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J25" i="33"/>
  <c r="W25" i="33" s="1"/>
  <c r="F23" i="33"/>
  <c r="AA23" i="33" s="1"/>
  <c r="AA19" i="33"/>
  <c r="H19" i="33"/>
  <c r="U19" i="33" s="1"/>
  <c r="G81"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9" i="67"/>
  <c r="AO13" i="1"/>
  <c r="C76" i="67"/>
  <c r="E13" i="76"/>
  <c r="D3" i="73"/>
  <c r="E10" i="76"/>
  <c r="F8" i="67"/>
  <c r="F9" i="15"/>
  <c r="M22" i="15"/>
  <c r="L47" i="67"/>
  <c r="B9" i="76"/>
  <c r="B10" i="76"/>
  <c r="F36" i="15"/>
  <c r="F6" i="73"/>
  <c r="M9" i="15"/>
  <c r="E9" i="76"/>
  <c r="F8" i="15"/>
  <c r="M26" i="15"/>
  <c r="F37" i="15"/>
  <c r="M6" i="15"/>
  <c r="J15" i="67"/>
  <c r="E2" i="68"/>
  <c r="M22" i="67"/>
  <c r="E11" i="76"/>
  <c r="F4" i="73"/>
  <c r="F42" i="15"/>
  <c r="C76" i="15"/>
  <c r="F38" i="15"/>
  <c r="F13" i="67"/>
  <c r="E8" i="76"/>
  <c r="F37" i="67"/>
  <c r="F42" i="67"/>
  <c r="M6" i="67"/>
  <c r="M26" i="67"/>
  <c r="B13" i="76"/>
  <c r="M23" i="67"/>
  <c r="F38" i="67"/>
  <c r="E12" i="76"/>
  <c r="D6" i="73"/>
  <c r="M8" i="67"/>
  <c r="M28" i="15"/>
  <c r="M23" i="15"/>
  <c r="F16" i="67"/>
  <c r="J15" i="15"/>
  <c r="F20" i="31"/>
  <c r="B12" i="76"/>
  <c r="F6" i="15"/>
  <c r="F9" i="67"/>
  <c r="F13" i="15"/>
  <c r="E7" i="76"/>
  <c r="L47" i="15"/>
  <c r="B7" i="76"/>
  <c r="M28" i="67"/>
  <c r="M24" i="67"/>
  <c r="F16" i="15"/>
  <c r="M24" i="15"/>
  <c r="F7" i="73"/>
  <c r="F40" i="15"/>
  <c r="F40" i="67"/>
  <c r="F3" i="73"/>
  <c r="D7" i="73"/>
  <c r="F5" i="73"/>
  <c r="E2" i="69"/>
  <c r="F26" i="67"/>
  <c r="F26" i="15"/>
  <c r="D4" i="73"/>
  <c r="M8" i="15"/>
  <c r="F36" i="67"/>
  <c r="B11" i="76"/>
  <c r="B8" i="76"/>
  <c r="N7" i="80" l="1"/>
  <c r="U25" i="33"/>
  <c r="AC25" i="33"/>
  <c r="S25" i="33"/>
  <c r="W23" i="33"/>
  <c r="U23" i="33"/>
  <c r="S15" i="33"/>
  <c r="J32" i="33"/>
  <c r="AC32" i="33" s="1"/>
  <c r="H32" i="33"/>
  <c r="AB32" i="33" s="1"/>
  <c r="F32" i="33"/>
  <c r="S32" i="33" s="1"/>
  <c r="C40" i="68"/>
  <c r="H38" i="33"/>
  <c r="AB38" i="33" s="1"/>
  <c r="J38" i="33"/>
  <c r="AC38" i="33" s="1"/>
  <c r="F38" i="33"/>
  <c r="AA38" i="33" s="1"/>
  <c r="W43" i="33"/>
  <c r="S43" i="33"/>
  <c r="U43" i="33"/>
  <c r="S41" i="33"/>
  <c r="U38" i="33"/>
  <c r="S42" i="33"/>
  <c r="U42" i="33"/>
  <c r="W42" i="33"/>
  <c r="W37" i="33"/>
  <c r="U37" i="33"/>
  <c r="D52" i="43"/>
  <c r="M20" i="15"/>
  <c r="F34" i="82"/>
  <c r="F62" i="82" s="1"/>
  <c r="M20" i="82"/>
  <c r="D53" i="43"/>
  <c r="F48" i="9"/>
  <c r="O52" i="9" s="1"/>
  <c r="F32" i="82"/>
  <c r="F60" i="82" s="1"/>
  <c r="M18" i="82"/>
  <c r="F28" i="82"/>
  <c r="C28" i="82" s="1"/>
  <c r="D56" i="43"/>
  <c r="J51" i="15"/>
  <c r="N59" i="15" s="1"/>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E307" i="3" s="1"/>
  <c r="BL5" i="3"/>
  <c r="C34" i="34"/>
  <c r="H5" i="3"/>
  <c r="W8" i="33"/>
  <c r="W26" i="33"/>
  <c r="AA26" i="33"/>
  <c r="AB26"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F66" i="15"/>
  <c r="Q71" i="67"/>
  <c r="F64" i="15"/>
  <c r="C27" i="67"/>
  <c r="C27" i="15"/>
  <c r="F65" i="15"/>
  <c r="N59" i="67"/>
  <c r="L59" i="67"/>
  <c r="M59" i="67"/>
  <c r="B13" i="70"/>
  <c r="F68" i="67"/>
  <c r="F64" i="67"/>
  <c r="F68" i="15"/>
  <c r="C36" i="68"/>
  <c r="D9" i="69"/>
  <c r="D9" i="68"/>
  <c r="F42" i="82"/>
  <c r="F7" i="82"/>
  <c r="J15" i="82"/>
  <c r="M29" i="82"/>
  <c r="L47" i="82"/>
  <c r="F37" i="82"/>
  <c r="F6" i="82"/>
  <c r="M26" i="82"/>
  <c r="F26" i="82"/>
  <c r="F16" i="82"/>
  <c r="F40" i="82"/>
  <c r="L48" i="82"/>
  <c r="F36" i="82"/>
  <c r="M8" i="82"/>
  <c r="M23" i="82"/>
  <c r="M28" i="82"/>
  <c r="C76" i="82"/>
  <c r="M9" i="82"/>
  <c r="M22" i="82"/>
  <c r="F9" i="82"/>
  <c r="F38" i="82"/>
  <c r="F8" i="82"/>
  <c r="F43" i="82"/>
  <c r="M6" i="82"/>
  <c r="L48" i="67"/>
  <c r="M27" i="82"/>
  <c r="G1" i="73"/>
  <c r="F13" i="82"/>
  <c r="M24" i="82"/>
  <c r="L48" i="15"/>
  <c r="L59" i="15" l="1"/>
  <c r="B25" i="31"/>
  <c r="N8" i="80"/>
  <c r="P10" i="80" s="1"/>
  <c r="P8" i="80"/>
  <c r="P9" i="80" s="1"/>
  <c r="P13" i="80" s="1"/>
  <c r="W32" i="33"/>
  <c r="U32" i="33"/>
  <c r="AA32" i="33"/>
  <c r="S38" i="33"/>
  <c r="W38" i="33"/>
  <c r="M59" i="15"/>
  <c r="AB37" i="34"/>
  <c r="F31" i="82"/>
  <c r="E10" i="6"/>
  <c r="E8" i="6"/>
  <c r="F27" i="6" s="1"/>
  <c r="E11" i="6"/>
  <c r="E60" i="39" s="1"/>
  <c r="E577" i="3"/>
  <c r="E183" i="3"/>
  <c r="E13" i="6"/>
  <c r="E62" i="39" s="1"/>
  <c r="E270" i="3"/>
  <c r="J7" i="36"/>
  <c r="AC7" i="36" s="1"/>
  <c r="V36" i="36" s="1"/>
  <c r="I36" i="36" s="1"/>
  <c r="F7" i="36"/>
  <c r="S7" i="36" s="1"/>
  <c r="E83" i="43"/>
  <c r="B81" i="43" s="1"/>
  <c r="F66" i="82"/>
  <c r="F65" i="82"/>
  <c r="Q71" i="82"/>
  <c r="C6" i="82"/>
  <c r="C32" i="82" s="1"/>
  <c r="C27" i="82"/>
  <c r="F51" i="82"/>
  <c r="F64" i="82"/>
  <c r="F68" i="82"/>
  <c r="L59" i="82"/>
  <c r="M59" i="82"/>
  <c r="N59" i="82"/>
  <c r="L58" i="82"/>
  <c r="Q73" i="82" s="1"/>
  <c r="F71" i="82"/>
  <c r="F50" i="82"/>
  <c r="F59" i="82" s="1"/>
  <c r="M7" i="82"/>
  <c r="J6" i="82" s="1"/>
  <c r="J19" i="82" s="1"/>
  <c r="L57" i="82"/>
  <c r="L60" i="82"/>
  <c r="Q66" i="82" s="1"/>
  <c r="I54" i="82"/>
  <c r="L56" i="82"/>
  <c r="J53" i="82"/>
  <c r="F1" i="82" s="1"/>
  <c r="J57" i="82"/>
  <c r="J55" i="82" s="1"/>
  <c r="J58" i="82" s="1"/>
  <c r="Q50" i="82" s="1"/>
  <c r="E15" i="6"/>
  <c r="E64" i="39" s="1"/>
  <c r="E14" i="6"/>
  <c r="E63" i="39" s="1"/>
  <c r="AZ5" i="3"/>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AY6" i="3"/>
  <c r="E3" i="6"/>
  <c r="M14" i="1"/>
  <c r="D5" i="43"/>
  <c r="C7" i="43"/>
  <c r="C5" i="43" s="1"/>
  <c r="D10" i="52"/>
  <c r="D125" i="9"/>
  <c r="D11" i="52" s="1"/>
  <c r="B7" i="74"/>
  <c r="H7" i="37"/>
  <c r="AB7" i="37" s="1"/>
  <c r="T42" i="37" s="1"/>
  <c r="G42" i="37" s="1"/>
  <c r="B40" i="1"/>
  <c r="H7" i="33"/>
  <c r="J7" i="33"/>
  <c r="D65" i="40"/>
  <c r="E63" i="40"/>
  <c r="F48" i="35"/>
  <c r="AC7" i="37"/>
  <c r="V42" i="37" s="1"/>
  <c r="I42" i="37" s="1"/>
  <c r="F7" i="33"/>
  <c r="E58" i="21"/>
  <c r="W7" i="36"/>
  <c r="F7" i="37"/>
  <c r="D14" i="71"/>
  <c r="C13" i="71"/>
  <c r="P28" i="43"/>
  <c r="B66" i="40" s="1"/>
  <c r="P25" i="43"/>
  <c r="P29" i="43"/>
  <c r="P27" i="43"/>
  <c r="B70" i="39" s="1"/>
  <c r="M11" i="67"/>
  <c r="J10" i="67" s="1"/>
  <c r="F11" i="15"/>
  <c r="M11" i="15"/>
  <c r="J10" i="15" s="1"/>
  <c r="F11" i="67"/>
  <c r="Q61" i="67"/>
  <c r="Q74" i="67"/>
  <c r="Q74" i="15"/>
  <c r="Q61" i="15"/>
  <c r="AE11" i="1"/>
  <c r="AE9" i="1"/>
  <c r="AE8" i="1"/>
  <c r="AE12" i="1"/>
  <c r="AE10" i="1"/>
  <c r="AE7" i="1"/>
  <c r="M29" i="15"/>
  <c r="F7" i="67"/>
  <c r="F43" i="67"/>
  <c r="F7" i="15"/>
  <c r="F43" i="15"/>
  <c r="C16" i="82"/>
  <c r="M29" i="67"/>
  <c r="O8" i="80" l="1"/>
  <c r="B22" i="31"/>
  <c r="C25" i="31"/>
  <c r="AB7" i="36"/>
  <c r="T36" i="36" s="1"/>
  <c r="G36" i="36" s="1"/>
  <c r="E58" i="40"/>
  <c r="E51" i="40"/>
  <c r="AA7" i="36"/>
  <c r="R36" i="36" s="1"/>
  <c r="E36" i="36" s="1"/>
  <c r="C28" i="43"/>
  <c r="T13" i="43" s="1"/>
  <c r="V13" i="43" s="1"/>
  <c r="F31" i="15"/>
  <c r="M17" i="82"/>
  <c r="E16" i="6"/>
  <c r="E60" i="40"/>
  <c r="D26" i="43"/>
  <c r="C25" i="43" s="1"/>
  <c r="C49" i="82"/>
  <c r="C61" i="82" s="1"/>
  <c r="F67" i="39"/>
  <c r="G67" i="39" s="1"/>
  <c r="Q60" i="82"/>
  <c r="C33" i="82"/>
  <c r="Q52" i="82"/>
  <c r="Q57" i="82"/>
  <c r="J18" i="82"/>
  <c r="J5" i="82"/>
  <c r="J26" i="82" s="1"/>
  <c r="Q74" i="82"/>
  <c r="Q61" i="82"/>
  <c r="L36" i="43"/>
  <c r="N36" i="43" s="1"/>
  <c r="F24" i="82"/>
  <c r="C53" i="82"/>
  <c r="C10" i="82"/>
  <c r="C5" i="82" s="1"/>
  <c r="AC6" i="3"/>
  <c r="H6" i="3"/>
  <c r="G16" i="1"/>
  <c r="F10" i="39" s="1"/>
  <c r="AA10" i="39" s="1"/>
  <c r="F50" i="15"/>
  <c r="M7" i="15"/>
  <c r="C6" i="15"/>
  <c r="C32" i="15" s="1"/>
  <c r="F71" i="15"/>
  <c r="K16" i="1"/>
  <c r="K19" i="1" s="1"/>
  <c r="M19" i="1" s="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F58" i="21"/>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M27" i="15"/>
  <c r="C16" i="15"/>
  <c r="M27" i="67"/>
  <c r="C16" i="67"/>
  <c r="AE6" i="1"/>
  <c r="R37" i="36" l="1"/>
  <c r="F69" i="39"/>
  <c r="T8" i="43"/>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E37" i="43" s="1"/>
  <c r="T2" i="43"/>
  <c r="T10" i="43"/>
  <c r="V10" i="43" s="1"/>
  <c r="T7" i="43"/>
  <c r="V7" i="43" s="1"/>
  <c r="T15" i="43"/>
  <c r="V15" i="43" s="1"/>
  <c r="C33" i="43"/>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C10" i="15"/>
  <c r="C5" i="15" s="1"/>
  <c r="C38" i="15" s="1"/>
  <c r="O6" i="1"/>
  <c r="O16" i="1" s="1"/>
  <c r="C48" i="67"/>
  <c r="C66" i="67" s="1"/>
  <c r="J5" i="67"/>
  <c r="J24"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F41" i="82"/>
  <c r="C17" i="82"/>
  <c r="F41" i="67"/>
  <c r="C14" i="67"/>
  <c r="C17" i="15"/>
  <c r="F41" i="15"/>
  <c r="C17" i="67"/>
  <c r="V2" i="43" l="1"/>
  <c r="C6" i="68" s="1"/>
  <c r="C6" i="69"/>
  <c r="K20" i="1"/>
  <c r="K21" i="1" s="1"/>
  <c r="M21" i="1" s="1"/>
  <c r="M22" i="1" s="1"/>
  <c r="L22" i="1" s="1"/>
  <c r="D1" i="43"/>
  <c r="F69" i="67"/>
  <c r="G42" i="43"/>
  <c r="I42" i="43" s="1"/>
  <c r="G39" i="43"/>
  <c r="I39" i="43" s="1"/>
  <c r="C66" i="82"/>
  <c r="F69" i="15"/>
  <c r="G38" i="43"/>
  <c r="I38" i="43"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F6" i="67"/>
  <c r="C14" i="15"/>
  <c r="C14" i="82"/>
  <c r="B6" i="76"/>
  <c r="C7" i="68" l="1"/>
  <c r="E2" i="70"/>
  <c r="C7" i="69"/>
  <c r="C31" i="43"/>
  <c r="C15" i="82"/>
  <c r="C19" i="82" s="1"/>
  <c r="C18" i="82"/>
  <c r="E52" i="33"/>
  <c r="F52" i="33" s="1"/>
  <c r="D31" i="6"/>
  <c r="I5" i="6" s="1"/>
  <c r="E53" i="33"/>
  <c r="F53" i="33" s="1"/>
  <c r="C31" i="11"/>
  <c r="C49" i="33"/>
  <c r="F31" i="67"/>
  <c r="C6" i="67"/>
  <c r="C33" i="67" s="1"/>
  <c r="C8" i="69"/>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C5" i="69" l="1"/>
  <c r="C23" i="69" s="1"/>
  <c r="E2" i="76"/>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20" i="69" l="1"/>
  <c r="C28" i="69" s="1"/>
  <c r="C27" i="69" s="1"/>
  <c r="C23" i="82"/>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U7" i="35"/>
  <c r="AB7" i="35"/>
  <c r="T38" i="35" s="1"/>
  <c r="G38" i="35" s="1"/>
  <c r="G52" i="21"/>
  <c r="H52" i="21" s="1"/>
  <c r="G53" i="21"/>
  <c r="H53" i="21" s="1"/>
  <c r="F7" i="35"/>
  <c r="M21" i="82"/>
  <c r="F35" i="82"/>
  <c r="F35" i="67"/>
  <c r="M21" i="15"/>
  <c r="M21" i="67"/>
  <c r="F35" i="15"/>
  <c r="C25" i="69" l="1"/>
  <c r="C22" i="69" s="1"/>
  <c r="C31" i="69" s="1"/>
  <c r="C57" i="82"/>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52" i="69" l="1"/>
  <c r="B2" i="69" s="1"/>
  <c r="B3" i="69" s="1"/>
  <c r="G43" i="35"/>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2"/>
  <c r="C57" i="68" l="1"/>
  <c r="C56" i="68" s="1"/>
  <c r="C57" i="69"/>
  <c r="C56" i="69" s="1"/>
  <c r="C80" i="82"/>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L51" i="67"/>
  <c r="D2" i="33"/>
  <c r="C43" i="82" l="1"/>
  <c r="B2" i="82"/>
  <c r="B3" i="82" s="1"/>
  <c r="Q56" i="82"/>
  <c r="Q62" i="82" s="1"/>
  <c r="C46" i="82"/>
  <c r="Q65" i="82"/>
  <c r="Q75" i="82" s="1"/>
  <c r="C83" i="82"/>
  <c r="C82" i="82"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9" i="1"/>
  <c r="AO12" i="1"/>
  <c r="C19" i="9"/>
  <c r="AO11" i="1"/>
  <c r="AO6" i="1"/>
  <c r="AO8"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4" i="9"/>
  <c r="D35"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X8" i="80"/>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R6" i="80" l="1"/>
  <c r="R7" i="80" s="1"/>
  <c r="V6" i="80"/>
  <c r="R8" i="80"/>
  <c r="C32" i="9"/>
  <c r="S6" i="80" l="1"/>
  <c r="W6" i="80"/>
  <c r="V7" i="80"/>
  <c r="W7" i="80" s="1"/>
  <c r="C35" i="9"/>
  <c r="C34" i="9" s="1"/>
  <c r="R24" i="31"/>
  <c r="S24" i="31" s="1"/>
  <c r="R26" i="31"/>
  <c r="S26" i="31" s="1"/>
  <c r="R28" i="31"/>
  <c r="S28" i="31" s="1"/>
  <c r="R31" i="31"/>
  <c r="S31" i="31" s="1"/>
  <c r="R29" i="31"/>
  <c r="S29" i="31" s="1"/>
  <c r="R27" i="31"/>
  <c r="S27" i="31" s="1"/>
  <c r="R32" i="31"/>
  <c r="S32" i="31" s="1"/>
  <c r="R30" i="31"/>
  <c r="S30" i="31" s="1"/>
  <c r="W8" i="80" l="1"/>
  <c r="S7" i="80"/>
  <c r="S8" i="80" s="1"/>
  <c r="R25" i="31"/>
  <c r="S25" i="31" s="1"/>
  <c r="S22" i="31" s="1"/>
  <c r="R22" i="31" s="1"/>
  <c r="B20" i="31" l="1"/>
  <c r="B21" i="31" s="1"/>
  <c r="I118" i="9"/>
  <c r="C105" i="9" s="1"/>
  <c r="G118" i="9"/>
  <c r="F118" i="9" s="1"/>
  <c r="H102" i="9" l="1"/>
  <c r="D7" i="53" s="1"/>
  <c r="B21" i="72" s="1"/>
  <c r="I4" i="52"/>
  <c r="H118" i="9"/>
  <c r="F4" i="52"/>
  <c r="B51" i="72" s="1"/>
  <c r="F119" i="9"/>
  <c r="F5" i="52" s="1"/>
  <c r="B53" i="72" s="1"/>
  <c r="E118" i="9"/>
  <c r="G4" i="52"/>
  <c r="B52" i="72" s="1"/>
  <c r="H101" i="9" l="1"/>
  <c r="H119" i="9"/>
  <c r="H5" i="52" s="1"/>
  <c r="C104" i="9"/>
  <c r="H4" i="52"/>
  <c r="D118" i="9"/>
  <c r="E4" i="52"/>
  <c r="B48" i="72" s="1"/>
  <c r="D14" i="74" l="1"/>
  <c r="H107" i="9"/>
  <c r="D45" i="9"/>
  <c r="D5" i="53"/>
  <c r="M48" i="9"/>
  <c r="D4" i="52"/>
  <c r="B47" i="72" s="1"/>
  <c r="D119" i="9"/>
  <c r="D5" i="52" s="1"/>
  <c r="B49" i="72" s="1"/>
  <c r="B20" i="72" l="1"/>
  <c r="D6" i="53"/>
  <c r="B22" i="72" s="1"/>
  <c r="C85" i="9"/>
  <c r="C72" i="9"/>
  <c r="C93" i="9"/>
  <c r="C86" i="9" s="1"/>
  <c r="D53" i="9"/>
  <c r="D48" i="9" s="1"/>
  <c r="M52" i="9" s="1"/>
  <c r="D55" i="9"/>
  <c r="M53" i="9" s="1"/>
  <c r="C64" i="9"/>
  <c r="C63" i="9" s="1"/>
  <c r="C67" i="9" s="1"/>
  <c r="C78" i="9"/>
  <c r="C73" i="9" s="1"/>
  <c r="D52" i="9"/>
  <c r="M49" i="9"/>
  <c r="H108" i="9"/>
  <c r="D109" i="9" s="1"/>
  <c r="D13" i="53"/>
  <c r="D122" i="9"/>
  <c r="B5" i="74"/>
  <c r="G14" i="74"/>
  <c r="B6" i="74" s="1"/>
  <c r="F14" i="74"/>
  <c r="E14" i="74"/>
  <c r="D15" i="53" l="1"/>
  <c r="B31" i="72" s="1"/>
  <c r="C79" i="9"/>
  <c r="C80" i="9" s="1"/>
  <c r="E80" i="9" s="1"/>
  <c r="E81" i="9" s="1"/>
  <c r="C95" i="9"/>
  <c r="C96" i="9" s="1"/>
  <c r="E96" i="9" s="1"/>
  <c r="E97" i="9" s="1"/>
  <c r="C6" i="74"/>
  <c r="D6" i="74"/>
  <c r="D59" i="9"/>
  <c r="M55" i="9" s="1"/>
  <c r="C68" i="9"/>
  <c r="D54" i="9" s="1"/>
  <c r="C5" i="74"/>
  <c r="D5" i="74"/>
  <c r="L63" i="9"/>
  <c r="M63" i="9" s="1"/>
  <c r="L64" i="9"/>
  <c r="M64" i="9" s="1"/>
  <c r="L65" i="9"/>
  <c r="M65" i="9" s="1"/>
  <c r="L66" i="9"/>
  <c r="M66" i="9" s="1"/>
  <c r="L67" i="9"/>
  <c r="M67" i="9" s="1"/>
  <c r="L68" i="9"/>
  <c r="M68" i="9" s="1"/>
  <c r="D123" i="9"/>
  <c r="D9" i="52" s="1"/>
  <c r="D8" i="52"/>
  <c r="D14" i="53"/>
  <c r="B32" i="72" s="1"/>
  <c r="B30" i="72"/>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<sst xmlns="http://schemas.openxmlformats.org/spreadsheetml/2006/main" count="8432" uniqueCount="3494">
  <si>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</si>
  <si>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</si>
  <si>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</si>
  <si>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</si>
  <si>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</si>
  <si>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</si>
  <si>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</si>
  <si>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</si>
  <si>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</si>
  <si>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</si>
  <si>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</si>
  <si>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</si>
  <si>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</si>
  <si>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</si>
  <si>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</si>
  <si>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</si>
  <si>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</si>
  <si>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</si>
  <si>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</si>
  <si>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</si>
  <si>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</si>
  <si>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</si>
  <si>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</si>
  <si>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</si>
  <si>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</si>
  <si>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</si>
  <si>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</si>
  <si>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</si>
  <si>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</si>
  <si>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</si>
  <si>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</si>
  <si>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</si>
  <si>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</si>
  <si>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</si>
  <si>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</si>
  <si>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</si>
  <si>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</si>
  <si>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</si>
  <si>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</si>
  <si>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</si>
  <si>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</si>
  <si>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</si>
  <si>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</si>
  <si>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</si>
  <si>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</si>
  <si>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</si>
  <si>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</si>
  <si>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</si>
  <si>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</si>
  <si>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</si>
  <si>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</si>
  <si>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</si>
  <si>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</si>
  <si>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</si>
  <si>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</si>
  <si>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</si>
  <si>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</si>
  <si>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</si>
  <si>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</si>
  <si>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</si>
  <si>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</si>
  <si>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</si>
  <si>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</si>
  <si>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</si>
  <si>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</si>
  <si>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</si>
  <si>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</si>
  <si>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</si>
  <si>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</si>
  <si>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</si>
  <si>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</si>
  <si>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</si>
  <si>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</si>
  <si>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</si>
  <si>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</si>
  <si>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</si>
  <si>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</si>
  <si>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</si>
  <si>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</si>
  <si>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</si>
  <si>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</si>
  <si>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</si>
  <si>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</si>
  <si>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</si>
  <si>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</si>
  <si>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</si>
  <si>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</si>
  <si>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</si>
  <si>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</si>
  <si>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</si>
  <si>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</si>
  <si>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</si>
  <si>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</si>
  <si>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</si>
  <si>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</si>
  <si>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</si>
  <si>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</si>
  <si>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</si>
  <si>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</si>
  <si>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</si>
  <si>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</si>
  <si>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</si>
  <si>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</si>
  <si>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</si>
  <si>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</si>
  <si>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</si>
  <si>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</si>
  <si>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</si>
  <si>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</si>
  <si>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</si>
  <si>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</si>
  <si>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</si>
  <si>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</si>
  <si>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</si>
  <si>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</si>
  <si>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</si>
  <si>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</si>
  <si>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</si>
  <si>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</si>
  <si>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</si>
  <si>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</si>
  <si>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</si>
  <si>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</si>
  <si>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</si>
  <si>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</si>
  <si>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</si>
  <si>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</si>
  <si>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</si>
  <si>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</si>
  <si>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</si>
  <si>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</si>
  <si>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</si>
  <si>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</si>
  <si>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</si>
  <si>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</si>
  <si>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</si>
  <si>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</si>
  <si>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</si>
  <si>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</si>
  <si>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</si>
  <si>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</si>
  <si>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</si>
  <si>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</si>
  <si>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</si>
  <si>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</si>
  <si>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</si>
  <si>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</si>
  <si>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</si>
  <si>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</si>
  <si>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</si>
  <si>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</si>
  <si>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</si>
  <si>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</si>
  <si>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</si>
  <si>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</si>
  <si>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</si>
  <si>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</si>
  <si>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</si>
  <si>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</si>
  <si>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</si>
  <si>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</si>
  <si>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</si>
  <si>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</si>
  <si>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</si>
  <si>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</si>
  <si>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</si>
  <si>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</si>
  <si>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</si>
  <si>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</si>
  <si>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</si>
  <si>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</si>
  <si>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</si>
  <si>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</si>
  <si>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</si>
  <si>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</si>
  <si>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</si>
  <si>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</si>
  <si>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</si>
  <si>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</si>
  <si>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</si>
  <si>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</si>
  <si>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</si>
  <si>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</si>
  <si>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</si>
  <si>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</si>
  <si>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</si>
  <si>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</si>
  <si>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</si>
  <si>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</si>
  <si>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</si>
  <si>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</si>
  <si>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</si>
  <si>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</si>
  <si>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</si>
  <si>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</si>
  <si>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</si>
  <si>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</si>
  <si>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</si>
  <si>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</si>
  <si>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</si>
  <si>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</si>
  <si>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</si>
  <si>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</si>
  <si>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</si>
  <si>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</si>
  <si>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</si>
  <si>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</si>
  <si>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</si>
  <si>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</si>
  <si>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</si>
  <si>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</si>
  <si>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</si>
  <si>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</si>
  <si>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</si>
  <si>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</si>
  <si>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</si>
  <si>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</si>
  <si>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</si>
  <si>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</si>
  <si>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</si>
  <si>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</si>
  <si>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</si>
  <si>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</si>
  <si>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</si>
  <si>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</si>
  <si>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</si>
  <si>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</si>
  <si>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</si>
  <si>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</si>
  <si>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</si>
  <si>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</si>
  <si>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</si>
  <si>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</si>
  <si>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</si>
  <si>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</si>
  <si>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</si>
  <si>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</si>
  <si>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</si>
  <si>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</si>
  <si>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</si>
  <si>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</si>
  <si>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</si>
  <si>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</si>
  <si>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</si>
  <si>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</si>
  <si>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</si>
  <si>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</si>
  <si>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</si>
  <si>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</si>
  <si>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</si>
  <si>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</si>
  <si>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</si>
  <si>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</si>
  <si>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</si>
  <si>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</si>
  <si>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</si>
  <si>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</si>
  <si>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</si>
  <si>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</si>
  <si>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</si>
  <si>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</si>
  <si>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</si>
  <si>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</si>
  <si>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</si>
  <si>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</si>
  <si>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</si>
  <si>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</si>
  <si>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</si>
  <si>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</si>
  <si>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</si>
  <si>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</si>
  <si>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</si>
  <si>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</si>
  <si>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</si>
  <si>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</si>
  <si>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</si>
  <si>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</si>
  <si>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</si>
  <si>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</si>
  <si>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</si>
  <si>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</si>
  <si>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</si>
  <si>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</si>
  <si>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</si>
  <si>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</si>
  <si>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</si>
  <si>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</si>
  <si>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</si>
  <si>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</si>
  <si>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</si>
  <si>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</si>
  <si>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</si>
  <si>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</si>
  <si>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</si>
  <si>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</si>
  <si>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</si>
  <si>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</si>
  <si>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</si>
  <si>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</si>
  <si>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</si>
  <si>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</si>
  <si>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</si>
  <si>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</si>
  <si>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</si>
  <si>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</si>
  <si>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</si>
  <si>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</si>
  <si>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</si>
  <si>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</si>
  <si>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</si>
  <si>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</si>
  <si>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</si>
  <si>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</si>
  <si>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</si>
  <si>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</si>
  <si>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</si>
  <si>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</si>
  <si>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</si>
  <si>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</si>
  <si>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</si>
  <si>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</si>
  <si>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</si>
  <si>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</si>
  <si>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</si>
  <si>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</si>
  <si>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</si>
  <si>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</si>
  <si>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</si>
  <si>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</si>
  <si>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</si>
  <si>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</si>
  <si>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</si>
  <si>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</si>
  <si>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</si>
  <si>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</si>
  <si>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</si>
  <si>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</si>
  <si>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</si>
  <si>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</si>
  <si>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</si>
  <si>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</si>
  <si>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</si>
  <si>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</si>
  <si>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</si>
  <si>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</si>
  <si>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</si>
  <si>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</si>
  <si>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</si>
  <si>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</si>
  <si>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</si>
  <si>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</si>
  <si>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</si>
  <si>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</si>
  <si>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</si>
  <si>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</si>
  <si>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</si>
  <si>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</si>
  <si>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</si>
  <si>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</si>
  <si>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</si>
  <si>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</si>
  <si>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</si>
  <si>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</si>
  <si>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</si>
  <si>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</si>
  <si>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</si>
  <si>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</si>
  <si>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</si>
  <si>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</si>
  <si>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</si>
  <si>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</si>
  <si>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</si>
  <si>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</si>
  <si>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</si>
  <si>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</si>
  <si>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</si>
  <si>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</si>
  <si>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</si>
  <si>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</si>
  <si>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</si>
  <si>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</si>
  <si>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</si>
  <si>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</si>
  <si>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</si>
  <si>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</si>
  <si>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</si>
  <si>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</si>
  <si>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</si>
  <si>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</si>
  <si>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</si>
  <si>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</si>
  <si>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</si>
  <si>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</si>
  <si>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</si>
  <si>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</si>
  <si>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</si>
  <si>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</si>
  <si>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</si>
  <si>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</si>
  <si>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</si>
  <si>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</si>
  <si>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</si>
  <si>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</si>
  <si>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</si>
  <si>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</si>
  <si>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</si>
  <si>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</si>
  <si>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</si>
  <si>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</si>
  <si>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</si>
  <si>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</si>
  <si>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</si>
  <si>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</si>
  <si>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</si>
  <si>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</si>
  <si>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</si>
  <si>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</si>
  <si>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</si>
  <si>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</si>
  <si>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</si>
  <si>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</si>
  <si>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</si>
  <si>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</si>
  <si>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</si>
  <si>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</si>
  <si>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</si>
  <si>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</si>
  <si>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</si>
  <si>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</si>
  <si>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</si>
  <si>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</si>
  <si>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</si>
  <si>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</si>
  <si>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</si>
  <si>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</si>
  <si>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</si>
  <si>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</si>
  <si>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</si>
  <si>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</si>
  <si>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</si>
  <si>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</si>
  <si>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</si>
  <si>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</si>
  <si>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</si>
  <si>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</si>
  <si>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</si>
  <si>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</si>
  <si>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</si>
  <si>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</si>
  <si>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</si>
  <si>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</si>
  <si>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</si>
  <si>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</si>
  <si>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</si>
  <si>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</si>
  <si>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</si>
  <si>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</si>
  <si>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</si>
  <si>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</si>
  <si>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</si>
  <si>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</si>
  <si>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</si>
  <si>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</si>
  <si>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</si>
  <si>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</si>
  <si>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</si>
  <si>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</si>
  <si>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</si>
  <si>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</si>
  <si>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</si>
  <si>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</si>
  <si>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</si>
  <si>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</si>
  <si>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</si>
  <si>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</si>
  <si>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</si>
  <si>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</si>
  <si>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</si>
  <si>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</si>
  <si>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</si>
  <si>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</si>
  <si>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</si>
  <si>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</si>
  <si>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</si>
  <si>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</si>
  <si>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</si>
  <si>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</si>
  <si>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</si>
  <si>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</si>
  <si>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</si>
  <si>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</si>
  <si>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</si>
  <si>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</si>
  <si>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</si>
  <si>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</si>
  <si>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</si>
  <si>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</si>
  <si>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</si>
  <si>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</si>
  <si>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</si>
  <si>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</si>
  <si>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</si>
  <si>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</si>
  <si>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</si>
  <si>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</si>
  <si>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</si>
  <si>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</si>
  <si>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</si>
  <si>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</si>
  <si>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</si>
  <si>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</si>
  <si>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</si>
  <si>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</si>
  <si>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</si>
  <si>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</si>
  <si>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</si>
  <si>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</si>
  <si>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</si>
  <si>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</si>
  <si>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</si>
  <si>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</si>
  <si>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</si>
  <si>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</si>
  <si>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</si>
  <si>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</si>
  <si>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</si>
  <si>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</si>
  <si>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</si>
  <si>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</si>
  <si>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</si>
  <si>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</si>
  <si>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</si>
  <si>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</si>
  <si>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</si>
  <si>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</si>
  <si>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</si>
  <si>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</si>
  <si>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</si>
  <si>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</si>
  <si>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</si>
  <si>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</si>
  <si>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</si>
  <si>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</si>
  <si>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</si>
  <si>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</si>
  <si>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</si>
  <si>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</si>
  <si>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</si>
  <si>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</si>
  <si>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</si>
  <si>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</si>
  <si>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</si>
  <si>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</si>
  <si>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</si>
  <si>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</si>
  <si>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</si>
  <si>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</si>
  <si>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</si>
  <si>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</si>
  <si>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</si>
  <si>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</si>
  <si>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</si>
  <si>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</si>
  <si>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</si>
  <si>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</si>
  <si>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</si>
  <si>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</si>
  <si>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</si>
  <si>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</si>
  <si>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</si>
  <si>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</si>
  <si>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</si>
  <si>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</si>
  <si>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</si>
  <si>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</si>
  <si>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</si>
  <si>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</si>
  <si>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</si>
  <si>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</si>
  <si>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</si>
  <si>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</si>
  <si>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</si>
  <si>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</si>
  <si>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</si>
  <si>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</si>
  <si>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</si>
  <si>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</si>
  <si>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</si>
  <si>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</si>
  <si>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</si>
  <si>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</si>
  <si>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</si>
  <si>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</si>
  <si>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</si>
  <si>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</si>
  <si>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</si>
  <si>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</si>
  <si>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</si>
  <si>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</si>
  <si>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</si>
  <si>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</si>
  <si>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</si>
  <si>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</si>
  <si>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</si>
  <si>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</si>
  <si>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</si>
  <si>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</si>
  <si>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</si>
  <si>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</si>
  <si>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</si>
  <si>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</si>
  <si>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</si>
  <si>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</si>
  <si>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</si>
  <si>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</si>
  <si>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</si>
  <si>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</si>
  <si>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</si>
  <si>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</si>
  <si>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</si>
  <si>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</si>
  <si>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</si>
  <si>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</si>
  <si>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</si>
  <si>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</si>
  <si>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</si>
  <si>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</si>
  <si>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</si>
  <si>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</si>
  <si>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</si>
  <si>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</si>
  <si>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</si>
  <si>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</si>
  <si>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</si>
  <si>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</si>
  <si>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</si>
  <si>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</si>
  <si>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</si>
  <si>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</si>
  <si>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</si>
  <si>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</si>
  <si>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</si>
  <si>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</si>
  <si>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</si>
  <si>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</si>
  <si>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</si>
  <si>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</si>
  <si>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</si>
  <si>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</si>
  <si>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</si>
  <si>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</si>
  <si>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</si>
  <si>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</si>
  <si>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</si>
  <si>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</si>
  <si>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</si>
  <si>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</si>
  <si>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</si>
  <si>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</si>
  <si>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</si>
  <si>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</si>
  <si>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</si>
  <si>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</si>
  <si>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</si>
  <si>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</si>
  <si>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</si>
  <si>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</si>
  <si>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</si>
  <si>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</si>
  <si>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</si>
  <si>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</si>
  <si>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</si>
  <si>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</si>
  <si>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</si>
  <si>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</si>
  <si>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</si>
  <si>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</si>
  <si>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</si>
  <si>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</si>
  <si>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</si>
  <si>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</si>
  <si>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</si>
  <si>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</si>
  <si>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</si>
  <si>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</si>
  <si>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</si>
  <si>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</si>
  <si>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</si>
  <si>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</si>
  <si>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</si>
  <si>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</si>
  <si>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</si>
  <si>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</si>
  <si>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</si>
  <si>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</si>
  <si>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</si>
  <si>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</si>
  <si>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</si>
  <si>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</si>
  <si>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</si>
  <si>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</si>
  <si>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</si>
  <si>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</si>
  <si>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</si>
  <si>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</si>
  <si>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</si>
  <si>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</si>
  <si>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</si>
  <si>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</si>
  <si>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</si>
  <si>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</si>
  <si>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</si>
  <si>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</si>
  <si>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</si>
  <si>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</si>
  <si>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</si>
  <si>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</si>
  <si>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</si>
  <si>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</si>
  <si>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</si>
  <si>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</si>
  <si>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</si>
  <si>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</si>
  <si>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</si>
  <si>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</si>
  <si>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</si>
  <si>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</si>
  <si>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</si>
  <si>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</si>
  <si>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</si>
  <si>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</si>
  <si>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</si>
  <si>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</si>
  <si>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</si>
  <si>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</si>
  <si>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</si>
  <si>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</si>
  <si>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</si>
  <si>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</si>
  <si>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</si>
  <si>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</si>
  <si>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</si>
  <si>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</si>
  <si>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</si>
  <si>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</si>
  <si>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</si>
  <si>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</si>
  <si>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</si>
  <si>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</si>
  <si>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</si>
  <si>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</si>
  <si>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</si>
  <si>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</si>
  <si>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</si>
  <si>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</si>
  <si>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</si>
  <si>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</si>
  <si>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</si>
  <si>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</si>
  <si>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</si>
  <si>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</si>
  <si>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</si>
  <si>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</si>
  <si>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</si>
  <si>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</si>
  <si>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</si>
  <si>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</si>
  <si>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</si>
  <si>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</si>
  <si>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</si>
  <si>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</si>
  <si>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</si>
  <si>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</si>
  <si>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</si>
  <si>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</si>
  <si>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</si>
  <si>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</si>
  <si>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</si>
  <si>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</si>
  <si>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</si>
  <si>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</si>
  <si>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</si>
  <si>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</si>
  <si>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</si>
  <si>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</si>
  <si>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</si>
  <si>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</si>
  <si>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</si>
  <si>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</si>
  <si>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</si>
  <si>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</si>
  <si>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</si>
  <si>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</si>
  <si>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</si>
  <si>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</si>
  <si>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</si>
  <si>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</si>
  <si>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</si>
  <si>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</si>
  <si>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</si>
  <si>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</si>
  <si>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</si>
  <si>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</si>
  <si>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</si>
  <si>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</si>
  <si>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</si>
  <si>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</si>
  <si>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</si>
  <si>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</si>
  <si>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</si>
  <si>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</si>
  <si>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</si>
  <si>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</si>
  <si>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</si>
  <si>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</si>
  <si>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</si>
  <si>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</si>
  <si>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</si>
  <si>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</si>
  <si>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</si>
  <si>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</si>
  <si>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</si>
  <si>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</si>
  <si>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</si>
  <si>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</si>
  <si>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</si>
  <si>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</si>
  <si>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</si>
  <si>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</si>
  <si>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</si>
  <si>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</si>
  <si>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</si>
  <si>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</si>
  <si>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</si>
  <si>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</si>
  <si>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</si>
  <si>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</si>
  <si>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</si>
  <si>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</si>
  <si>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</si>
  <si>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</si>
  <si>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</si>
  <si>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</si>
  <si>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</si>
  <si>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</si>
  <si>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</si>
  <si>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</si>
  <si>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</si>
  <si>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</si>
  <si>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</si>
  <si>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</si>
  <si>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</si>
  <si>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</si>
  <si>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</si>
  <si>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</si>
  <si>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</si>
  <si>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</si>
  <si>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</si>
  <si>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</si>
  <si>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</si>
  <si>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</si>
  <si>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</si>
  <si>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</si>
  <si>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</si>
  <si>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</si>
  <si>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</si>
  <si>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</si>
  <si>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</si>
  <si>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</si>
  <si>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</si>
  <si>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</si>
  <si>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</si>
  <si>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</si>
  <si>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</si>
  <si>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</si>
  <si>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</si>
  <si>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</si>
  <si>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</si>
  <si>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</si>
  <si>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</si>
  <si>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</si>
  <si>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</si>
  <si>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</si>
  <si>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</si>
  <si>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</si>
  <si>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</si>
  <si>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</si>
  <si>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</si>
  <si>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</si>
  <si>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</si>
  <si>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</si>
  <si>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</si>
  <si>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</si>
  <si>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</si>
  <si>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</si>
  <si>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</si>
  <si>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</si>
  <si>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</si>
  <si>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</si>
  <si>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</si>
  <si>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</si>
  <si>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</si>
  <si>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</si>
  <si>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</si>
  <si>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</si>
  <si>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</si>
  <si>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</si>
  <si>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</si>
  <si>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</si>
  <si>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</si>
  <si>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</si>
  <si>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</si>
  <si>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</si>
  <si>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</si>
  <si>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</si>
  <si>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</si>
  <si>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</si>
  <si>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</si>
  <si>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</si>
  <si>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</si>
  <si>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</si>
  <si>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</si>
  <si>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</si>
  <si>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</si>
  <si>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</si>
  <si>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</si>
  <si>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</si>
  <si>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</si>
  <si>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</si>
  <si>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</si>
  <si>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</si>
  <si>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</si>
  <si>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</si>
  <si>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</si>
  <si>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</si>
  <si>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</si>
  <si>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</si>
  <si>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</si>
  <si>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</si>
  <si>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</si>
  <si>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</si>
  <si>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</si>
  <si>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</si>
  <si>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</si>
  <si>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</si>
  <si>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</si>
  <si>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</si>
  <si>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</si>
  <si>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</si>
  <si>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</si>
  <si>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</si>
  <si>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</si>
  <si>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</si>
  <si>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</si>
  <si>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</si>
  <si>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</si>
  <si>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</si>
  <si>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</si>
  <si>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</si>
  <si>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</si>
  <si>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</si>
  <si>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</si>
  <si>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</si>
  <si>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</si>
  <si>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</si>
  <si>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</si>
  <si>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</si>
  <si>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</si>
  <si>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</si>
  <si>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</si>
  <si>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</si>
  <si>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</si>
  <si>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</si>
  <si>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</si>
  <si>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</si>
  <si>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</si>
  <si>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</si>
  <si>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</si>
  <si>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</si>
  <si>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</si>
  <si>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</si>
  <si>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</si>
  <si>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</si>
  <si>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</si>
  <si>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</si>
  <si>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</si>
  <si>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</si>
  <si>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</si>
  <si>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</si>
  <si>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</si>
  <si>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</si>
  <si>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</si>
  <si>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</si>
  <si>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</si>
  <si>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</si>
  <si>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</si>
  <si>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</si>
  <si>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</si>
  <si>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</si>
  <si>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</si>
  <si>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</si>
  <si>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</si>
  <si>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</si>
  <si>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</si>
  <si>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</si>
  <si>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</si>
  <si>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</si>
  <si>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</si>
  <si>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</si>
  <si>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</si>
  <si>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</si>
  <si>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</si>
  <si>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</si>
  <si>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</si>
  <si>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</si>
  <si>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</si>
  <si>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</si>
  <si>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</si>
  <si>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</si>
  <si>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</si>
  <si>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</si>
  <si>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</si>
  <si>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</si>
  <si>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</si>
  <si>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</si>
  <si>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</si>
  <si>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</si>
  <si>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</si>
  <si>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</si>
  <si>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</si>
  <si>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</si>
  <si>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</si>
  <si>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</si>
  <si>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</si>
  <si>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</si>
  <si>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</si>
  <si>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</si>
  <si>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</si>
  <si>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</si>
  <si>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</si>
  <si>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</si>
  <si>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</si>
  <si>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</si>
  <si>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</si>
  <si>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</si>
  <si>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</si>
  <si>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</si>
  <si>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</si>
  <si>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</si>
  <si>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</si>
  <si>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</si>
  <si>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</si>
  <si>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</si>
  <si>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</si>
  <si>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</si>
  <si>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</si>
  <si>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</si>
  <si>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</si>
  <si>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</si>
  <si>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</si>
  <si>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</si>
  <si>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</si>
  <si>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</si>
  <si>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</si>
  <si>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</si>
  <si>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</si>
  <si>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</si>
  <si>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</si>
  <si>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</si>
  <si>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</si>
  <si>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</si>
  <si>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</si>
  <si>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</si>
  <si>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</si>
  <si>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</si>
  <si>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</si>
  <si>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</si>
  <si>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</si>
  <si>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</si>
  <si>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</si>
  <si>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</si>
  <si>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</si>
  <si>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</si>
  <si>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</si>
  <si>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</si>
  <si>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</si>
  <si>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</si>
  <si>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</si>
  <si>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</si>
  <si>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</si>
  <si>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</si>
  <si>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</si>
  <si>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</si>
  <si>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</si>
  <si>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</si>
  <si>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</si>
  <si>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</si>
  <si>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</si>
  <si>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</si>
  <si>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</si>
  <si>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</si>
  <si>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</si>
  <si>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</si>
  <si>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</si>
  <si>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</si>
  <si>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</si>
  <si>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</si>
  <si>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</si>
  <si>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</si>
  <si>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</si>
  <si>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</si>
  <si>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</si>
  <si>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</si>
  <si>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</si>
  <si>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</si>
  <si>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</si>
  <si>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</si>
  <si>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</si>
  <si>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</si>
  <si>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</si>
  <si>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</si>
  <si>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</si>
  <si>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</si>
  <si>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</si>
  <si>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</si>
  <si>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</si>
  <si>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</si>
  <si>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</si>
  <si>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</si>
  <si>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</si>
  <si>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</si>
  <si>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</si>
  <si>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</si>
  <si>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</si>
  <si>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</si>
  <si>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</si>
  <si>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</si>
  <si>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</si>
  <si>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</si>
  <si>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</si>
  <si>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</si>
  <si>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</si>
  <si>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</si>
  <si>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</si>
  <si>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</si>
  <si>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</si>
  <si>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</si>
  <si>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</si>
  <si>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</si>
  <si>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</si>
  <si>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</si>
  <si>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</si>
  <si>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</si>
  <si>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</si>
  <si>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</si>
  <si>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</si>
  <si>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</si>
  <si>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</si>
  <si>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</si>
  <si>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</si>
  <si>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</si>
  <si>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</si>
  <si>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</si>
  <si>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</si>
  <si>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</si>
  <si>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</si>
  <si>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</si>
  <si>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</si>
  <si>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</si>
  <si>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</si>
  <si>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</si>
  <si>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</si>
  <si>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</si>
  <si>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</si>
  <si>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</si>
  <si>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</si>
  <si>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</si>
  <si>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</si>
  <si>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</si>
  <si>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</si>
  <si>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</si>
  <si>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</si>
  <si>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</si>
  <si>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</si>
  <si>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</si>
  <si>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</si>
  <si>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</si>
  <si>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</si>
  <si>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</si>
  <si>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</si>
  <si>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</si>
  <si>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</si>
  <si>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</si>
  <si>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</si>
  <si>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</si>
  <si>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</si>
  <si>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</si>
  <si>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</si>
  <si>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</si>
  <si>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</si>
  <si>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</si>
  <si>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</si>
  <si>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</si>
  <si>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</si>
  <si>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</si>
  <si>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</si>
  <si>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</si>
  <si>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</si>
  <si>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</si>
  <si>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</si>
  <si>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</si>
  <si>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</si>
  <si>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</si>
  <si>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</si>
  <si>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</si>
  <si>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</si>
  <si>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</si>
  <si>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</si>
  <si>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</si>
  <si>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</si>
  <si>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</si>
  <si>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</si>
  <si>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</si>
  <si>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</si>
  <si>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</si>
  <si>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</si>
  <si>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</si>
  <si>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</si>
  <si>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</si>
  <si>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</si>
  <si>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</si>
  <si>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</si>
  <si>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</si>
  <si>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</si>
  <si>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</si>
  <si>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</si>
  <si>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</si>
  <si>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</si>
  <si>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</si>
  <si>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</si>
  <si>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</si>
  <si>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</si>
  <si>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</si>
  <si>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</si>
  <si>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</si>
  <si>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</si>
  <si>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</si>
  <si>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</si>
  <si>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</si>
  <si>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</si>
  <si>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</si>
  <si>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</si>
  <si>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</si>
  <si>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</si>
  <si>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</si>
  <si>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</si>
  <si>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</si>
  <si>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</si>
  <si>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</si>
  <si>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</si>
  <si>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</si>
  <si>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</si>
  <si>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</si>
  <si>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</si>
  <si>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</si>
  <si>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</si>
  <si>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</si>
  <si>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</si>
  <si>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</si>
  <si>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</si>
  <si>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</si>
  <si>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</si>
  <si>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</si>
  <si>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</si>
  <si>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</si>
  <si>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</si>
  <si>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</si>
  <si>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</si>
  <si>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</si>
  <si>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</si>
  <si>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</si>
  <si>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</si>
  <si>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</si>
  <si>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</si>
  <si>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</si>
  <si>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</si>
  <si>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</si>
  <si>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</si>
  <si>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</si>
  <si>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</si>
  <si>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</si>
  <si>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</si>
  <si>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</si>
  <si>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</si>
  <si>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</si>
  <si>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</si>
  <si>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</si>
  <si>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</si>
  <si>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</si>
  <si>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</si>
  <si>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</si>
  <si>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</si>
  <si>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</si>
  <si>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</si>
  <si>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</si>
  <si>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</si>
  <si>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</si>
  <si>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</si>
  <si>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</si>
  <si>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</si>
  <si>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</si>
  <si>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</si>
  <si>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</si>
  <si>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</si>
  <si>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</si>
  <si>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</si>
  <si>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</si>
  <si>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</si>
  <si>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</si>
  <si>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</si>
  <si>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</si>
  <si>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</si>
  <si>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</si>
  <si>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</si>
  <si>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</si>
  <si>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</si>
  <si>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</si>
  <si>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</si>
  <si>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</si>
  <si>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</si>
  <si>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</si>
  <si>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</si>
  <si>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</si>
  <si>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</si>
  <si>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</si>
  <si>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</si>
  <si>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</si>
  <si>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</si>
  <si>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</si>
  <si>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</si>
  <si>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</si>
  <si>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</si>
  <si>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</si>
  <si>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</si>
  <si>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</si>
  <si>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</si>
  <si>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</si>
  <si>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</si>
  <si>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</si>
  <si>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</si>
  <si>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</si>
  <si>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</si>
  <si>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</si>
  <si>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</si>
  <si>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</si>
  <si>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</si>
  <si>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</si>
  <si>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</si>
  <si>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</si>
  <si>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</si>
  <si>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</si>
  <si>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</si>
  <si>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</si>
  <si>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</si>
  <si>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</si>
  <si>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</si>
  <si>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</si>
  <si>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</si>
  <si>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</si>
  <si>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</si>
  <si>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</si>
  <si>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</si>
  <si>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</si>
  <si>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</si>
  <si>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</si>
  <si>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</si>
  <si>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</si>
  <si>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</si>
  <si>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</si>
  <si>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</si>
  <si>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</si>
  <si>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</si>
  <si>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</si>
  <si>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</si>
  <si>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</si>
  <si>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</si>
  <si>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</si>
  <si>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</si>
  <si>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</si>
  <si>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</si>
  <si>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</si>
  <si>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</si>
  <si>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</si>
  <si>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</si>
  <si>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</si>
  <si>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</si>
  <si>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</si>
  <si>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</si>
  <si>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</si>
  <si>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</si>
  <si>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</si>
  <si>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</si>
  <si>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</si>
  <si>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</si>
  <si>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</si>
  <si>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</si>
  <si>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</si>
  <si>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</si>
  <si>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</si>
  <si>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</si>
  <si>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</si>
  <si>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</si>
  <si>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</si>
  <si>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</si>
  <si>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</si>
  <si>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</si>
  <si>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</si>
  <si>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</si>
  <si>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</si>
  <si>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</si>
  <si>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</si>
  <si>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</si>
  <si>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</si>
  <si>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</si>
  <si>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</si>
  <si>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</si>
  <si>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</si>
  <si>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</si>
  <si>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</si>
  <si>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</si>
  <si>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</si>
  <si>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</si>
  <si>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</si>
  <si>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</si>
  <si>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</si>
  <si>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</si>
  <si>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</si>
  <si>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</si>
  <si>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</si>
  <si>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</si>
  <si>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</si>
  <si>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</si>
  <si>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</si>
  <si>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</si>
  <si>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</si>
  <si>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</si>
  <si>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</si>
  <si>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</si>
  <si>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</si>
  <si>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</si>
  <si>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</si>
  <si>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</si>
  <si>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</si>
  <si>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</si>
  <si>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</si>
  <si>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</si>
  <si>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</si>
  <si>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</si>
  <si>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</si>
  <si>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</si>
  <si>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</si>
  <si>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</si>
  <si>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</si>
  <si>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</si>
  <si>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</si>
  <si>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</si>
  <si>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</si>
  <si>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</si>
  <si>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</si>
  <si>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</si>
  <si>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</si>
  <si>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</si>
  <si>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</si>
  <si>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</si>
  <si>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</si>
  <si>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</si>
  <si>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</si>
  <si>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</si>
  <si>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</si>
  <si>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</si>
  <si>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</si>
  <si>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</si>
  <si>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</si>
  <si>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</si>
  <si>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</si>
  <si>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</si>
  <si>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</si>
  <si>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</si>
  <si>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</si>
  <si>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</si>
  <si>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</si>
  <si>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</si>
  <si>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</si>
  <si>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</si>
  <si>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</si>
  <si>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</si>
  <si>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</si>
  <si>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</si>
  <si>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</si>
  <si>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</si>
  <si>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</si>
  <si>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</si>
  <si>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</si>
  <si>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</si>
  <si>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</si>
  <si>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</si>
  <si>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</si>
  <si>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</si>
  <si>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</si>
  <si>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</si>
  <si>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</si>
  <si>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</si>
  <si>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</si>
  <si>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</si>
  <si>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</si>
  <si>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</si>
  <si>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</si>
  <si>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</si>
  <si>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</si>
  <si>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</si>
  <si>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</si>
  <si>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</si>
  <si>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</si>
  <si>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</si>
  <si>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</si>
  <si>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</si>
  <si>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</si>
  <si>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</si>
  <si>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</si>
  <si>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</si>
  <si>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</si>
  <si>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</si>
  <si>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</si>
  <si>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</si>
  <si>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</si>
  <si>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</si>
  <si>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</si>
  <si>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</si>
  <si>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</si>
  <si>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</si>
  <si>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</si>
  <si>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</si>
  <si>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</si>
  <si>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</si>
  <si>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</si>
  <si>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</si>
  <si>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</si>
  <si>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</si>
  <si>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</si>
  <si>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</si>
  <si>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</si>
  <si>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</si>
  <si>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</si>
  <si>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</si>
  <si>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</si>
  <si>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</si>
  <si>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</si>
  <si>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</si>
  <si>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</si>
  <si>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</si>
  <si>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</si>
  <si>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</si>
  <si>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</si>
  <si>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</si>
  <si>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</si>
  <si>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</si>
  <si>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</si>
  <si>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</si>
  <si>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</si>
  <si>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</si>
  <si>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</si>
  <si>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</si>
  <si>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</si>
  <si>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</si>
  <si>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</si>
  <si>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</si>
  <si>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</si>
  <si>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</si>
  <si>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</si>
  <si>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</si>
  <si>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</si>
  <si>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</si>
  <si>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</si>
  <si>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</si>
  <si>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</si>
  <si>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</si>
  <si>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</si>
  <si>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</si>
  <si>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</si>
  <si>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</si>
  <si>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</si>
  <si>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</si>
  <si>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</si>
  <si>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</si>
  <si>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</si>
  <si>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</si>
  <si>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</si>
  <si>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</si>
  <si>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</si>
  <si>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</si>
  <si>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</si>
  <si>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</si>
  <si>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</si>
  <si>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</si>
  <si>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</si>
  <si>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</si>
  <si>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</si>
  <si>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</si>
  <si>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</si>
  <si>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</si>
  <si>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</si>
  <si>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</si>
  <si>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</si>
  <si>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</si>
  <si>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</si>
  <si>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</si>
  <si>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</si>
  <si>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</si>
  <si>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</si>
  <si>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</si>
  <si>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</si>
  <si>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</si>
  <si>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</si>
  <si>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</si>
  <si>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</si>
  <si>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</si>
  <si>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</si>
  <si>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</si>
  <si>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</si>
  <si>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</si>
  <si>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</si>
  <si>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</si>
  <si>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</si>
  <si>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</si>
  <si>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</si>
  <si>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</si>
  <si>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</si>
  <si>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</si>
  <si>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</si>
  <si>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</si>
  <si>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</si>
  <si>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</si>
  <si>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</si>
  <si>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</si>
  <si>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</si>
  <si>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</si>
  <si>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</si>
  <si>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</si>
  <si>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</si>
  <si>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</si>
  <si>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</si>
  <si>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</si>
  <si>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</si>
  <si>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</si>
  <si>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</si>
  <si>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</si>
  <si>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</si>
  <si>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</si>
  <si>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</si>
  <si>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</si>
  <si>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</si>
  <si>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</si>
  <si>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</si>
  <si>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</si>
  <si>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</si>
  <si>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</si>
  <si>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</si>
  <si>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</si>
  <si>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</si>
  <si>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</si>
  <si>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</si>
  <si>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</si>
  <si>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</si>
  <si>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</si>
  <si>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</si>
  <si>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</si>
  <si>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</si>
  <si>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</si>
  <si>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</si>
  <si>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</si>
  <si>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</si>
  <si>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</si>
  <si>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</si>
  <si>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</si>
  <si>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</si>
  <si>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</si>
  <si>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</si>
  <si>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</si>
  <si>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</si>
  <si>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</si>
  <si>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</si>
  <si>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</si>
  <si>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</si>
  <si>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</si>
  <si>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</si>
  <si>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</si>
  <si>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</si>
  <si>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</si>
  <si>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</si>
  <si>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</si>
  <si>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</si>
  <si>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</si>
  <si>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</si>
  <si>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</si>
  <si>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</si>
  <si>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</si>
  <si>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</si>
  <si>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</si>
  <si>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</si>
  <si>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</si>
  <si>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</si>
  <si>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</si>
  <si>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</si>
  <si>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</si>
  <si>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</si>
  <si>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</si>
  <si>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</si>
  <si>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</si>
  <si>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</si>
  <si>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</si>
  <si>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</si>
  <si>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</si>
  <si>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</si>
  <si>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</si>
  <si>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</si>
  <si>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</si>
  <si>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</si>
  <si>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</si>
  <si>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</si>
  <si>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</si>
  <si>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</si>
  <si>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</si>
  <si>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</si>
  <si>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</si>
  <si>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</si>
  <si>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</si>
  <si>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</si>
  <si>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</si>
  <si>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</si>
  <si>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</si>
  <si>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</si>
  <si>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</si>
  <si>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</si>
  <si>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</si>
  <si>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</si>
  <si>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</si>
  <si>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</si>
  <si>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</si>
  <si>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</si>
  <si>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</si>
  <si>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</si>
  <si>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</si>
  <si>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</si>
  <si>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</si>
  <si>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</si>
  <si>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</si>
  <si>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</si>
  <si>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</si>
  <si>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</si>
  <si>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</si>
  <si>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</si>
  <si>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</si>
  <si>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</si>
  <si>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</si>
  <si>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</si>
  <si>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</si>
  <si>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</si>
  <si>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</si>
  <si>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</si>
  <si>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</si>
  <si>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</si>
  <si>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</si>
  <si>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</si>
  <si>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</si>
  <si>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</si>
  <si>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</si>
  <si>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</si>
  <si>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</si>
  <si>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</si>
  <si>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</si>
  <si>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</si>
  <si>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</si>
  <si>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</si>
  <si>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</si>
  <si>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</si>
  <si>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</si>
  <si>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</si>
  <si>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</si>
  <si>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</si>
  <si>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</si>
  <si>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</si>
  <si>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</si>
  <si>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</si>
  <si>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</si>
  <si>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</si>
  <si>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</si>
  <si>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</si>
  <si>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</si>
  <si>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</si>
  <si>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</si>
  <si>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</si>
  <si>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</si>
  <si>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</si>
  <si>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</si>
  <si>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</si>
  <si>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</si>
  <si>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</si>
  <si>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</si>
  <si>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</si>
  <si>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</si>
  <si>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</si>
  <si>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</si>
  <si>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</si>
  <si>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</si>
  <si>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</si>
  <si>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</si>
  <si>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</si>
  <si>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</si>
  <si>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</si>
  <si>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</si>
  <si>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</si>
  <si>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</si>
  <si>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</si>
  <si>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</si>
  <si>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</si>
  <si>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</si>
  <si>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</si>
  <si>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</si>
  <si>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</si>
  <si>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</si>
  <si>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</si>
  <si>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</si>
  <si>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</si>
  <si>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</si>
  <si>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</si>
  <si>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</si>
  <si>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</si>
  <si>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</si>
  <si>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</si>
  <si>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</si>
  <si>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</si>
  <si>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</si>
  <si>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</si>
  <si>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</si>
  <si>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</si>
  <si>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</si>
  <si>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</si>
  <si>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</si>
  <si>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</si>
  <si>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</si>
  <si>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</si>
  <si>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</si>
  <si>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</si>
  <si>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</si>
  <si>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</si>
  <si>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</si>
  <si>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</si>
  <si>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</si>
  <si>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</si>
  <si>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</si>
  <si>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</si>
  <si>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</si>
  <si>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</si>
  <si>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</si>
  <si>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</si>
  <si>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</si>
  <si>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</si>
  <si>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</si>
  <si>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</si>
  <si>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</si>
  <si>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</si>
  <si>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</si>
  <si>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</si>
  <si>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</si>
  <si>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</si>
  <si>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</si>
  <si>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</si>
  <si>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</si>
  <si>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</si>
  <si>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</si>
  <si>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</si>
  <si>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</si>
  <si>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</si>
  <si>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</si>
  <si>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</si>
  <si>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</si>
  <si>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</si>
  <si>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</si>
  <si>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</si>
  <si>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</si>
  <si>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</si>
  <si>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</si>
  <si>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</si>
  <si>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</si>
  <si>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</si>
  <si>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</si>
  <si>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</si>
  <si>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</si>
  <si>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</si>
  <si>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</si>
  <si>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</si>
  <si>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</si>
  <si>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</si>
  <si>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</si>
  <si>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</si>
  <si>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</si>
  <si>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</si>
  <si>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</si>
  <si>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</si>
  <si>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</si>
  <si>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</si>
  <si>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</si>
  <si>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</si>
  <si>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</si>
  <si>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</si>
  <si>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</si>
  <si>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</si>
  <si>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</si>
  <si>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</si>
  <si>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</si>
  <si>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</si>
  <si>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</si>
  <si>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</si>
  <si>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</si>
  <si>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</si>
  <si>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</si>
  <si>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</si>
  <si>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</si>
  <si>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</si>
  <si>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</si>
  <si>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</si>
  <si>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</si>
  <si>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</si>
  <si>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</si>
  <si>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</si>
  <si>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</si>
  <si>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</si>
  <si>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</si>
  <si>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</si>
  <si>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</si>
  <si>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</si>
  <si>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</si>
  <si>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</si>
  <si>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</si>
  <si>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</si>
  <si>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</si>
  <si>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</si>
  <si>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</si>
  <si>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</si>
  <si>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</si>
  <si>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</si>
  <si>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</si>
  <si>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</si>
  <si>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</si>
  <si>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</si>
  <si>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</si>
  <si>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</si>
  <si>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</si>
  <si>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</si>
  <si>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</si>
  <si>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</si>
  <si>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</si>
  <si>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</si>
  <si>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</si>
  <si>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</si>
  <si>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</si>
  <si>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</si>
  <si>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</si>
  <si>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</si>
  <si>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</si>
  <si>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</si>
  <si>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</si>
  <si>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</si>
  <si>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</si>
  <si>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</si>
  <si>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</si>
  <si>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</si>
  <si>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</si>
  <si>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</si>
  <si>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</si>
  <si>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</si>
  <si>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</si>
  <si>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</si>
  <si>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</si>
  <si>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</si>
  <si>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</si>
  <si>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</si>
  <si>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</si>
  <si>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</si>
  <si>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</si>
  <si>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</si>
  <si>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</si>
  <si>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</si>
  <si>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</si>
  <si>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</si>
  <si>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</si>
  <si>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</si>
  <si>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</si>
  <si>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</si>
  <si>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</si>
  <si>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</si>
  <si>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</si>
  <si>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</si>
  <si>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</si>
  <si>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</si>
  <si>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</si>
  <si>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</si>
  <si>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</si>
  <si>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</si>
  <si>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</si>
  <si>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</si>
  <si>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</si>
  <si>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</si>
  <si>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</si>
  <si>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</si>
  <si>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</si>
  <si>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</si>
  <si>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</si>
  <si>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</si>
  <si>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</si>
  <si>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</si>
  <si>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</si>
  <si>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</si>
  <si>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</si>
  <si>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</si>
  <si>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</si>
  <si>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</si>
  <si>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</si>
  <si>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</si>
  <si>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</si>
  <si>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</si>
  <si>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</si>
  <si>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</si>
  <si>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</si>
  <si>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</si>
  <si>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</si>
  <si>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</si>
  <si>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</si>
  <si>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</si>
  <si>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</si>
  <si>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</si>
  <si>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</si>
  <si>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</si>
  <si>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</si>
  <si>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</si>
  <si>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</si>
  <si>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</si>
  <si>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</si>
  <si>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</si>
  <si>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</si>
  <si>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</si>
  <si>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</si>
  <si>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</si>
  <si>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</si>
  <si>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</si>
  <si>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</si>
  <si>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</si>
  <si>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</si>
  <si>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</si>
  <si>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</si>
  <si>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</si>
  <si>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</si>
  <si>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</si>
  <si>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</si>
  <si>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</si>
  <si>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</si>
  <si>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</si>
  <si>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</si>
  <si>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</si>
  <si>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</si>
  <si>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</si>
  <si>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</si>
  <si>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</si>
  <si>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</si>
  <si>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</si>
  <si>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</si>
  <si>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</si>
  <si>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</si>
  <si>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</si>
  <si>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</si>
  <si>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</si>
  <si>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</si>
  <si>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</si>
  <si>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</si>
  <si>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</si>
  <si>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</si>
  <si>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</si>
  <si>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</si>
  <si>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</si>
  <si>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</si>
  <si>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</si>
  <si>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</si>
  <si>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</si>
  <si>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</si>
  <si>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</si>
  <si>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</si>
  <si>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</si>
  <si>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</si>
  <si>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</si>
  <si>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</si>
  <si>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</si>
  <si>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</si>
  <si>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</si>
  <si>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</si>
  <si>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</si>
  <si>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</si>
  <si>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</si>
  <si>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</si>
  <si>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</si>
  <si>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</si>
  <si>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</si>
  <si>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</si>
  <si>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</si>
  <si>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</si>
  <si>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</si>
  <si>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</si>
  <si>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</si>
  <si>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</si>
  <si>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</si>
  <si>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</si>
  <si>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</si>
  <si>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</si>
  <si>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</si>
  <si>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</si>
  <si>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</si>
  <si>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</si>
  <si>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</si>
  <si>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</si>
  <si>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</si>
  <si>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</si>
  <si>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</si>
  <si>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</si>
  <si>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</si>
  <si>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</si>
  <si>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</si>
  <si>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</si>
  <si>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</si>
  <si>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</si>
  <si>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</si>
  <si>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</si>
  <si>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</si>
  <si>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</si>
  <si>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</si>
  <si>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</si>
  <si>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</si>
  <si>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</si>
  <si>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</si>
  <si>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</si>
  <si>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</si>
  <si>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</si>
  <si>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</si>
  <si>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</si>
  <si>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</si>
  <si>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</si>
  <si>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</si>
  <si>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</si>
  <si>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</si>
  <si>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</si>
  <si>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</si>
  <si>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</si>
  <si>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</si>
  <si>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</si>
  <si>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</si>
  <si>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</si>
  <si>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</si>
  <si>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</si>
  <si>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</si>
  <si>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</si>
  <si>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</si>
  <si>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</si>
  <si>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</si>
  <si>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</si>
  <si>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</si>
  <si>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</si>
  <si>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</si>
  <si>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</si>
  <si>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</si>
  <si>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</si>
  <si>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</si>
  <si>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</si>
  <si>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</si>
  <si>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</si>
  <si>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</si>
  <si>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</si>
  <si>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</si>
  <si>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</si>
  <si>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</si>
  <si>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</si>
  <si>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</si>
  <si>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</si>
  <si>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</si>
  <si>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</si>
  <si>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</si>
  <si>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</si>
  <si>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</si>
  <si>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</si>
  <si>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</si>
  <si>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</si>
  <si>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</si>
  <si>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</si>
  <si>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</si>
  <si>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</si>
  <si>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</si>
  <si>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</si>
  <si>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</si>
  <si>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</si>
  <si>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</si>
  <si>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</si>
  <si>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</si>
  <si>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</si>
  <si>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</si>
  <si>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</si>
  <si>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</si>
  <si>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</si>
  <si>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</si>
  <si>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</si>
  <si>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</si>
  <si>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</si>
  <si>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</si>
  <si>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</si>
  <si>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</si>
  <si>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</si>
  <si>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</si>
  <si>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</si>
  <si>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</si>
  <si>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</si>
  <si>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</si>
  <si>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</si>
  <si>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</si>
  <si>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</si>
  <si>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</si>
  <si>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</si>
  <si>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</si>
  <si>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</si>
  <si>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</si>
  <si>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</si>
  <si>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</si>
  <si>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</si>
  <si>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</si>
  <si>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</si>
  <si>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</si>
  <si>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</si>
  <si>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</si>
  <si>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</si>
  <si>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</si>
  <si>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</si>
  <si>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</si>
  <si>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</si>
  <si>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</si>
  <si>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</si>
  <si>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</si>
  <si>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</si>
  <si>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</si>
  <si>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</si>
  <si>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</si>
  <si>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</si>
  <si>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</si>
  <si>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</si>
  <si>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</si>
  <si>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</si>
  <si>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</si>
  <si>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</si>
  <si>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</si>
  <si>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</si>
  <si>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</si>
  <si>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</si>
  <si>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</si>
  <si>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</si>
  <si>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</si>
  <si>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</si>
  <si>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</si>
  <si>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</si>
  <si>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</si>
  <si>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</si>
  <si>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</si>
  <si>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</si>
  <si>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</si>
  <si>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</si>
  <si>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</si>
  <si>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</si>
  <si>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</si>
  <si>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</si>
  <si>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</si>
  <si>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</si>
  <si>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</si>
  <si>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</si>
  <si>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</si>
  <si>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</si>
  <si>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</si>
  <si>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</si>
  <si>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</si>
  <si>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</si>
  <si>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</si>
  <si>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</si>
  <si>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</si>
  <si>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</si>
  <si>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</si>
  <si>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</si>
  <si>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</si>
  <si>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</si>
  <si>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</si>
  <si>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</si>
  <si>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</si>
  <si>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</si>
  <si>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</si>
  <si>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</si>
  <si>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</si>
  <si>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</si>
  <si>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</si>
  <si>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</si>
  <si>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</si>
  <si>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</si>
  <si>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</si>
  <si>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</si>
  <si>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</si>
  <si>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</si>
  <si>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</si>
  <si>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</si>
  <si>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</si>
  <si>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</si>
  <si>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</si>
  <si>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</si>
  <si>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</si>
  <si>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</si>
  <si>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</si>
  <si>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</si>
  <si>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</si>
  <si>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</si>
  <si>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</si>
  <si>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</si>
  <si>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</si>
  <si>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</si>
  <si>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</si>
  <si>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</si>
  <si>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</si>
  <si>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</si>
  <si>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</si>
  <si>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</si>
  <si>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</si>
  <si>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</si>
  <si>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</si>
  <si>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</si>
  <si>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</si>
  <si>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</si>
  <si>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</si>
  <si>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</si>
  <si>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</si>
  <si>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</si>
  <si>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</si>
  <si>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</si>
  <si>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</si>
  <si>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</si>
  <si>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</si>
  <si>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</si>
  <si>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</si>
  <si>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</si>
  <si>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</si>
  <si>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</si>
  <si>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</si>
  <si>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</si>
  <si>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</si>
  <si>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</si>
  <si>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</si>
  <si>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</si>
  <si>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</si>
  <si>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</si>
  <si>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</si>
  <si>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</si>
  <si>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</si>
  <si>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</si>
  <si>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</si>
  <si>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</si>
  <si>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</si>
  <si>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</si>
  <si>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</si>
  <si>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</si>
  <si>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</si>
  <si>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</si>
  <si>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</si>
  <si>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</si>
  <si>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</si>
  <si>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</si>
  <si>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</si>
  <si>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</si>
  <si>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</si>
  <si>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</si>
  <si>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</si>
  <si>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</si>
  <si>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</si>
  <si>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</si>
  <si>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</si>
  <si>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</si>
  <si>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</si>
  <si>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</si>
  <si>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</si>
  <si>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</si>
  <si>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</si>
  <si>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</si>
  <si>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</si>
  <si>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</si>
  <si>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</si>
  <si>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</si>
  <si>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</si>
  <si>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</si>
  <si>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</si>
  <si>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</si>
  <si>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</si>
  <si>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</si>
  <si>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</si>
  <si>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</si>
  <si>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</si>
  <si>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</si>
  <si>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</si>
  <si>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</si>
  <si>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</si>
  <si>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</si>
  <si>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</si>
  <si>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</si>
  <si>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</si>
  <si>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</si>
  <si>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</si>
  <si>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</si>
  <si>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</si>
  <si>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</si>
  <si>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</si>
  <si>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</si>
  <si>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</si>
  <si>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</si>
  <si>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</si>
  <si>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</si>
  <si>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</si>
  <si>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</si>
  <si>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</si>
  <si>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</si>
  <si>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</si>
  <si>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</si>
  <si>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</si>
  <si>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</si>
  <si>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</si>
  <si>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</si>
  <si>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</si>
  <si>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</si>
  <si>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</si>
  <si>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</si>
  <si>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</si>
  <si>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</si>
  <si>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</si>
  <si>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</si>
  <si>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</si>
  <si>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</si>
  <si>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</si>
  <si>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</si>
  <si>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</si>
  <si>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</si>
  <si>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</si>
  <si>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</si>
  <si>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</si>
  <si>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</si>
  <si>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</si>
  <si>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</si>
  <si>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</si>
  <si>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</si>
  <si>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</si>
  <si>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</si>
  <si>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</si>
  <si>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</si>
  <si>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</si>
  <si>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</si>
  <si>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</si>
  <si>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</si>
  <si>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</si>
  <si>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</si>
  <si>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</si>
  <si>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</si>
  <si>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</si>
  <si>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</si>
  <si>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</si>
  <si>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</si>
  <si>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</si>
  <si>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</si>
  <si>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</si>
  <si>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</si>
  <si>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</si>
  <si>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</si>
  <si>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</si>
  <si>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</si>
  <si>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</si>
  <si>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</si>
  <si>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</si>
  <si>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</si>
  <si>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</si>
  <si>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</si>
  <si>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</si>
  <si>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</si>
  <si>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</si>
  <si>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</si>
  <si>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</si>
  <si>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</si>
  <si>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</si>
  <si>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</si>
  <si>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</si>
  <si>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</si>
  <si>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</si>
  <si>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</si>
  <si>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</si>
  <si>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</si>
  <si>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</si>
  <si>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</si>
  <si>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</si>
  <si>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</si>
  <si>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</si>
  <si>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</si>
  <si>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</si>
  <si>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</si>
  <si>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</si>
  <si>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</si>
  <si>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</si>
  <si>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</si>
  <si>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</si>
  <si>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</si>
  <si>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</si>
  <si>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</si>
  <si>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</si>
  <si>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</si>
  <si>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</si>
  <si>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</si>
  <si>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</si>
  <si>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</si>
  <si>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</si>
  <si>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</si>
  <si>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</si>
  <si>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</si>
  <si>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</si>
  <si>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</si>
  <si>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</si>
  <si>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</si>
  <si>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</si>
  <si>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</si>
  <si>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</si>
  <si>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</si>
  <si>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</si>
  <si>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</si>
  <si>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</si>
  <si>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</si>
  <si>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</si>
  <si>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</si>
  <si>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</si>
  <si>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</si>
  <si>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</si>
  <si>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</si>
  <si>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</si>
  <si>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</si>
  <si>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</si>
  <si>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</si>
  <si>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</si>
  <si>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</si>
  <si>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</si>
  <si>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</si>
  <si>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</si>
  <si>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</si>
  <si>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</si>
  <si>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</si>
  <si>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</si>
  <si>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</si>
  <si>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</si>
  <si>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</si>
  <si>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</si>
  <si>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</si>
  <si>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</si>
  <si>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</si>
  <si>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</si>
  <si>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</si>
  <si>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</si>
  <si>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</si>
  <si>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</si>
  <si>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</si>
  <si>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</si>
  <si>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</si>
  <si>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</si>
  <si>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</si>
  <si>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</si>
  <si>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</si>
  <si>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</si>
  <si>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</si>
  <si>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</si>
  <si>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</si>
  <si>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</si>
  <si>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</si>
  <si>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</si>
  <si>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</si>
  <si>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</si>
  <si>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</si>
  <si>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</si>
  <si>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</si>
  <si>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</si>
  <si>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</si>
  <si>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</si>
  <si>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</si>
  <si>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</si>
  <si>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</si>
  <si>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</si>
  <si>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</si>
  <si>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</si>
  <si>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</si>
  <si>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</si>
  <si>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</si>
  <si>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</si>
  <si>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</si>
  <si>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</si>
  <si>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</si>
  <si>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</si>
  <si>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</si>
  <si>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</si>
  <si>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</si>
  <si>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</si>
  <si>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</si>
  <si>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</si>
  <si>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</si>
  <si>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</si>
  <si>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</si>
  <si>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</si>
  <si>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</si>
  <si>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</si>
  <si>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</si>
  <si>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</si>
  <si>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</si>
  <si>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</si>
  <si>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</si>
  <si>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</si>
  <si>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</si>
  <si>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</si>
  <si>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</si>
  <si>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</si>
  <si>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</si>
  <si>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</si>
  <si>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</si>
  <si>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</si>
  <si>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</si>
  <si>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</si>
  <si>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</si>
  <si>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</si>
  <si>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</si>
  <si>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</si>
  <si>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</si>
  <si>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</si>
  <si>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</si>
  <si>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</si>
  <si>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</si>
  <si>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</si>
  <si>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</si>
  <si>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</si>
  <si>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</si>
  <si>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</si>
  <si>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</si>
  <si>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</si>
  <si>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</si>
  <si>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</si>
  <si>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</si>
  <si>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</si>
  <si>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</si>
  <si>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</si>
  <si>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</si>
  <si>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</si>
  <si>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</si>
  <si>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</si>
  <si>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</si>
  <si>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</si>
  <si>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</si>
  <si>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</si>
  <si>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</si>
  <si>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</si>
  <si>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</si>
  <si>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</si>
  <si>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</si>
  <si>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</si>
  <si>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</si>
  <si>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</si>
  <si>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</si>
  <si>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</si>
  <si>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</si>
  <si>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</si>
  <si>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</si>
  <si>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</si>
  <si>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</si>
  <si>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</si>
  <si>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</si>
  <si>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</si>
  <si>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</si>
  <si>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</si>
  <si>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</si>
  <si>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</si>
  <si>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</si>
  <si>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</si>
  <si>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</si>
  <si>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</si>
  <si>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</si>
  <si>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</si>
  <si>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</si>
  <si>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</si>
  <si>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</si>
  <si>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</si>
  <si>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</si>
  <si>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</si>
  <si>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</si>
  <si>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</si>
  <si>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</si>
  <si>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</si>
  <si>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</si>
  <si>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</si>
  <si>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</si>
  <si>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</si>
  <si>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</si>
  <si>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</si>
  <si>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</si>
  <si>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</si>
  <si>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</si>
  <si>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</si>
  <si>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</si>
  <si>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</si>
  <si>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</si>
  <si>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</si>
  <si>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</si>
  <si>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</si>
  <si>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</si>
  <si>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</si>
  <si>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</si>
  <si>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</si>
  <si>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</si>
  <si>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</si>
  <si>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</si>
  <si>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</si>
  <si>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</si>
  <si>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</si>
  <si>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</si>
  <si>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</si>
  <si>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</si>
  <si>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</si>
  <si>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</si>
  <si>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</si>
  <si>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</si>
  <si>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</si>
  <si>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</si>
  <si>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</si>
  <si>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</si>
  <si>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</si>
  <si>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</si>
  <si>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</si>
  <si>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</si>
  <si>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</si>
  <si>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</si>
  <si>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</si>
  <si>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</si>
  <si>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</si>
  <si>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</si>
  <si>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</si>
  <si>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</si>
  <si>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</si>
  <si>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</si>
  <si>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</si>
  <si>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</si>
  <si>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</si>
  <si>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</si>
  <si>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</si>
  <si>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</si>
  <si>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</si>
  <si>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</si>
  <si>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</si>
  <si>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</si>
  <si>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</si>
  <si>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</si>
  <si>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</si>
  <si>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</si>
  <si>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</si>
  <si>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</si>
  <si>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</si>
  <si>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</si>
  <si>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</si>
  <si>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</si>
  <si>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</si>
  <si>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</si>
  <si>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</si>
  <si>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</si>
  <si>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</si>
  <si>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</si>
  <si>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</si>
  <si>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</si>
  <si>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</si>
  <si>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</si>
  <si>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</si>
  <si>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</si>
  <si>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</si>
  <si>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</si>
  <si>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</si>
  <si>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</si>
  <si>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</si>
  <si>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</si>
  <si>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</si>
  <si>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</si>
  <si>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</si>
  <si>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</si>
  <si>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</si>
  <si>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</si>
  <si>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</si>
  <si>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</si>
  <si>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</si>
  <si>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</si>
  <si>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</si>
  <si>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</si>
  <si>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</si>
  <si>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</si>
  <si>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</si>
  <si>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</si>
  <si>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</si>
  <si>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</si>
  <si>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</si>
  <si>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</si>
  <si>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</si>
  <si>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</si>
  <si>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</si>
  <si>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</si>
  <si>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</si>
  <si>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</si>
  <si>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</si>
  <si>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</si>
  <si>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</si>
  <si>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</si>
  <si>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</si>
  <si>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</si>
  <si>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</si>
  <si>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</si>
  <si>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</si>
  <si>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</si>
  <si>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</si>
  <si>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</si>
  <si>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</si>
  <si>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</si>
  <si>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</si>
  <si>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</si>
  <si>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</si>
  <si>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</si>
  <si>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</si>
  <si>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</si>
  <si>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</si>
  <si>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</si>
  <si>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</si>
  <si>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</si>
  <si>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</si>
  <si>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</si>
  <si>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</si>
  <si>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</si>
  <si>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</si>
  <si>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</si>
  <si>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</si>
  <si>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</si>
  <si>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</si>
  <si>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</si>
  <si>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</si>
  <si>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</si>
  <si>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</si>
  <si>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</si>
  <si>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</si>
  <si>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</si>
  <si>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</si>
  <si>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</si>
  <si>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</si>
  <si>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</si>
  <si>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</si>
  <si>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</si>
  <si>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</si>
  <si>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</si>
  <si>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</si>
  <si>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</si>
  <si>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</si>
  <si>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</si>
  <si>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</si>
  <si>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</si>
  <si>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</si>
  <si>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</si>
  <si>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</si>
  <si>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</si>
  <si>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</si>
  <si>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</si>
  <si>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</si>
  <si>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</si>
  <si>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</si>
  <si>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</si>
  <si>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</si>
  <si>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</si>
  <si>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</si>
  <si>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</si>
  <si>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</si>
  <si>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</si>
  <si>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</si>
  <si>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</si>
  <si>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</si>
  <si>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</si>
  <si>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</si>
  <si>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</si>
  <si>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</si>
  <si>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</si>
  <si>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</si>
  <si>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</si>
  <si>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</si>
  <si>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</si>
  <si>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</si>
  <si>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</si>
  <si>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</si>
  <si>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</si>
  <si>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</si>
  <si>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</si>
  <si>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</si>
  <si>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</si>
  <si>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</si>
  <si>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</si>
  <si>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</si>
  <si>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</si>
  <si>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</si>
  <si>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</si>
  <si>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</si>
  <si>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</si>
  <si>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</si>
  <si>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</si>
  <si>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</si>
  <si>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</si>
  <si>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</si>
  <si>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</si>
  <si>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</si>
  <si>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</si>
  <si>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</si>
  <si>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</si>
  <si>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</si>
  <si>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</si>
  <si>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</si>
  <si>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</si>
  <si>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</si>
  <si>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</si>
  <si>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</si>
  <si>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</si>
  <si>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</si>
  <si>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</si>
  <si>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</si>
  <si>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</si>
  <si>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</si>
  <si>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</si>
  <si>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</si>
  <si>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</si>
  <si>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</si>
  <si>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</si>
  <si>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</si>
  <si>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</si>
  <si>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</si>
  <si>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</si>
  <si>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</si>
  <si>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</si>
  <si>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</si>
  <si>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</si>
  <si>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</si>
  <si>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</si>
  <si>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</si>
  <si>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</si>
  <si>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</si>
  <si>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</si>
  <si>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</si>
  <si>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</si>
  <si>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</si>
  <si>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</si>
  <si>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</si>
  <si>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</si>
  <si>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</si>
  <si>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</si>
  <si>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</si>
  <si>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</si>
  <si>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</si>
  <si>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</si>
  <si>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</si>
  <si>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</si>
  <si>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</si>
  <si>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</si>
  <si>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</si>
  <si>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</si>
  <si>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</si>
  <si>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</si>
  <si>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</si>
  <si>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</si>
  <si>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</si>
  <si>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</si>
  <si>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</si>
  <si>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</si>
  <si>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</si>
  <si>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</si>
  <si>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</si>
  <si>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</si>
  <si>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</si>
  <si>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</si>
  <si>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</si>
  <si>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</si>
  <si>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</si>
  <si>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</si>
  <si>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</si>
  <si>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</si>
  <si>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</si>
  <si>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</si>
  <si>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</si>
  <si>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</si>
  <si>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</si>
  <si>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</si>
  <si>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</si>
  <si>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</si>
  <si>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</si>
  <si>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</si>
  <si>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</si>
  <si>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</si>
  <si>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</si>
  <si>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</si>
  <si>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</si>
  <si>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</si>
  <si>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</si>
  <si>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</si>
  <si>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</si>
  <si>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</si>
  <si>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</si>
  <si>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</si>
  <si>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</si>
  <si>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</si>
  <si>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</si>
  <si>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</si>
  <si>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</si>
  <si>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</si>
  <si>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</si>
  <si>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</si>
  <si>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</si>
  <si>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</si>
  <si>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</si>
  <si>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</si>
  <si>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</si>
  <si>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</si>
  <si>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</si>
  <si>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</si>
  <si>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</si>
  <si>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</si>
  <si>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</si>
  <si>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</si>
  <si>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</si>
  <si>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</si>
  <si>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</si>
  <si>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</si>
  <si>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</si>
  <si>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</si>
  <si>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</si>
  <si>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</si>
  <si>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</si>
  <si>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</si>
  <si>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</si>
  <si>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</si>
  <si>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</si>
  <si>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</si>
  <si>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</si>
  <si>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</si>
  <si>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</si>
  <si>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</si>
  <si>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</si>
  <si>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</si>
  <si>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</si>
  <si>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</si>
  <si>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</si>
  <si>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</si>
  <si>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</si>
  <si>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</si>
  <si>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</si>
  <si>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</si>
  <si>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</si>
  <si>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</si>
  <si>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</si>
  <si>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</si>
  <si>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</si>
  <si>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</si>
  <si>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</si>
  <si>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</si>
  <si>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</si>
  <si>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</si>
  <si>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</si>
  <si>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</si>
  <si>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</si>
  <si>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</si>
  <si>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</si>
  <si>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</si>
  <si>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</si>
  <si>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</si>
  <si>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</si>
  <si>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</si>
  <si>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</si>
  <si>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</si>
  <si>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</si>
  <si>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</si>
  <si>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</si>
  <si>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</si>
  <si>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</si>
  <si>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</si>
  <si>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</si>
  <si>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</si>
  <si>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</si>
  <si>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</si>
  <si>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</si>
  <si>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</si>
  <si>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</si>
  <si>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</si>
  <si>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</si>
  <si>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</si>
  <si>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</si>
  <si>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</si>
  <si>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</si>
  <si>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</si>
  <si>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</si>
  <si>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</si>
  <si>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</si>
  <si>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</si>
  <si>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</si>
  <si>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</si>
  <si>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</si>
  <si>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</si>
  <si>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</si>
  <si>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</si>
  <si>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</si>
  <si>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</si>
  <si>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</si>
  <si>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</si>
  <si>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</si>
  <si>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</si>
  <si>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</si>
  <si>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</si>
  <si>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</si>
  <si>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</si>
  <si>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</si>
  <si>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</si>
  <si>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</si>
  <si>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</si>
  <si>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</si>
  <si>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</si>
  <si>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</si>
  <si>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</si>
  <si>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</si>
  <si>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</si>
  <si>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</si>
  <si>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</si>
  <si>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</si>
  <si>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</si>
  <si>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</si>
  <si>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</si>
  <si>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</si>
  <si>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</si>
  <si>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</si>
  <si>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</si>
  <si>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</si>
  <si>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</si>
  <si>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</si>
  <si>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</si>
  <si>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</si>
  <si>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</si>
  <si>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</si>
  <si>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</si>
  <si>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</si>
  <si>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</si>
  <si>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</si>
  <si>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</si>
  <si>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</si>
  <si>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</si>
  <si>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</si>
  <si>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</si>
  <si>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</si>
  <si>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</si>
  <si>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</si>
  <si>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</si>
  <si>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</si>
  <si>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</si>
  <si>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</si>
  <si>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</si>
  <si>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</si>
  <si>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</si>
  <si>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</si>
  <si>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</si>
  <si>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</si>
  <si>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</si>
  <si>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</si>
  <si>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</si>
  <si>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</si>
  <si>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</si>
  <si>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</si>
  <si>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</si>
  <si>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</si>
  <si>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</si>
  <si>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</si>
  <si>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</si>
  <si>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</si>
  <si>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</si>
  <si>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</si>
  <si>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</si>
  <si>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</si>
  <si>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</si>
  <si>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</si>
  <si>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</si>
  <si>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</si>
  <si>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</si>
  <si>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</si>
  <si>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</si>
  <si>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</si>
  <si>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</si>
  <si>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</si>
  <si>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</si>
  <si>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</si>
  <si>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</si>
  <si>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</si>
  <si>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</si>
  <si>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</si>
  <si>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</si>
  <si>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</si>
  <si>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</si>
  <si>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</si>
  <si>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</si>
  <si>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</si>
  <si>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</si>
  <si>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</si>
  <si>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</si>
  <si>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</si>
  <si>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</si>
  <si>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</si>
  <si>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</si>
  <si>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</si>
  <si>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</si>
  <si>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</si>
  <si>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</si>
  <si>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</si>
  <si>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</si>
  <si>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</si>
  <si>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</si>
  <si>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</si>
  <si>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</si>
  <si>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</si>
  <si>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</si>
  <si>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</si>
  <si>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</si>
  <si>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</si>
  <si>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</si>
  <si>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</si>
  <si>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</si>
  <si>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</si>
  <si>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</si>
  <si>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</si>
  <si>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</si>
  <si>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</si>
  <si>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</si>
  <si>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</si>
  <si>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</si>
  <si>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</si>
  <si>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</si>
  <si>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</si>
  <si>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</si>
  <si>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</si>
  <si>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</si>
  <si>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</si>
  <si>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</si>
  <si>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</si>
  <si>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</si>
  <si>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</si>
  <si>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</si>
  <si>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</si>
  <si>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</si>
  <si>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</si>
  <si>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</si>
  <si>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</si>
  <si>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</si>
  <si>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</si>
  <si>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</si>
  <si>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</si>
  <si>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</si>
  <si>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</si>
  <si>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</si>
  <si>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</si>
  <si>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</si>
  <si>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</si>
  <si>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</si>
  <si>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</si>
  <si>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</si>
  <si>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</si>
  <si>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</si>
  <si>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</si>
  <si>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</si>
  <si>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</si>
  <si>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</si>
  <si>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</si>
  <si>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</si>
  <si>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</si>
  <si>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</si>
  <si>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</si>
  <si>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</si>
  <si>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</si>
  <si>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</si>
  <si>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</si>
  <si>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</si>
  <si>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</si>
  <si>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</si>
  <si>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</si>
  <si>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</si>
  <si>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</si>
  <si>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</si>
  <si>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</si>
  <si>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</si>
  <si>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</si>
  <si>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</si>
  <si>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</si>
  <si>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</si>
  <si>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</si>
  <si>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</si>
  <si>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</si>
  <si>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</si>
  <si>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</si>
  <si>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</si>
  <si>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</si>
  <si>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</si>
  <si>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</si>
  <si>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</si>
  <si>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</si>
  <si>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</si>
  <si>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</si>
  <si>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</si>
  <si>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</si>
  <si>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</si>
  <si>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</si>
  <si>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</si>
  <si>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</si>
  <si>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</si>
  <si>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</si>
  <si>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</si>
  <si>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</si>
  <si>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</si>
  <si>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</si>
  <si>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</si>
  <si>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</si>
  <si>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</si>
  <si>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</si>
  <si>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</si>
  <si>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</si>
  <si>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</si>
  <si>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</si>
  <si>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</si>
  <si>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</si>
  <si>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</si>
  <si>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</si>
  <si>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</si>
  <si>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</si>
  <si>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</si>
  <si>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</si>
  <si>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</si>
  <si>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</si>
  <si>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</si>
  <si>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</si>
  <si>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</si>
  <si>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</si>
  <si>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</si>
  <si>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</si>
  <si>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</si>
  <si>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</si>
  <si>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</si>
  <si>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</si>
  <si>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</si>
  <si>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</si>
  <si>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</si>
  <si>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</si>
  <si>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</si>
  <si>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</si>
  <si>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</si>
  <si>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</si>
  <si>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</si>
  <si>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</si>
  <si>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</si>
  <si>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</si>
  <si>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</si>
  <si>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</si>
  <si>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</si>
  <si>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</si>
  <si>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</si>
  <si>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</si>
  <si>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</si>
  <si>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</si>
  <si>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</si>
  <si>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</si>
  <si>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</si>
  <si>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</si>
  <si>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</si>
  <si>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</si>
  <si>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</si>
  <si>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</si>
  <si>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</si>
  <si>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</si>
  <si>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</si>
  <si>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</si>
  <si>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</si>
  <si>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</si>
  <si>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</si>
  <si>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</si>
  <si>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</si>
  <si>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</si>
  <si>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</si>
  <si>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</si>
  <si>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</si>
  <si>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</si>
  <si>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</si>
  <si>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</si>
  <si>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</si>
  <si>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</si>
  <si>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</si>
  <si>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</si>
  <si>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</si>
  <si>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</si>
  <si>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</si>
  <si>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</si>
  <si>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</si>
  <si>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</si>
  <si>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</si>
  <si>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</si>
  <si>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</si>
  <si>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</si>
  <si>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</si>
  <si>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</si>
  <si>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</si>
  <si>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</si>
  <si>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</si>
  <si>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</si>
  <si>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</si>
  <si>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</si>
  <si>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</si>
  <si>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</si>
  <si>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</si>
  <si>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</si>
  <si>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</si>
  <si>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</si>
  <si>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</si>
  <si>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成本比率</t>
  </si>
  <si>
    <t>商业</t>
    <phoneticPr fontId="30" type="noConversion"/>
  </si>
  <si>
    <t>一层</t>
  </si>
  <si>
    <t>社区底商</t>
    <phoneticPr fontId="30" type="noConversion"/>
  </si>
  <si>
    <t>一般</t>
  </si>
  <si>
    <t>较差</t>
  </si>
  <si>
    <t>差</t>
  </si>
  <si>
    <t>较好</t>
    <phoneticPr fontId="30" type="noConversion"/>
  </si>
  <si>
    <t>报价</t>
    <phoneticPr fontId="30" type="noConversion"/>
  </si>
  <si>
    <t>不临65条商业街</t>
  </si>
  <si>
    <t>全部缴纳</t>
  </si>
  <si>
    <t>成本法</t>
  </si>
  <si>
    <t>地下车库</t>
  </si>
  <si>
    <t>收益法-地下车库</t>
    <phoneticPr fontId="16" type="noConversion"/>
  </si>
  <si>
    <t>收益法</t>
    <phoneticPr fontId="16" type="noConversion"/>
  </si>
  <si>
    <t>商业</t>
    <phoneticPr fontId="7" type="noConversion"/>
  </si>
  <si>
    <t>自定义容积率</t>
  </si>
  <si>
    <t>商业项目</t>
  </si>
  <si>
    <t>与级别开发程度一致</t>
  </si>
  <si>
    <t>收益法</t>
  </si>
  <si>
    <t>一层</t>
    <phoneticPr fontId="134" type="noConversion"/>
  </si>
  <si>
    <t>二层</t>
    <phoneticPr fontId="134" type="noConversion"/>
  </si>
  <si>
    <t>楼层修正</t>
  </si>
  <si>
    <t>中心城区</t>
  </si>
  <si>
    <t>楼面单价</t>
  </si>
  <si>
    <t>自然人</t>
  </si>
  <si>
    <t>一层</t>
    <phoneticPr fontId="30" type="noConversion"/>
  </si>
  <si>
    <t>一至二层</t>
  </si>
  <si>
    <t>一至二层</t>
    <phoneticPr fontId="30" type="noConversion"/>
  </si>
  <si>
    <t>较好</t>
    <phoneticPr fontId="30" type="noConversion"/>
  </si>
  <si>
    <t>六通</t>
  </si>
  <si>
    <t>四通</t>
  </si>
  <si>
    <t>三通</t>
  </si>
  <si>
    <t>可餐饮</t>
  </si>
  <si>
    <t>可餐饮</t>
    <phoneticPr fontId="30" type="noConversion"/>
  </si>
  <si>
    <t>不可餐饮</t>
  </si>
  <si>
    <t>不可餐饮</t>
    <phoneticPr fontId="30" type="noConversion"/>
  </si>
  <si>
    <t>精装修</t>
  </si>
  <si>
    <t>精装修</t>
    <phoneticPr fontId="30" type="noConversion"/>
  </si>
  <si>
    <t>简装修</t>
    <phoneticPr fontId="30" type="noConversion"/>
  </si>
  <si>
    <t>毛坯</t>
    <phoneticPr fontId="30" type="noConversion"/>
  </si>
  <si>
    <t>一层</t>
    <phoneticPr fontId="24" type="noConversion"/>
  </si>
  <si>
    <t>二层</t>
    <phoneticPr fontId="24" type="noConversion"/>
  </si>
  <si>
    <t>一层</t>
    <phoneticPr fontId="24" type="noConversion"/>
  </si>
  <si>
    <t>二层</t>
    <phoneticPr fontId="24" type="noConversion"/>
  </si>
  <si>
    <t>底商</t>
  </si>
  <si>
    <t>底商</t>
    <phoneticPr fontId="30" type="noConversion"/>
  </si>
  <si>
    <r>
      <rPr>
        <sz val="11"/>
        <color rgb="FFFF0000"/>
        <rFont val="宋体"/>
        <family val="3"/>
        <charset val="134"/>
      </rPr>
      <t>临街状况</t>
    </r>
    <phoneticPr fontId="30" type="noConversion"/>
  </si>
  <si>
    <t>多面临街</t>
  </si>
  <si>
    <t>多面临街</t>
    <phoneticPr fontId="30" type="noConversion"/>
  </si>
  <si>
    <t>单面临街</t>
  </si>
  <si>
    <t>单面临街</t>
    <phoneticPr fontId="30" type="noConversion"/>
  </si>
  <si>
    <t>不临街</t>
  </si>
  <si>
    <t>不临街</t>
    <phoneticPr fontId="30" type="noConversion"/>
  </si>
  <si>
    <t>单价</t>
    <phoneticPr fontId="134" type="noConversion"/>
  </si>
  <si>
    <t>总值</t>
    <phoneticPr fontId="134" type="noConversion"/>
  </si>
  <si>
    <t>收益法 (元)</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</si>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</sst>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176" fontId="47" fillId="12" borderId="0" xfId="0" applyNumberFormat="1" applyFont="1" applyFill="1" applyAlignment="1" applyProtection="1">
      <alignment horizontal="center" vertical="center"/>
      <protection locked="0"/>
    </xf>
    <xf numFmtId="0" fontId="96" fillId="0" borderId="0" xfId="0" applyFont="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00" fillId="6" borderId="5" xfId="0" applyFont="1" applyFill="1" applyBorder="1" applyAlignment="1" applyProtection="1">
      <alignment horizontal="center"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估价对象为北京市房地产，为所有。根据《国有土地使用证》[]，估价对象（分摊）出让国有建设用地使用权面积为0平方米，建筑面积为975.39平方米。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估价对象为北京市房地产,属开发建设的商业项目，该项目尚在开发建设中。根据《国有土地使用证》[]，估价对象（分摊）出让国有建设用地使用权面积为0平方米，规划建筑面积为975.39平方米。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2024年1月12日（评估专业人员实地查勘之日）</v>
      </c>
    </row>
    <row r="13" spans="1:2" s="1200" customFormat="1">
      <c r="A13" s="1198" t="s">
        <v>529</v>
      </c>
      <c r="B13" s="1199"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3084</v>
      </c>
    </row>
    <row r="21" spans="1:2" s="1200" customFormat="1">
      <c r="A21" s="1198" t="s">
        <v>537</v>
      </c>
      <c r="B21" s="1199">
        <f ca="1">'预评函-2'!D7</f>
        <v>31622</v>
      </c>
    </row>
    <row r="22" spans="1:2" s="1200" customFormat="1">
      <c r="A22" s="1198" t="s">
        <v>538</v>
      </c>
      <c r="B22" s="1199" t="str">
        <f ca="1">'预评函-2'!D6</f>
        <v>叁仟零捌拾肆万元整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3084</v>
      </c>
    </row>
    <row r="31" spans="1:2" s="1200" customFormat="1">
      <c r="A31" s="1198" t="s">
        <v>576</v>
      </c>
      <c r="B31" s="1199">
        <f ca="1">'预评函-2'!D15</f>
        <v>31622</v>
      </c>
    </row>
    <row r="32" spans="1:2" s="1200" customFormat="1">
      <c r="A32" s="1198" t="s">
        <v>543</v>
      </c>
      <c r="B32" s="1199" t="str">
        <f ca="1">'预评函-2'!D14</f>
        <v>叁仟零捌拾肆万元整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975.39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2551</v>
      </c>
    </row>
    <row r="48" spans="1:2" s="1200" customFormat="1">
      <c r="A48" s="1198" t="s">
        <v>549</v>
      </c>
      <c r="B48" s="1199">
        <f ca="1">'预评函-3'!E4</f>
        <v>26151</v>
      </c>
    </row>
    <row r="49" spans="1:2" s="1200" customFormat="1">
      <c r="A49" s="1198" t="s">
        <v>550</v>
      </c>
      <c r="B49" s="1199" t="str">
        <f ca="1">'预评函-3'!D5</f>
        <v>贰仟伍佰伍拾壹万元整</v>
      </c>
    </row>
    <row r="50" spans="1:2" s="1200" customFormat="1">
      <c r="A50" s="1198" t="s">
        <v>574</v>
      </c>
      <c r="B50" s="1199" t="str">
        <f>'预评函-3'!F2</f>
        <v>在建建筑物价值</v>
      </c>
    </row>
    <row r="51" spans="1:2" s="1200" customFormat="1">
      <c r="A51" s="1198" t="s">
        <v>551</v>
      </c>
      <c r="B51" s="1199">
        <f ca="1">'预评函-3'!F4</f>
        <v>534</v>
      </c>
    </row>
    <row r="52" spans="1:2" s="1200" customFormat="1">
      <c r="A52" s="1198" t="s">
        <v>552</v>
      </c>
      <c r="B52" s="1199">
        <f ca="1">'预评函-3'!G4</f>
        <v>5471</v>
      </c>
    </row>
    <row r="53" spans="1:2" s="1200" customFormat="1">
      <c r="A53" s="1198" t="s">
        <v>580</v>
      </c>
      <c r="B53" s="1199" t="str">
        <f ca="1">'预评函-3'!F5</f>
        <v>伍佰叁拾肆万元整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3351</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3337</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3338</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3339</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3450</v>
      </c>
      <c r="C5" s="1544" t="s">
        <v>318</v>
      </c>
      <c r="F5" s="1545" t="s">
        <v>1015</v>
      </c>
      <c r="G5" s="1545">
        <v>70</v>
      </c>
      <c r="H5" s="1545" t="s">
        <v>1016</v>
      </c>
      <c r="I5" s="1545" t="s">
        <v>3340</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3341</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3342</v>
      </c>
    </row>
    <row r="8" spans="1:23">
      <c r="A8" s="1543" t="s">
        <v>1025</v>
      </c>
      <c r="B8" s="1543" t="s">
        <v>1026</v>
      </c>
      <c r="C8" s="1544" t="s">
        <v>319</v>
      </c>
      <c r="F8" s="1545" t="s">
        <v>1027</v>
      </c>
      <c r="H8" s="1545" t="s">
        <v>2579</v>
      </c>
      <c r="I8" s="1545" t="s">
        <v>3343</v>
      </c>
    </row>
    <row r="9" spans="1:23">
      <c r="A9" s="1543" t="s">
        <v>1028</v>
      </c>
      <c r="B9" s="1543" t="s">
        <v>1029</v>
      </c>
      <c r="C9" s="1544" t="s">
        <v>320</v>
      </c>
      <c r="F9" s="1545" t="s">
        <v>1030</v>
      </c>
      <c r="H9" s="1545"/>
      <c r="I9" s="1548" t="s">
        <v>3344</v>
      </c>
    </row>
    <row r="10" spans="1:23">
      <c r="A10" s="1543" t="s">
        <v>1031</v>
      </c>
      <c r="B10" s="1543" t="s">
        <v>1032</v>
      </c>
      <c r="C10" s="1544" t="s">
        <v>321</v>
      </c>
      <c r="F10" s="1545" t="s">
        <v>2580</v>
      </c>
      <c r="I10" s="1548" t="s">
        <v>3345</v>
      </c>
    </row>
    <row r="11" spans="1:23">
      <c r="A11" s="1543" t="s">
        <v>1033</v>
      </c>
      <c r="B11" s="1543" t="s">
        <v>1034</v>
      </c>
      <c r="C11" s="1544" t="s">
        <v>322</v>
      </c>
      <c r="F11" s="1545" t="s">
        <v>13</v>
      </c>
      <c r="I11" s="1548" t="s">
        <v>3346</v>
      </c>
    </row>
    <row r="12" spans="1:23">
      <c r="A12" s="1543" t="s">
        <v>1035</v>
      </c>
      <c r="B12" s="1543" t="s">
        <v>1036</v>
      </c>
      <c r="C12" s="1544" t="s">
        <v>323</v>
      </c>
      <c r="I12" s="1548" t="s">
        <v>3347</v>
      </c>
    </row>
    <row r="13" spans="1:23">
      <c r="A13" s="1543" t="s">
        <v>1037</v>
      </c>
      <c r="B13" s="1543" t="s">
        <v>1038</v>
      </c>
      <c r="C13" s="1544" t="s">
        <v>324</v>
      </c>
      <c r="I13" s="1548" t="s">
        <v>3348</v>
      </c>
    </row>
    <row r="14" spans="1:23">
      <c r="A14" s="1543" t="s">
        <v>1039</v>
      </c>
      <c r="B14" s="1543" t="s">
        <v>1040</v>
      </c>
      <c r="C14" s="1545" t="s">
        <v>13</v>
      </c>
      <c r="I14" s="1548" t="s">
        <v>3349</v>
      </c>
    </row>
    <row r="15" spans="1:23">
      <c r="A15" s="1543" t="s">
        <v>1041</v>
      </c>
      <c r="B15" s="1543" t="s">
        <v>1042</v>
      </c>
      <c r="C15" s="1544"/>
      <c r="I15" s="1548" t="s">
        <v>3350</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3449</v>
      </c>
      <c r="C19" s="1544"/>
    </row>
    <row r="20" spans="1:3">
      <c r="A20" s="1543" t="s">
        <v>1047</v>
      </c>
      <c r="B20" s="1543" t="s">
        <v>313</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6" t="s">
        <v>2582</v>
      </c>
      <c r="J2" s="3516"/>
      <c r="K2" s="3516"/>
      <c r="L2" s="3516"/>
      <c r="M2" s="3516"/>
      <c r="N2" s="3516"/>
      <c r="O2" s="3516"/>
      <c r="P2" s="3516"/>
      <c r="Q2" s="3516"/>
      <c r="R2" s="3516"/>
    </row>
    <row r="3" spans="1:18">
      <c r="A3" s="3017" t="s">
        <v>2503</v>
      </c>
      <c r="B3" s="3018">
        <f>项目基本情况!D3</f>
        <v>45303</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2.93</v>
      </c>
      <c r="D5" s="3022">
        <f>IF(ISERROR(ROUND(POWER(1+E5,A5-C5)*(POWER(1+E5,C5)-1)/(POWER(1+E5,A5)-1),3)),0,ROUND(POWER(1+E5,A5-C5)*(POWER(1+E5,C5)-1)/(POWER(1+E5,A5)-1),4))</f>
        <v>0.1371</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12.94</v>
      </c>
      <c r="D6" s="3022">
        <f>IF(ISERROR(ROUND(POWER(1+E6,A6-C6)*(POWER(1+E6,C6)-1)/(POWER(1+E6,A6)-1),3)),0,ROUND(POWER(1+E6,A6-C6)*(POWER(1+E6,C6)-1)/(POWER(1+E6,A6)-1),4))</f>
        <v>0.4632</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32.950000000000003</v>
      </c>
      <c r="D7" s="3022">
        <f>IF(ISERROR(ROUND(POWER(1+E7,A7-C7)*(POWER(1+E7,C7)-1)/(POWER(1+E7,A7)-1),3)),0,ROUND(POWER(1+E7,A7-C7)*(POWER(1+E7,C7)-1)/(POWER(1+E7,A7)-1),4))</f>
        <v>0.77510000000000001</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45303</v>
      </c>
      <c r="C3" s="2371" t="s">
        <v>2169</v>
      </c>
      <c r="D3" s="3451">
        <f>B3</f>
        <v>45303</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28"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29"/>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3461</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3333</v>
      </c>
      <c r="B13" s="2404" t="s">
        <v>2188</v>
      </c>
      <c r="C13" s="854"/>
      <c r="D13" s="854">
        <v>54428</v>
      </c>
      <c r="E13" s="854"/>
      <c r="F13" s="854"/>
      <c r="G13" s="854"/>
      <c r="H13" s="854"/>
      <c r="I13" s="854"/>
      <c r="J13" s="3059"/>
      <c r="K13" s="2610"/>
      <c r="L13" s="2610"/>
      <c r="M13" s="2436"/>
      <c r="N13" s="2447"/>
      <c r="O13" s="2436"/>
      <c r="P13" s="2436"/>
      <c r="Q13" s="2436"/>
      <c r="AD13" s="1742"/>
    </row>
    <row r="14" spans="1:30">
      <c r="A14" s="1078"/>
      <c r="B14" s="2404" t="s">
        <v>2189</v>
      </c>
      <c r="C14" s="2405"/>
      <c r="D14" s="2405">
        <v>40</v>
      </c>
      <c r="E14" s="2405"/>
      <c r="F14" s="2405"/>
      <c r="G14" s="2405"/>
      <c r="H14" s="2405"/>
      <c r="I14" s="2405"/>
      <c r="J14" s="3060"/>
      <c r="K14" s="2610"/>
      <c r="L14" s="2610"/>
      <c r="M14" s="2436"/>
      <c r="N14" s="2447"/>
      <c r="O14" s="2436"/>
      <c r="P14" s="2436"/>
      <c r="Q14" s="2436"/>
      <c r="AD14" s="1742"/>
    </row>
    <row r="15" spans="1:30">
      <c r="A15" s="320"/>
      <c r="B15" s="2406" t="s">
        <v>2190</v>
      </c>
      <c r="C15" s="2407" t="str">
        <f>IF(A13="出让",IF(C13="","",ROUNDDOWN(MIN((C13-$D$3)/365,C14),2)),C14)</f>
        <v/>
      </c>
      <c r="D15" s="2407">
        <f>IF(A13="出让",IF(D13="","",ROUNDDOWN(MIN((D13-$D$3)/365,D14),2)),D14)</f>
        <v>25</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2191</v>
      </c>
      <c r="B16" s="3535"/>
      <c r="C16" s="3536"/>
      <c r="D16" s="3537"/>
      <c r="E16" s="2410" t="s">
        <v>2192</v>
      </c>
      <c r="F16" s="3538"/>
      <c r="G16" s="3539"/>
      <c r="H16" s="3539"/>
      <c r="I16" s="3540"/>
      <c r="J16" s="2436"/>
      <c r="K16" s="2614"/>
      <c r="L16" s="2448"/>
      <c r="M16" s="2448"/>
      <c r="N16" s="2506"/>
      <c r="O16" s="2448"/>
      <c r="P16" s="2506"/>
      <c r="Q16" s="2436"/>
      <c r="R16" s="2436"/>
    </row>
    <row r="17" spans="1:28">
      <c r="A17" s="313" t="s">
        <v>2193</v>
      </c>
      <c r="B17" s="302" t="s">
        <v>2194</v>
      </c>
      <c r="C17" s="8">
        <f>'数据-汇总表'!E3</f>
        <v>975.39</v>
      </c>
      <c r="D17" s="2319" t="s">
        <v>2195</v>
      </c>
      <c r="E17" s="3541" t="s">
        <v>2196</v>
      </c>
      <c r="F17" s="3542"/>
      <c r="G17" s="3542"/>
      <c r="H17" s="3542"/>
      <c r="I17" s="3543"/>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0</v>
      </c>
      <c r="D18" s="1089" t="s">
        <v>2199</v>
      </c>
      <c r="E18" s="3544" t="s">
        <v>2200</v>
      </c>
      <c r="F18" s="3545"/>
      <c r="G18" s="3545"/>
      <c r="H18" s="3545"/>
      <c r="I18" s="3546"/>
      <c r="J18" s="2436"/>
      <c r="K18" s="2615"/>
      <c r="L18" s="2448"/>
      <c r="M18" s="2448"/>
      <c r="N18" s="2506"/>
      <c r="O18" s="2448"/>
      <c r="P18" s="2506"/>
      <c r="Q18" s="2436"/>
      <c r="R18" s="2436"/>
      <c r="S18" s="2436"/>
      <c r="T18" s="2436"/>
      <c r="U18" s="2436"/>
      <c r="V18" s="2436"/>
    </row>
    <row r="19" spans="1:28" ht="37.5" thickTop="1" thickBot="1">
      <c r="A19" s="327" t="s">
        <v>1054</v>
      </c>
      <c r="B19" s="307" t="s">
        <v>2201</v>
      </c>
      <c r="C19" s="1560"/>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31" t="s">
        <v>2204</v>
      </c>
      <c r="C20" s="3532"/>
      <c r="D20" s="3533" t="s">
        <v>2205</v>
      </c>
      <c r="E20" s="3534"/>
      <c r="F20" s="2644" t="s">
        <v>1055</v>
      </c>
      <c r="G20" s="2661"/>
      <c r="H20" s="2661"/>
      <c r="I20" s="2661"/>
      <c r="J20" s="2436"/>
      <c r="K20" s="3530"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v>2010</v>
      </c>
      <c r="H22" s="2661"/>
      <c r="I22" s="2661"/>
      <c r="J22" s="2436"/>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f>2023-G22</f>
        <v>13</v>
      </c>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f>40-G23-2</f>
        <v>25</v>
      </c>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8" t="s">
        <v>2212</v>
      </c>
      <c r="B27" s="320" t="s">
        <v>2213</v>
      </c>
      <c r="C27" s="2413" t="s">
        <v>3453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8"/>
      <c r="B28" s="302" t="s">
        <v>2214</v>
      </c>
      <c r="C28" s="2415" t="s">
        <v>3382</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8"/>
      <c r="B29" s="302" t="s">
        <v>2215</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9"/>
      <c r="B30" s="302" t="s">
        <v>2216</v>
      </c>
      <c r="C30" s="3520"/>
      <c r="D30" s="3521"/>
      <c r="E30" s="2661"/>
      <c r="F30" s="2661"/>
      <c r="G30" s="2661"/>
      <c r="H30" s="2661"/>
      <c r="I30" s="2661"/>
      <c r="J30" s="2436"/>
      <c r="K30" s="2613"/>
      <c r="L30" s="2610"/>
      <c r="M30" s="2610"/>
      <c r="N30" s="2436"/>
      <c r="O30" s="2447"/>
      <c r="P30" s="2436"/>
      <c r="Q30" s="2436"/>
      <c r="R30" s="2436"/>
      <c r="S30" s="2436"/>
      <c r="T30" s="2436"/>
      <c r="U30" s="2436"/>
      <c r="V30" s="2436"/>
    </row>
    <row r="31" spans="1:28">
      <c r="A31" s="3522" t="s">
        <v>2217</v>
      </c>
      <c r="B31" s="2419" t="s">
        <v>3384</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3"/>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3"/>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t="s">
        <v>3385</v>
      </c>
      <c r="C34" s="2023" t="s">
        <v>3386</v>
      </c>
      <c r="D34" s="2023" t="s">
        <v>3387</v>
      </c>
      <c r="E34" s="2023" t="s">
        <v>3388</v>
      </c>
      <c r="F34" s="2023" t="s">
        <v>3389</v>
      </c>
      <c r="G34" s="2023" t="s">
        <v>3390</v>
      </c>
      <c r="H34" s="2023"/>
      <c r="I34" s="2661"/>
      <c r="J34" s="2436"/>
      <c r="K34" s="2424">
        <f>COUNTIF(B34:H34,"——")</f>
        <v>0</v>
      </c>
      <c r="L34" s="323" t="s">
        <v>2219</v>
      </c>
      <c r="M34" s="323" t="s">
        <v>2220</v>
      </c>
      <c r="N34" s="323" t="s">
        <v>2221</v>
      </c>
      <c r="O34" s="323" t="s">
        <v>2222</v>
      </c>
      <c r="P34" s="323" t="s">
        <v>2223</v>
      </c>
      <c r="Q34" s="323" t="s">
        <v>2224</v>
      </c>
      <c r="R34" s="323" t="s">
        <v>2225</v>
      </c>
      <c r="S34" s="3517" t="s">
        <v>2226</v>
      </c>
      <c r="T34" s="2425" t="str">
        <f>NUMBERSTRING(7-K34,1)&amp;"通"</f>
        <v>七通</v>
      </c>
      <c r="U34" s="2436"/>
      <c r="V34" s="2436"/>
    </row>
    <row r="35" spans="1:30">
      <c r="A35" s="2426"/>
      <c r="B35" s="3524" t="s">
        <v>2227</v>
      </c>
      <c r="C35" s="3524"/>
      <c r="D35" s="3524"/>
      <c r="E35" s="3524"/>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6"/>
      <c r="V35" s="2436"/>
    </row>
    <row r="36" spans="1:30">
      <c r="A36" s="2427"/>
      <c r="B36" s="662" t="s">
        <v>2183</v>
      </c>
      <c r="C36" s="662" t="s">
        <v>2184</v>
      </c>
      <c r="D36" s="662" t="s">
        <v>2182</v>
      </c>
      <c r="E36" s="662"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t="s">
        <v>303</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225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975.39</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975.39</v>
      </c>
      <c r="H5" s="13">
        <f t="shared" ref="H5:AT5" si="0">SUM(H13:H656)</f>
        <v>975.39</v>
      </c>
      <c r="I5" s="13">
        <f t="shared" si="0"/>
        <v>975.39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975.39</v>
      </c>
      <c r="BA5" s="15">
        <f t="shared" si="1"/>
        <v>975.39</v>
      </c>
      <c r="BB5" s="15">
        <f t="shared" si="1"/>
        <v>975.39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3392</v>
      </c>
      <c r="J9" s="807"/>
      <c r="K9" s="1600"/>
      <c r="L9" s="807"/>
      <c r="M9" s="1600"/>
      <c r="N9" s="807"/>
      <c r="O9" s="1600"/>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7"/>
      <c r="K10" s="3466"/>
      <c r="L10" s="807"/>
      <c r="M10" s="1606"/>
      <c r="N10" s="807"/>
      <c r="O10" s="1606"/>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f>K9</f>
        <v>0</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202</v>
      </c>
      <c r="D13" s="1622" t="s">
        <v>3391</v>
      </c>
      <c r="E13" s="13">
        <f>IF($C$3="是",ROUND($A$3*G13/$B$3,2),ROUND($A$3*(G13-AT13)/$B$3,2))</f>
        <v>0</v>
      </c>
      <c r="F13" s="29"/>
      <c r="G13" s="30">
        <f>H13+AC13+AT13</f>
        <v>975.39</v>
      </c>
      <c r="H13" s="17">
        <f>SUMIF(I$12:AB$12,"总值",I13:AB13)</f>
        <v>975.39</v>
      </c>
      <c r="I13" s="1623">
        <v>975.39</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202</v>
      </c>
      <c r="AY13" s="1346">
        <f>ROUND($AY$6*AZ13/$AZ$5,2)</f>
        <v>0</v>
      </c>
      <c r="AZ13" s="13">
        <f>BA13+BL13</f>
        <v>975.39</v>
      </c>
      <c r="BA13" s="13">
        <f>SUM(BB13:BK13)</f>
        <v>975.39</v>
      </c>
      <c r="BB13" s="13">
        <f>IF($D13="是",I13-J13,0)</f>
        <v>975.39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6" t="s">
        <v>1130</v>
      </c>
      <c r="B2" s="3556"/>
      <c r="C2" s="3556"/>
      <c r="D2" s="794" t="s">
        <v>1106</v>
      </c>
      <c r="E2" s="1636" t="s">
        <v>1107</v>
      </c>
      <c r="F2" s="2656"/>
      <c r="G2" s="2647"/>
      <c r="H2" s="2648"/>
      <c r="I2" s="2322" t="s">
        <v>1131</v>
      </c>
      <c r="J2" s="2656"/>
      <c r="K2" s="2656"/>
      <c r="L2" s="2656"/>
      <c r="M2" s="2656"/>
      <c r="N2" s="2658"/>
      <c r="O2" s="2656"/>
      <c r="P2" s="2656"/>
    </row>
    <row r="3" spans="1:16" ht="15.75" thickBot="1">
      <c r="A3" s="3557" t="s">
        <v>1104</v>
      </c>
      <c r="B3" s="3557"/>
      <c r="C3" s="3557"/>
      <c r="D3" s="43">
        <f>'数据-基础表'!AY6</f>
        <v>0</v>
      </c>
      <c r="E3" s="43">
        <f>'数据-基础表'!AZ5</f>
        <v>975.39</v>
      </c>
      <c r="F3" s="2656"/>
      <c r="G3" s="1142"/>
      <c r="H3" s="1023" t="s">
        <v>1105</v>
      </c>
      <c r="I3" s="853" t="e">
        <f>ROUND('数据-基础表'!B3/'数据-基础表'!A3,2)</f>
        <v>#DIV/0!</v>
      </c>
      <c r="J3" s="2656"/>
      <c r="K3" s="2656"/>
      <c r="L3" s="2656"/>
      <c r="M3" s="2656"/>
      <c r="N3" s="2658"/>
      <c r="O3" s="2656"/>
      <c r="P3" s="2656"/>
    </row>
    <row r="4" spans="1:16" ht="15">
      <c r="A4" s="3558"/>
      <c r="B4" s="3559"/>
      <c r="C4" s="3560"/>
      <c r="D4" s="1638" t="s">
        <v>1106</v>
      </c>
      <c r="E4" s="1639" t="s">
        <v>1107</v>
      </c>
      <c r="F4" s="2656"/>
      <c r="G4" s="2649" t="s">
        <v>1132</v>
      </c>
      <c r="H4" s="1023" t="s">
        <v>1112</v>
      </c>
      <c r="I4" s="853" t="e">
        <f>ROUND(SUMIF('数据-基础表'!I9:AS9,"地上",'数据-基础表'!I5:AS5)/'数据-基础表'!A3,2)</f>
        <v>#DIV/0!</v>
      </c>
      <c r="J4" s="2656"/>
      <c r="K4" s="2656"/>
      <c r="L4" s="2656"/>
      <c r="M4" s="2656"/>
      <c r="N4" s="2658"/>
      <c r="O4" s="2656"/>
      <c r="P4" s="2656"/>
    </row>
    <row r="5" spans="1:16">
      <c r="A5" s="44" t="s">
        <v>1108</v>
      </c>
      <c r="B5" s="3561" t="s">
        <v>1109</v>
      </c>
      <c r="C5" s="3561"/>
      <c r="D5" s="45">
        <f>ROUND($D$3*E5/$E$3,2)</f>
        <v>0</v>
      </c>
      <c r="E5" s="46">
        <f>SUMIF('数据-基础表'!$11:$11,"住宅",'数据-基础表'!$5:$5)</f>
        <v>0</v>
      </c>
      <c r="F5" s="2656"/>
      <c r="G5" s="1142"/>
      <c r="H5" s="1023" t="s">
        <v>1105</v>
      </c>
      <c r="I5" s="853" t="e">
        <f>ROUND(E31/D31,2)</f>
        <v>#DIV/0!</v>
      </c>
      <c r="J5" s="2656"/>
      <c r="K5" s="2656"/>
      <c r="L5" s="2656"/>
      <c r="M5" s="2656"/>
      <c r="N5" s="2656"/>
      <c r="O5" s="2656"/>
      <c r="P5" s="2656"/>
    </row>
    <row r="6" spans="1:16" ht="15" thickBot="1">
      <c r="A6" s="1641"/>
      <c r="B6" s="3561" t="s">
        <v>1110</v>
      </c>
      <c r="C6" s="3561"/>
      <c r="D6" s="45">
        <f>ROUND($D$3*E6/$E$3,2)</f>
        <v>0</v>
      </c>
      <c r="E6" s="46">
        <f>E3-E5</f>
        <v>975.39</v>
      </c>
      <c r="F6" s="2656"/>
      <c r="G6" s="2650" t="s">
        <v>1111</v>
      </c>
      <c r="H6" s="1143" t="s">
        <v>1112</v>
      </c>
      <c r="I6" s="2651" t="e">
        <f>ROUND(F31/D31,2)</f>
        <v>#DIV/0!</v>
      </c>
      <c r="J6" s="2656"/>
      <c r="K6" s="2656"/>
      <c r="L6" s="2656"/>
      <c r="M6" s="2656"/>
      <c r="N6" s="2656"/>
      <c r="O6" s="2656"/>
      <c r="P6" s="2656"/>
    </row>
    <row r="7" spans="1:16" ht="15.75" thickBot="1">
      <c r="A7" s="3553"/>
      <c r="B7" s="3554"/>
      <c r="C7" s="3555"/>
      <c r="D7" s="1638" t="s">
        <v>1106</v>
      </c>
      <c r="E7" s="1642" t="s">
        <v>1113</v>
      </c>
      <c r="F7" s="2656"/>
      <c r="G7" s="2652" t="s">
        <v>1114</v>
      </c>
      <c r="H7" s="2653"/>
      <c r="I7" s="2654">
        <v>2.5</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975.39</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0</v>
      </c>
      <c r="E16" s="50">
        <f>SUM(E8:E15)</f>
        <v>975.39</v>
      </c>
      <c r="F16" s="2656"/>
      <c r="G16" s="2657"/>
      <c r="H16" s="1645" t="s">
        <v>1134</v>
      </c>
      <c r="I16" s="1646"/>
      <c r="J16" s="1136"/>
      <c r="K16" s="3550" t="s">
        <v>1134</v>
      </c>
      <c r="L16" s="3551"/>
      <c r="M16" s="3551"/>
      <c r="N16" s="3551"/>
      <c r="O16" s="3551"/>
      <c r="P16" s="3552"/>
    </row>
    <row r="17" spans="1:19" ht="15">
      <c r="A17" s="1647" t="s">
        <v>1135</v>
      </c>
      <c r="B17" s="1648" t="s">
        <v>1136</v>
      </c>
      <c r="C17" s="1649" t="s">
        <v>1137</v>
      </c>
      <c r="D17" s="1650" t="s">
        <v>1125</v>
      </c>
      <c r="E17" s="1651" t="s">
        <v>1126</v>
      </c>
      <c r="F17" s="1652"/>
      <c r="G17" s="1653"/>
      <c r="H17" s="1654" t="s">
        <v>1138</v>
      </c>
      <c r="I17" s="1655" t="s">
        <v>1123</v>
      </c>
      <c r="J17" s="1136"/>
      <c r="K17" s="3547" t="s">
        <v>1139</v>
      </c>
      <c r="L17" s="3548"/>
      <c r="M17" s="3549"/>
      <c r="N17" s="3547" t="s">
        <v>1140</v>
      </c>
      <c r="O17" s="3548"/>
      <c r="P17" s="3549"/>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3" t="s">
        <v>1149</v>
      </c>
      <c r="N18" s="1038" t="s">
        <v>1147</v>
      </c>
      <c r="O18" s="1663" t="s">
        <v>1148</v>
      </c>
      <c r="P18" s="853" t="s">
        <v>1149</v>
      </c>
      <c r="R18" s="1023" t="s">
        <v>1150</v>
      </c>
      <c r="S18" s="1023" t="s">
        <v>1151</v>
      </c>
    </row>
    <row r="19" spans="1:19">
      <c r="A19" s="1664"/>
      <c r="B19" s="47" t="s">
        <v>1124</v>
      </c>
      <c r="C19" s="3414" t="s">
        <v>3451</v>
      </c>
      <c r="D19" s="45">
        <f>ROUND($D$3*E19/$E$3,2)</f>
        <v>0</v>
      </c>
      <c r="E19" s="53">
        <f t="shared" ref="E19:E26" si="1">SUM(F19:G19)</f>
        <v>975.39</v>
      </c>
      <c r="F19" s="2792">
        <f>'数据-基础表'!I5</f>
        <v>975.39</v>
      </c>
      <c r="G19" s="2793">
        <f>'数据-基础表'!K13</f>
        <v>0</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975.39</v>
      </c>
    </row>
    <row r="20" spans="1:19">
      <c r="A20" s="1667"/>
      <c r="B20" s="47" t="s">
        <v>1152</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975.39</v>
      </c>
      <c r="F27" s="1137">
        <f>IF(SUM(F19:F26)=E8,SUM(F19:F26),"地上面积有误")</f>
        <v>975.39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975.39</v>
      </c>
    </row>
    <row r="28" spans="1:19">
      <c r="A28" s="1667"/>
      <c r="B28" s="47" t="s">
        <v>1154</v>
      </c>
      <c r="C28" s="1035"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1157</v>
      </c>
      <c r="D31" s="674">
        <f>D27+D30</f>
        <v>0</v>
      </c>
      <c r="E31" s="674">
        <f>E27+E30</f>
        <v>975.39</v>
      </c>
      <c r="F31" s="675">
        <f>F27+F30</f>
        <v>975.39</v>
      </c>
      <c r="G31" s="676">
        <f>G27+G30</f>
        <v>0</v>
      </c>
      <c r="H31" s="2656"/>
      <c r="I31" s="2656"/>
      <c r="J31" s="2656"/>
      <c r="K31" s="2656"/>
      <c r="L31" s="2656"/>
      <c r="M31" s="2656"/>
      <c r="N31" s="2656"/>
      <c r="O31" s="2656"/>
      <c r="P31" s="2656"/>
    </row>
    <row r="32" spans="1:19">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2">
        <f>项目基本情况!D3</f>
        <v>45303</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3393</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6">
        <f>SUMIF(项目基本情况!C$12:I$12,C6,项目基本情况!C$14:I$14)</f>
        <v>40</v>
      </c>
      <c r="E6" s="855">
        <f>IF(B6="","",SUMIF(项目基本情况!C$12:I$12,C6,项目基本情况!C$13:I$13))</f>
        <v>54428</v>
      </c>
      <c r="F6" s="64">
        <f>SUMIF(项目基本情况!C$12:I$12,C6,项目基本情况!C$15:I$15)</f>
        <v>25</v>
      </c>
      <c r="G6" s="65">
        <f>IF(ISERROR(ROUND(POWER(1+H6,D6-F6)*(POWER(1+H6,F6)-1)/(POWER(1+H6,D6)-1),3)),0,ROUND(POWER(1+H6,D6-F6)*(POWER(1+H6,F6)-1)/(POWER(1+H6,D6)-1),3))</f>
        <v>0.82099999999999995</v>
      </c>
      <c r="H6" s="730">
        <v>0.05</v>
      </c>
      <c r="I6" s="730">
        <v>5.5E-2</v>
      </c>
      <c r="J6" s="66">
        <v>7.0000000000000007E-2</v>
      </c>
      <c r="K6" s="1027">
        <f>SUMIF('数据-汇总表'!C$19:C$33,A6,'数据-汇总表'!E$19:E$33)</f>
        <v>975.39</v>
      </c>
      <c r="L6" s="731">
        <v>4500</v>
      </c>
      <c r="M6" s="67">
        <f t="shared" ref="M6:M14" si="0">ROUND(K6*L6/10000,0)</f>
        <v>439</v>
      </c>
      <c r="N6" s="729">
        <f>N21</f>
        <v>0.86</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9">
        <f>ROUND($L$14*S6/10000,0)</f>
        <v>0</v>
      </c>
      <c r="U6" s="3425">
        <v>6.4</v>
      </c>
      <c r="V6" s="70">
        <v>2.5000000000000001E-2</v>
      </c>
      <c r="W6" s="70">
        <v>0.1</v>
      </c>
      <c r="X6" s="1037"/>
      <c r="Y6" s="71">
        <f>N6</f>
        <v>0.86</v>
      </c>
      <c r="Z6" s="72"/>
      <c r="AA6" s="66"/>
      <c r="AB6" s="66"/>
      <c r="AC6" s="1037"/>
      <c r="AD6" s="73"/>
      <c r="AE6" s="1038">
        <f ca="1">IF(AN6="",0,SUMIF(INDIRECT("'"&amp;AN6&amp;"'"&amp;"!E:E"),$AE$5,INDIRECT("'"&amp;AN6&amp;"'"&amp;"!F:F")))</f>
        <v>25</v>
      </c>
      <c r="AF6" s="1345"/>
      <c r="AG6" s="138">
        <f>IF(AF6="",0,AE6-AF6)</f>
        <v>0</v>
      </c>
      <c r="AH6" s="74"/>
      <c r="AI6" s="76">
        <v>365</v>
      </c>
      <c r="AJ6" s="77"/>
      <c r="AK6" s="78">
        <v>1.4999999999999999E-2</v>
      </c>
      <c r="AL6" s="79">
        <v>1.5E-3</v>
      </c>
      <c r="AM6" s="80">
        <v>1.4999999999999999E-2</v>
      </c>
      <c r="AN6" s="1712" t="s">
        <v>3455</v>
      </c>
      <c r="AO6" s="52">
        <f ca="1">SUMIF(INDIRECT("'"&amp;AN6&amp;"'"&amp;"!A:A"),"总价",INDIRECT("'"&amp;AN6&amp;"'"&amp;"!B:B"))</f>
        <v>2920</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0.82099999999999995</v>
      </c>
      <c r="H16" s="90">
        <f>ROUND(SUMPRODUCT(H6:H13,K6:K13)/SUMPRODUCT((H6:H13&gt;0)*(K6:K13)),3)</f>
        <v>0.05</v>
      </c>
      <c r="I16" s="91"/>
      <c r="J16" s="91"/>
      <c r="K16" s="92">
        <f>SUM(K6:K15)</f>
        <v>975.39</v>
      </c>
      <c r="L16" s="93">
        <f>ROUND(M16*10000/SUM(K6:K14),0)</f>
        <v>4501</v>
      </c>
      <c r="M16" s="93">
        <f>SUM(M6:M14)</f>
        <v>439</v>
      </c>
      <c r="N16" s="94">
        <f>ROUND(SUMPRODUCT(M6:M14,N6:N14)/M16,3)</f>
        <v>0.86</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v>2010</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2303</v>
      </c>
      <c r="D19" s="2673"/>
      <c r="E19" s="2670"/>
      <c r="F19" s="2670"/>
      <c r="G19" s="2670"/>
      <c r="H19" s="2670"/>
      <c r="I19" s="2670"/>
      <c r="J19" s="2670"/>
      <c r="K19" s="3467">
        <f>K16</f>
        <v>975.39</v>
      </c>
      <c r="L19" s="2669">
        <v>1</v>
      </c>
      <c r="M19" s="2668">
        <f>L19*K19</f>
        <v>975.39</v>
      </c>
      <c r="N19" s="2668">
        <f>ROUND(1-(2024-N18)/60,2)</f>
        <v>0.77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2301</v>
      </c>
      <c r="D20" s="2673"/>
      <c r="E20" s="2670"/>
      <c r="F20" s="2670"/>
      <c r="G20" s="2670"/>
      <c r="H20" s="2670"/>
      <c r="I20" s="2670"/>
      <c r="J20" s="2670"/>
      <c r="K20" s="2669">
        <f>'数据-汇总表'!D19</f>
        <v>0</v>
      </c>
      <c r="L20" s="2669"/>
      <c r="M20" s="2668"/>
      <c r="N20" s="2668">
        <v>0.95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3467">
        <f>K20-K19</f>
        <v>-975.39</v>
      </c>
      <c r="L21" s="2669">
        <v>0.2</v>
      </c>
      <c r="M21" s="2668">
        <f>L21*K21</f>
        <v>-195.078</v>
      </c>
      <c r="N21" s="2668">
        <f>ROUND((N19+N20)/2,2)</f>
        <v>0.86</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f>M22/K19</f>
        <v>0.8</v>
      </c>
      <c r="M22" s="2668">
        <f>M19+M21</f>
        <v>780.31200000000001</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 ca="1">成本法!C10</f>
        <v>20</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671">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7.0000000000000007E-2</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2" t="s">
        <v>2284</v>
      </c>
      <c r="B1" s="3563"/>
      <c r="C1" s="3563"/>
      <c r="D1" s="3563"/>
      <c r="E1" s="3563"/>
      <c r="F1" s="3563"/>
      <c r="G1" s="356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0"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975.39</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45303</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3084</v>
      </c>
      <c r="C5" s="2509">
        <f ca="1">IF(B5=D14,结果表!H102,ROUND(B5*10000/$B$1,0))</f>
        <v>31622</v>
      </c>
      <c r="D5" s="2509" t="e">
        <f ca="1">ROUND(B5*10000/$B$2,0)</f>
        <v>#DIV/0!</v>
      </c>
      <c r="E5" s="2683"/>
      <c r="F5" s="2684"/>
      <c r="G5" s="2684"/>
      <c r="H5" s="2685"/>
      <c r="I5" s="2685"/>
      <c r="J5" s="2685"/>
      <c r="K5" s="2685"/>
    </row>
    <row r="6" spans="1:11" ht="16.5">
      <c r="A6" s="2509" t="s">
        <v>656</v>
      </c>
      <c r="B6" s="2509">
        <f ca="1">SUM(G14:G23)</f>
        <v>3084</v>
      </c>
      <c r="C6" s="2509">
        <f ca="1">IF(B6=G14,结果表!H108,ROUND(B6*10000/$B$1,0))</f>
        <v>31622</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3356</v>
      </c>
      <c r="D10" s="2509" t="s">
        <v>3357</v>
      </c>
      <c r="E10" s="3438"/>
      <c r="F10" s="3442" t="s">
        <v>3358</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975.39</v>
      </c>
      <c r="C14" s="2515"/>
      <c r="D14" s="2515">
        <f ca="1">结果表!H101</f>
        <v>3084</v>
      </c>
      <c r="E14" s="2515">
        <f ca="1">ROUND(D14*10000/B14,0)</f>
        <v>31618</v>
      </c>
      <c r="F14" s="2515" t="e">
        <f ca="1">ROUND(D14*10000/C14,0)</f>
        <v>#DIV/0!</v>
      </c>
      <c r="G14" s="2515">
        <f ca="1">D14</f>
        <v>3084</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598" t="str">
        <f>项目基本情况!S2</f>
        <v>北京市房地产</v>
      </c>
      <c r="B2" s="3599"/>
      <c r="C2" s="3599"/>
      <c r="D2" s="3599"/>
      <c r="E2" s="3599"/>
      <c r="F2" s="3599"/>
      <c r="G2" s="3599"/>
      <c r="H2" s="3599"/>
      <c r="I2" s="3600"/>
    </row>
    <row r="3" spans="1:12" ht="12.75">
      <c r="A3" s="3602" t="s">
        <v>1263</v>
      </c>
      <c r="B3" s="3603"/>
      <c r="C3" s="3603"/>
      <c r="D3" s="3603"/>
      <c r="E3" s="3603"/>
      <c r="F3" s="3603"/>
      <c r="G3" s="3603"/>
      <c r="H3" s="3603"/>
      <c r="I3" s="3603"/>
    </row>
    <row r="4" spans="1:12" ht="14.25">
      <c r="A4" s="1751" t="s">
        <v>1264</v>
      </c>
      <c r="B4" s="1752" t="s">
        <v>1265</v>
      </c>
      <c r="C4" s="1753" t="s">
        <v>3493</v>
      </c>
      <c r="D4" s="1753" t="s">
        <v>3492</v>
      </c>
      <c r="E4" s="3604" t="s">
        <v>1266</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1267</v>
      </c>
      <c r="B5" s="3565">
        <v>25</v>
      </c>
      <c r="C5" s="3581"/>
      <c r="D5" s="3601"/>
      <c r="E5" s="131" t="s">
        <v>1268</v>
      </c>
      <c r="F5" s="1754"/>
      <c r="G5" s="1754"/>
      <c r="H5" s="1754"/>
      <c r="I5" s="1370"/>
    </row>
    <row r="6" spans="1:12" ht="12.75">
      <c r="A6" s="3578"/>
      <c r="B6" s="3565"/>
      <c r="C6" s="3582"/>
      <c r="D6" s="3601"/>
      <c r="E6" s="131" t="s">
        <v>1269</v>
      </c>
      <c r="F6" s="1754"/>
      <c r="G6" s="1754"/>
      <c r="H6" s="1754"/>
      <c r="I6" s="1370"/>
    </row>
    <row r="7" spans="1:12" ht="12.75">
      <c r="A7" s="3578"/>
      <c r="B7" s="3565"/>
      <c r="C7" s="3583"/>
      <c r="D7" s="3601"/>
      <c r="E7" s="131" t="s">
        <v>1270</v>
      </c>
      <c r="F7" s="1754"/>
      <c r="G7" s="1754"/>
      <c r="H7" s="1754"/>
      <c r="I7" s="1370"/>
    </row>
    <row r="8" spans="1:12" ht="12.75">
      <c r="A8" s="3578" t="s">
        <v>1271</v>
      </c>
      <c r="B8" s="3565">
        <v>15</v>
      </c>
      <c r="C8" s="3581"/>
      <c r="D8" s="3601"/>
      <c r="E8" s="131" t="s">
        <v>1272</v>
      </c>
      <c r="F8" s="1754"/>
      <c r="G8" s="1754"/>
      <c r="H8" s="1754"/>
      <c r="I8" s="1370"/>
    </row>
    <row r="9" spans="1:12" ht="12.75">
      <c r="A9" s="3578"/>
      <c r="B9" s="3565"/>
      <c r="C9" s="3583"/>
      <c r="D9" s="3601"/>
      <c r="E9" s="131" t="s">
        <v>1273</v>
      </c>
      <c r="F9" s="1754"/>
      <c r="G9" s="1754"/>
      <c r="H9" s="1754"/>
      <c r="I9" s="1370"/>
    </row>
    <row r="10" spans="1:12" ht="12.75">
      <c r="A10" s="3578" t="s">
        <v>1274</v>
      </c>
      <c r="B10" s="3565">
        <v>15</v>
      </c>
      <c r="C10" s="3581"/>
      <c r="D10" s="3601"/>
      <c r="E10" s="131" t="s">
        <v>1275</v>
      </c>
      <c r="F10" s="1754"/>
      <c r="G10" s="1754"/>
      <c r="H10" s="1754"/>
      <c r="I10" s="1370"/>
    </row>
    <row r="11" spans="1:12" ht="12.75">
      <c r="A11" s="3578"/>
      <c r="B11" s="3565"/>
      <c r="C11" s="3583"/>
      <c r="D11" s="3601"/>
      <c r="E11" s="131" t="s">
        <v>1276</v>
      </c>
      <c r="F11" s="1754"/>
      <c r="G11" s="1754"/>
      <c r="H11" s="1754"/>
      <c r="I11" s="1370"/>
    </row>
    <row r="12" spans="1:12" ht="12.75">
      <c r="A12" s="3578" t="s">
        <v>1277</v>
      </c>
      <c r="B12" s="3565">
        <v>15</v>
      </c>
      <c r="C12" s="3581"/>
      <c r="D12" s="3601"/>
      <c r="E12" s="131" t="s">
        <v>1278</v>
      </c>
      <c r="F12" s="1754"/>
      <c r="G12" s="1754"/>
      <c r="H12" s="1754"/>
      <c r="I12" s="1370"/>
    </row>
    <row r="13" spans="1:12" ht="12.75">
      <c r="A13" s="3578"/>
      <c r="B13" s="3565"/>
      <c r="C13" s="3583"/>
      <c r="D13" s="3601"/>
      <c r="E13" s="131" t="s">
        <v>1279</v>
      </c>
      <c r="F13" s="1754"/>
      <c r="G13" s="1754"/>
      <c r="H13" s="1754"/>
      <c r="I13" s="1370"/>
    </row>
    <row r="14" spans="1:12" ht="12.75">
      <c r="A14" s="3578" t="s">
        <v>1280</v>
      </c>
      <c r="B14" s="3565">
        <v>30</v>
      </c>
      <c r="C14" s="3581">
        <v>5</v>
      </c>
      <c r="D14" s="3601">
        <v>5</v>
      </c>
      <c r="E14" s="131" t="s">
        <v>1281</v>
      </c>
      <c r="F14" s="1754"/>
      <c r="G14" s="1754"/>
      <c r="H14" s="1754"/>
      <c r="I14" s="1370"/>
    </row>
    <row r="15" spans="1:12" ht="12.75">
      <c r="A15" s="3578"/>
      <c r="B15" s="3565"/>
      <c r="C15" s="3582"/>
      <c r="D15" s="3601"/>
      <c r="E15" s="131" t="s">
        <v>1282</v>
      </c>
      <c r="F15" s="1754"/>
      <c r="G15" s="1754"/>
      <c r="H15" s="1754"/>
      <c r="I15" s="1370"/>
    </row>
    <row r="16" spans="1:12" ht="12.75">
      <c r="A16" s="3578"/>
      <c r="B16" s="3565"/>
      <c r="C16" s="3583"/>
      <c r="D16" s="3601"/>
      <c r="E16" s="131" t="s">
        <v>1283</v>
      </c>
      <c r="F16" s="1754"/>
      <c r="G16" s="1754"/>
      <c r="H16" s="1754"/>
      <c r="I16" s="1370"/>
    </row>
    <row r="17" spans="1:36" ht="15">
      <c r="A17" s="1755" t="s">
        <v>1284</v>
      </c>
      <c r="B17" s="56"/>
      <c r="C17" s="132">
        <f>SUM(C5:C16)</f>
        <v>5</v>
      </c>
      <c r="D17" s="132">
        <f>SUM(D5:D16)</f>
        <v>5</v>
      </c>
      <c r="E17" s="129"/>
      <c r="F17" s="129"/>
      <c r="G17" s="129"/>
      <c r="H17" s="129"/>
      <c r="I17" s="129"/>
      <c r="K17" s="302"/>
      <c r="L17" s="302" t="s">
        <v>1285</v>
      </c>
      <c r="M17" s="302" t="s">
        <v>1286</v>
      </c>
    </row>
    <row r="18" spans="1:36" ht="31.9" customHeight="1" thickBot="1">
      <c r="A18" s="1756" t="s">
        <v>1287</v>
      </c>
      <c r="B18" s="1757"/>
      <c r="C18" s="133">
        <f>ROUND(C17/SUM(C17:D17),2)</f>
        <v>0.5</v>
      </c>
      <c r="D18" s="133">
        <f>1-C18</f>
        <v>0.5</v>
      </c>
      <c r="E18" s="3588" t="s">
        <v>2129</v>
      </c>
      <c r="F18" s="3589"/>
      <c r="G18" s="3589"/>
      <c r="H18" s="3589"/>
      <c r="I18" s="3589"/>
      <c r="K18" s="302" t="s">
        <v>1288</v>
      </c>
      <c r="L18" s="302">
        <f>IF(C1="",'数据-汇总表'!E3,SUMIF(项目类型,C1,'数据-汇总表'!E17:E26)+SUMIF(项目类型,C1,'数据-汇总表'!I17:I26))</f>
        <v>975.39</v>
      </c>
      <c r="M18" s="302">
        <f>IF(C1="",'数据-汇总表'!E3,SUMIF(项目类型,C1,'数据-汇总表'!E17:E26))</f>
        <v>975.39</v>
      </c>
    </row>
    <row r="19" spans="1:36" ht="15">
      <c r="A19" s="1758" t="s">
        <v>1289</v>
      </c>
      <c r="B19" s="1759" t="s">
        <v>1290</v>
      </c>
      <c r="C19" s="134">
        <f ca="1">SUMIF(INDIRECT("'"&amp;C4&amp;"'"&amp;"!A:A"),结果表!B19,INDIRECT("'"&amp;C4&amp;"'"&amp;"!B:B"))</f>
        <v>3245.4666000000002</v>
      </c>
      <c r="D19" s="135">
        <f ca="1">SUMIF(INDIRECT("'"&amp;D4&amp;"'"&amp;"!A:A"),结果表!B19,INDIRECT("'"&amp;D4&amp;"'"&amp;"!B:B"))</f>
        <v>2923.1781999999998</v>
      </c>
      <c r="E19" s="1758" t="s">
        <v>1291</v>
      </c>
      <c r="F19" s="1759" t="s">
        <v>1290</v>
      </c>
      <c r="G19" s="136">
        <f ca="1">ROUND(C19*$C$18+D19*$D$18,0)</f>
        <v>3084</v>
      </c>
      <c r="H19" s="1760"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33274</v>
      </c>
      <c r="D20" s="138">
        <f ca="1">SUMIF(INDIRECT("'"&amp;D4&amp;"'"&amp;"!A:A"),结果表!B20,INDIRECT("'"&amp;D4&amp;"'"&amp;"!B:B"))</f>
        <v>29969</v>
      </c>
      <c r="E20" s="1761"/>
      <c r="F20" s="1023" t="s">
        <v>1294</v>
      </c>
      <c r="G20" s="139">
        <f ca="1">ROUND(C20*$C$18+D20*$D$18,0)</f>
        <v>31622</v>
      </c>
      <c r="H20" s="806" t="s">
        <v>1295</v>
      </c>
      <c r="I20" s="129"/>
    </row>
    <row r="21" spans="1:36" ht="15" customHeight="1" thickBot="1">
      <c r="A21" s="826"/>
      <c r="B21" s="1762" t="s">
        <v>1296</v>
      </c>
      <c r="C21" s="717" t="e">
        <f ca="1">ROUND(C19*10000/L19,0)</f>
        <v>#DIV/0!</v>
      </c>
      <c r="D21" s="718" t="e">
        <f ca="1">ROUND(D19*10000/L19,0)</f>
        <v>#DIV/0!</v>
      </c>
      <c r="E21" s="826"/>
      <c r="F21" s="1762" t="s">
        <v>1296</v>
      </c>
      <c r="G21" s="140" t="e">
        <f ca="1">ROUND(G19*10000/L19,0)</f>
        <v>#DIV/0!</v>
      </c>
      <c r="H21" s="1763" t="s">
        <v>1295</v>
      </c>
      <c r="I21" s="129"/>
    </row>
    <row r="22" spans="1:36" ht="15" thickBot="1">
      <c r="A22" s="1685" t="s">
        <v>1297</v>
      </c>
      <c r="B22" s="1764"/>
      <c r="C22" s="1765"/>
      <c r="D22" s="719">
        <f ca="1">IF(C19&lt;D19,D19/C19-1,C19/D19-1)</f>
        <v>0.11025273792750667</v>
      </c>
      <c r="E22" s="129"/>
      <c r="F22" s="129"/>
      <c r="G22" s="129"/>
      <c r="H22" s="129"/>
      <c r="I22" s="129"/>
    </row>
    <row r="23" spans="1:36" ht="13.5" thickBot="1">
      <c r="A23" s="1744"/>
      <c r="B23" s="1744"/>
      <c r="C23" s="1744"/>
      <c r="D23" s="1744"/>
      <c r="E23" s="129"/>
      <c r="F23" s="129"/>
      <c r="G23" s="129"/>
      <c r="H23" s="129"/>
      <c r="I23" s="129"/>
    </row>
    <row r="24" spans="1:36" ht="14.25">
      <c r="A24" s="3572" t="s">
        <v>1298</v>
      </c>
      <c r="B24" s="1759" t="s">
        <v>1290</v>
      </c>
      <c r="C24" s="136">
        <f>IF(B30=0,0,D30)</f>
        <v>0</v>
      </c>
      <c r="D24" s="1766"/>
      <c r="E24" s="129"/>
      <c r="F24" s="129"/>
      <c r="G24" s="129"/>
      <c r="H24" s="129"/>
      <c r="I24" s="129"/>
    </row>
    <row r="25" spans="1:36" ht="14.25">
      <c r="A25" s="3573"/>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31622</v>
      </c>
      <c r="D32" s="1772" t="s">
        <v>3460</v>
      </c>
      <c r="E32" s="129"/>
      <c r="F32" s="129"/>
      <c r="G32" s="129"/>
      <c r="H32" s="129"/>
      <c r="I32" s="129"/>
    </row>
    <row r="33" spans="1:15" ht="15">
      <c r="A33" s="784" t="s">
        <v>1305</v>
      </c>
      <c r="B33" s="1773"/>
      <c r="C33" s="1774" t="s">
        <v>3436</v>
      </c>
      <c r="D33" s="1775" t="s">
        <v>3447</v>
      </c>
      <c r="E33" s="1776" t="s">
        <v>1306</v>
      </c>
      <c r="F33" s="1777" t="str">
        <f>IF(D32="楼面单价","取值（单价）","取值（总价）")</f>
        <v>取值（单价）</v>
      </c>
      <c r="G33" s="129"/>
      <c r="H33" s="129"/>
      <c r="I33" s="129"/>
    </row>
    <row r="34" spans="1:15" ht="15">
      <c r="A34" s="1778"/>
      <c r="B34" s="1779" t="s">
        <v>1307</v>
      </c>
      <c r="C34" s="148">
        <f ca="1">IF(C33="自定义",F34,C32-C35)</f>
        <v>26151</v>
      </c>
      <c r="D34" s="859">
        <f ca="1">IF(C33="自定义",ROUND(C34/C32,3),IF(C33="收益比率",SUMIF(INDIRECT("'"&amp;D33&amp;"'"&amp;"!b:b"),"土地收益比率",INDIRECT("'"&amp;D33&amp;"'"&amp;"!c:c")),SUMIF(INDIRECT("'"&amp;D33&amp;"'"&amp;"!b:b"),"土地成本比率",INDIRECT("'"&amp;D33&amp;"'"&amp;"!c:c"))))</f>
        <v>0.82699999999999996</v>
      </c>
      <c r="E34" s="1780" t="s">
        <v>1308</v>
      </c>
      <c r="F34" s="1327"/>
      <c r="G34" s="129"/>
      <c r="H34" s="129"/>
      <c r="I34" s="129"/>
    </row>
    <row r="35" spans="1:15" ht="15.75" thickBot="1">
      <c r="A35" s="1781"/>
      <c r="B35" s="1782" t="s">
        <v>1309</v>
      </c>
      <c r="C35" s="1167">
        <f ca="1">IF(C33="自定义",F35,ROUND(C32*D35,0))</f>
        <v>5471</v>
      </c>
      <c r="D35" s="1168">
        <f ca="1">IF(C33="自定义",ROUND(C35/C32,3),IF(C33="收益比率",SUMIF(INDIRECT("'"&amp;D33&amp;"'"&amp;"!b:b"),"建筑物收益比率",INDIRECT("'"&amp;D33&amp;"'"&amp;"!c:c")),SUMIF(INDIRECT("'"&amp;D33&amp;"'"&amp;"!b:b"),"建筑物成本比率",INDIRECT("'"&amp;D33&amp;"'"&amp;"!c:c"))))</f>
        <v>0.17299999999999999</v>
      </c>
      <c r="E35" s="1783" t="s">
        <v>1310</v>
      </c>
      <c r="F35" s="154"/>
      <c r="G35" s="129"/>
      <c r="H35" s="129"/>
      <c r="I35" s="129"/>
    </row>
    <row r="36" spans="1:15" ht="15.75" thickBot="1">
      <c r="A36" s="3592" t="s">
        <v>1311</v>
      </c>
      <c r="B36" s="1784" t="s">
        <v>1312</v>
      </c>
      <c r="C36" s="145"/>
      <c r="D36" s="1785"/>
      <c r="E36" s="1786"/>
      <c r="F36" s="1787"/>
      <c r="G36" s="129"/>
      <c r="H36" s="129"/>
      <c r="I36" s="129"/>
    </row>
    <row r="37" spans="1:15" ht="15.75" thickBot="1">
      <c r="A37" s="3593"/>
      <c r="B37" s="1671" t="s">
        <v>1313</v>
      </c>
      <c r="C37" s="147"/>
      <c r="D37" s="1136"/>
      <c r="E37" s="1136"/>
      <c r="F37" s="1787"/>
      <c r="G37" s="129"/>
      <c r="H37" s="129"/>
      <c r="I37" s="129"/>
    </row>
    <row r="38" spans="1:15" ht="15.75" thickBot="1">
      <c r="A38" s="3594"/>
      <c r="B38" s="1788" t="s">
        <v>1314</v>
      </c>
      <c r="C38" s="672"/>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569" t="s">
        <v>1325</v>
      </c>
      <c r="B45" s="3570"/>
      <c r="C45" s="3571"/>
      <c r="D45" s="155">
        <f ca="1">ROUND(H101*F45,0)</f>
        <v>3084</v>
      </c>
      <c r="E45" s="156" t="s">
        <v>1326</v>
      </c>
      <c r="F45" s="157">
        <v>1</v>
      </c>
      <c r="G45" s="158" t="s">
        <v>1327</v>
      </c>
      <c r="H45" s="129"/>
      <c r="I45" s="129"/>
      <c r="J45" s="3647" t="s">
        <v>1328</v>
      </c>
      <c r="K45" s="3647"/>
      <c r="L45" s="3647"/>
      <c r="M45" s="3647"/>
      <c r="N45" s="3647"/>
      <c r="O45" s="3647"/>
    </row>
    <row r="46" spans="1:15" ht="14.25" customHeight="1">
      <c r="A46" s="3566" t="s">
        <v>1329</v>
      </c>
      <c r="B46" s="3567"/>
      <c r="C46" s="3567"/>
      <c r="D46" s="3567"/>
      <c r="E46" s="3567"/>
      <c r="F46" s="3567"/>
      <c r="G46" s="3568"/>
      <c r="H46" s="1803"/>
      <c r="I46" s="159"/>
      <c r="J46" s="2520">
        <v>1</v>
      </c>
      <c r="K46" s="3628" t="s">
        <v>1330</v>
      </c>
      <c r="L46" s="3628"/>
      <c r="M46" s="3648"/>
      <c r="N46" s="3648"/>
      <c r="O46" s="3648"/>
    </row>
    <row r="47" spans="1:15" ht="12" customHeight="1">
      <c r="A47" s="160" t="s">
        <v>1331</v>
      </c>
      <c r="B47" s="161"/>
      <c r="C47" s="162"/>
      <c r="D47" s="1084" t="s">
        <v>1332</v>
      </c>
      <c r="E47" s="302" t="s">
        <v>1333</v>
      </c>
      <c r="F47" s="163" t="s">
        <v>1334</v>
      </c>
      <c r="G47" s="2543" t="s">
        <v>1335</v>
      </c>
      <c r="H47" s="2544"/>
      <c r="I47" s="159"/>
      <c r="J47" s="2520">
        <v>2</v>
      </c>
      <c r="K47" s="3628" t="s">
        <v>1336</v>
      </c>
      <c r="L47" s="3628"/>
      <c r="M47" s="3649">
        <f>'数据-取费表'!B2</f>
        <v>45303</v>
      </c>
      <c r="N47" s="3649"/>
      <c r="O47" s="3649"/>
    </row>
    <row r="48" spans="1:15" ht="25.5">
      <c r="A48" s="3597" t="s">
        <v>1337</v>
      </c>
      <c r="B48" s="3580"/>
      <c r="C48" s="3580"/>
      <c r="D48" s="2321">
        <f ca="1">IF(H48="情况1",0,IF(H48="情况2",D52,IF(H48="情况3",D53,IF(H48="情况4",D54))))</f>
        <v>164</v>
      </c>
      <c r="E48" s="2331" t="str">
        <f>IF(H48="情况4","(销售额-原购置价)×税（费）率","销售额×税（费）率")</f>
        <v>销售额×税（费）率</v>
      </c>
      <c r="F48" s="2545">
        <f>IF(H48="情况1","免征",'数据-取费表'!B41)</f>
        <v>5.6000000000000001E-2</v>
      </c>
      <c r="G48" s="2546" t="s">
        <v>1338</v>
      </c>
      <c r="H48" s="2547" t="s">
        <v>3430</v>
      </c>
      <c r="I48" s="1803"/>
      <c r="J48" s="2520">
        <v>3</v>
      </c>
      <c r="K48" s="3628" t="s">
        <v>1339</v>
      </c>
      <c r="L48" s="3628"/>
      <c r="M48" s="3650">
        <f ca="1">H101</f>
        <v>3084</v>
      </c>
      <c r="N48" s="3650"/>
      <c r="O48" s="3650"/>
    </row>
    <row r="49" spans="1:35" ht="25.5" customHeight="1">
      <c r="A49" s="2330" t="s">
        <v>1340</v>
      </c>
      <c r="B49" s="3564" t="s">
        <v>1341</v>
      </c>
      <c r="C49" s="3564"/>
      <c r="D49" s="1587">
        <v>0</v>
      </c>
      <c r="E49" s="324" t="s">
        <v>1342</v>
      </c>
      <c r="F49" s="2421" t="s">
        <v>28</v>
      </c>
      <c r="G49" s="3634"/>
      <c r="H49" s="2307" t="s">
        <v>2132</v>
      </c>
      <c r="I49" s="2308"/>
      <c r="J49" s="2520">
        <v>4</v>
      </c>
      <c r="K49" s="3628" t="str">
        <f>IF(项目基本情况!E8="房地产抵押价值","房地产抵押价值","抵押担保权已注销时的房地产抵押价值")</f>
        <v>房地产抵押价值</v>
      </c>
      <c r="L49" s="3628"/>
      <c r="M49" s="3650">
        <f ca="1">IF(项目基本情况!E8="房地产抵押价值",H107,H109)</f>
        <v>3084</v>
      </c>
      <c r="N49" s="3650"/>
      <c r="O49" s="3650"/>
    </row>
    <row r="50" spans="1:35" ht="25.5" customHeight="1">
      <c r="A50" s="2548"/>
      <c r="B50" s="3564" t="s">
        <v>1343</v>
      </c>
      <c r="C50" s="3564"/>
      <c r="D50" s="2549"/>
      <c r="E50" s="332"/>
      <c r="F50" s="2421"/>
      <c r="G50" s="3635"/>
      <c r="H50" s="2309" t="s">
        <v>2133</v>
      </c>
      <c r="I50" s="2308"/>
      <c r="J50" s="3647" t="s">
        <v>1344</v>
      </c>
      <c r="K50" s="3647"/>
      <c r="L50" s="3647"/>
      <c r="M50" s="3647"/>
      <c r="N50" s="3647"/>
      <c r="O50" s="3647"/>
    </row>
    <row r="51" spans="1:35" ht="20.45" customHeight="1">
      <c r="A51" s="2550"/>
      <c r="B51" s="3564" t="s">
        <v>1345</v>
      </c>
      <c r="C51" s="3564"/>
      <c r="D51" s="1084"/>
      <c r="E51" s="327"/>
      <c r="F51" s="2421"/>
      <c r="G51" s="3636"/>
      <c r="H51" s="2309" t="s">
        <v>2134</v>
      </c>
      <c r="I51" s="2308"/>
      <c r="J51" s="2521" t="s">
        <v>1346</v>
      </c>
      <c r="K51" s="3628" t="s">
        <v>1347</v>
      </c>
      <c r="L51" s="3628"/>
      <c r="M51" s="2521" t="s">
        <v>1348</v>
      </c>
      <c r="N51" s="2521" t="s">
        <v>1349</v>
      </c>
      <c r="O51" s="2521" t="s">
        <v>1350</v>
      </c>
    </row>
    <row r="52" spans="1:35" ht="24" customHeight="1">
      <c r="A52" s="2332" t="s">
        <v>1351</v>
      </c>
      <c r="B52" s="3564" t="s">
        <v>1352</v>
      </c>
      <c r="C52" s="3564"/>
      <c r="D52" s="1084">
        <f ca="1">ROUND(D45*'数据-取费表'!B41/(1+'数据-取费表'!C42),0)</f>
        <v>164</v>
      </c>
      <c r="E52" s="2331" t="s">
        <v>1353</v>
      </c>
      <c r="F52" s="2551">
        <f>'数据-取费表'!B41</f>
        <v>5.6000000000000001E-2</v>
      </c>
      <c r="G52" s="2552"/>
      <c r="H52" s="2541"/>
      <c r="I52" s="1804"/>
      <c r="J52" s="2520">
        <v>1</v>
      </c>
      <c r="K52" s="3629" t="s">
        <v>1354</v>
      </c>
      <c r="L52" s="3629"/>
      <c r="M52" s="2522">
        <f ca="1">D48</f>
        <v>164</v>
      </c>
      <c r="N52" s="2520" t="str">
        <f>E48</f>
        <v>销售额×税（费）率</v>
      </c>
      <c r="O52" s="2523">
        <f>F48</f>
        <v>5.6000000000000001E-2</v>
      </c>
    </row>
    <row r="53" spans="1:35" ht="12" customHeight="1">
      <c r="A53" s="2332" t="s">
        <v>1355</v>
      </c>
      <c r="B53" s="3590" t="s">
        <v>2289</v>
      </c>
      <c r="C53" s="3591"/>
      <c r="D53" s="1084">
        <f ca="1">ROUND(D45*'数据-取费表'!B41/(1+'数据-取费表'!C42),0)</f>
        <v>164</v>
      </c>
      <c r="E53" s="2331" t="s">
        <v>1353</v>
      </c>
      <c r="F53" s="2551">
        <f>'数据-取费表'!B41</f>
        <v>5.6000000000000001E-2</v>
      </c>
      <c r="G53" s="2552"/>
      <c r="H53" s="2541"/>
      <c r="I53" s="1804"/>
      <c r="J53" s="2520">
        <v>2</v>
      </c>
      <c r="K53" s="3629" t="s">
        <v>1356</v>
      </c>
      <c r="L53" s="3629"/>
      <c r="M53" s="2522">
        <f t="shared" ref="M53:O54" ca="1" si="0">D55</f>
        <v>2</v>
      </c>
      <c r="N53" s="2520" t="str">
        <f t="shared" si="0"/>
        <v>销售额×税（费）率</v>
      </c>
      <c r="O53" s="2523">
        <f t="shared" si="0"/>
        <v>5.0000000000000001E-4</v>
      </c>
    </row>
    <row r="54" spans="1:35" ht="12" customHeight="1">
      <c r="A54" s="2332" t="s">
        <v>1357</v>
      </c>
      <c r="B54" s="3590" t="s">
        <v>2290</v>
      </c>
      <c r="C54" s="3591"/>
      <c r="D54" s="1084">
        <f ca="1">C68</f>
        <v>164</v>
      </c>
      <c r="E54" s="327" t="s">
        <v>1358</v>
      </c>
      <c r="F54" s="2551">
        <f>'数据-取费表'!B41</f>
        <v>5.6000000000000001E-2</v>
      </c>
      <c r="G54" s="2552"/>
      <c r="H54" s="2553"/>
      <c r="I54" s="1804"/>
      <c r="J54" s="2520">
        <v>3</v>
      </c>
      <c r="K54" s="3629" t="s">
        <v>1359</v>
      </c>
      <c r="L54" s="3629"/>
      <c r="M54" s="2522">
        <f t="shared" ca="1" si="0"/>
        <v>1745</v>
      </c>
      <c r="N54" s="2520" t="str">
        <f t="shared" si="0"/>
        <v>增值额×税（费）率</v>
      </c>
      <c r="O54" s="2524" t="str">
        <f t="shared" si="0"/>
        <v>——</v>
      </c>
    </row>
    <row r="55" spans="1:35" ht="24" customHeight="1">
      <c r="A55" s="3579" t="s">
        <v>1360</v>
      </c>
      <c r="B55" s="3580"/>
      <c r="C55" s="3580"/>
      <c r="D55" s="2321">
        <f ca="1">IF(H55="个人住宅",0,ROUND(D45*I55,0))</f>
        <v>2</v>
      </c>
      <c r="E55" s="2331" t="s">
        <v>1361</v>
      </c>
      <c r="F55" s="2551">
        <f>IF(H55="正常",I55,"免征")</f>
        <v>5.0000000000000001E-4</v>
      </c>
      <c r="G55" s="2552"/>
      <c r="H55" s="2547" t="s">
        <v>3399</v>
      </c>
      <c r="I55" s="165">
        <f>'数据-取费表'!B49</f>
        <v>5.0000000000000001E-4</v>
      </c>
      <c r="J55" s="2520">
        <f>IF(H59="非个人房产","",4)</f>
        <v>4</v>
      </c>
      <c r="K55" s="3629" t="str">
        <f>IF(H59="非个人房产","——","个人所得税")</f>
        <v>个人所得税</v>
      </c>
      <c r="L55" s="3629"/>
      <c r="M55" s="2525">
        <f ca="1">D59</f>
        <v>29</v>
      </c>
      <c r="N55" s="2037" t="str">
        <f>E59</f>
        <v>差额计税</v>
      </c>
      <c r="O55" s="2526">
        <f>F59</f>
        <v>0.01</v>
      </c>
    </row>
    <row r="56" spans="1:35" ht="24.75">
      <c r="A56" s="3579" t="s">
        <v>1362</v>
      </c>
      <c r="B56" s="3580"/>
      <c r="C56" s="3580"/>
      <c r="D56" s="2321">
        <f ca="1">IF(H56="个人住宅",D57,D58)</f>
        <v>1745</v>
      </c>
      <c r="E56" s="2331" t="s">
        <v>1363</v>
      </c>
      <c r="F56" s="2551" t="str">
        <f>IF(H56="正常",F58,"免征")</f>
        <v>——</v>
      </c>
      <c r="G56" s="2554" t="s">
        <v>1364</v>
      </c>
      <c r="H56" s="2555" t="s">
        <v>3399</v>
      </c>
      <c r="I56" s="1805"/>
      <c r="J56" s="2520" t="str">
        <f>IF(项目基本情况!K6="上海银行",IF(J55="",4,J55+1),"")</f>
        <v/>
      </c>
      <c r="K56" s="3652" t="str">
        <f>IF(项目基本情况!K6="上海银行","其他处置费用","")</f>
        <v/>
      </c>
      <c r="L56" s="3653"/>
      <c r="M56" s="2522" t="str">
        <f>IF(项目基本情况!K6="上海银行",M69,"")</f>
        <v/>
      </c>
      <c r="N56" s="3652" t="str">
        <f>IF(项目基本情况!K6="上海银行","包含处置中涉及的律师、诉讼、拍卖、评估等费用","")</f>
        <v/>
      </c>
      <c r="O56" s="3655"/>
    </row>
    <row r="57" spans="1:35" ht="12.75">
      <c r="A57" s="2332" t="s">
        <v>1340</v>
      </c>
      <c r="B57" s="3590" t="s">
        <v>1365</v>
      </c>
      <c r="C57" s="3591"/>
      <c r="D57" s="1587">
        <v>0</v>
      </c>
      <c r="E57" s="324" t="s">
        <v>1342</v>
      </c>
      <c r="F57" s="302"/>
      <c r="G57" s="2552"/>
      <c r="H57" s="2556"/>
      <c r="I57" s="1805"/>
      <c r="J57" s="3629">
        <f>IF(AND(J55="",J56=""),4,IF(项目基本情况!K6="上海银行",结果表!J56+1,结果表!J55+1))</f>
        <v>5</v>
      </c>
      <c r="K57" s="3629" t="s">
        <v>1366</v>
      </c>
      <c r="L57" s="2527" t="s">
        <v>1367</v>
      </c>
      <c r="M57" s="2528"/>
      <c r="N57" s="2529">
        <f ca="1">SUMIF(M52:M56,"&lt;9e307")</f>
        <v>1940</v>
      </c>
      <c r="O57" s="2530"/>
      <c r="P57" s="2687">
        <f ca="1">N57/M49</f>
        <v>0.62905317769130997</v>
      </c>
    </row>
    <row r="58" spans="1:35" ht="24.75">
      <c r="A58" s="2332" t="s">
        <v>1351</v>
      </c>
      <c r="B58" s="3590" t="s">
        <v>1368</v>
      </c>
      <c r="C58" s="3564"/>
      <c r="D58" s="2321">
        <f ca="1">IF(H58="转让取得",C81,C97)</f>
        <v>1745</v>
      </c>
      <c r="E58" s="2331" t="s">
        <v>1363</v>
      </c>
      <c r="F58" s="302" t="s">
        <v>28</v>
      </c>
      <c r="G58" s="2552"/>
      <c r="H58" s="2555" t="s">
        <v>3431</v>
      </c>
      <c r="I58" s="1805"/>
      <c r="J58" s="3629"/>
      <c r="K58" s="3629"/>
      <c r="L58" s="2527" t="s">
        <v>1369</v>
      </c>
      <c r="M58" s="2531"/>
      <c r="N58" s="2532" t="str">
        <f ca="1">NUMBERSTRING(INT(N57*10000),2)&amp;"元整"</f>
        <v>壹仟玖佰肆拾万元整</v>
      </c>
      <c r="O58" s="2533"/>
    </row>
    <row r="59" spans="1:35" ht="24.75" thickBot="1">
      <c r="A59" s="3632" t="s">
        <v>1370</v>
      </c>
      <c r="B59" s="3633"/>
      <c r="C59" s="3633"/>
      <c r="D59" s="2557">
        <f ca="1">IF(H59="非个人房产","——",IF(H59="个人住宅（满五唯一有凭证）",0,IF(H59="个人其他（无凭证）",ROUND(D45*F59,0),ROUND(C67*F59,0))))</f>
        <v>29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2135</v>
      </c>
      <c r="J59" s="3630">
        <f>J57+1</f>
        <v>6</v>
      </c>
      <c r="K59" s="3629" t="s">
        <v>1371</v>
      </c>
      <c r="L59" s="2520" t="s">
        <v>1367</v>
      </c>
      <c r="M59" s="2534"/>
      <c r="N59" s="2535">
        <f ca="1">M49-N57</f>
        <v>1144</v>
      </c>
      <c r="O59" s="2536"/>
    </row>
    <row r="60" spans="1:35" ht="12" customHeight="1">
      <c r="A60" s="1806"/>
      <c r="B60" s="1744"/>
      <c r="C60" s="1744"/>
      <c r="D60" s="1744"/>
      <c r="E60" s="1575"/>
      <c r="F60" s="1805"/>
      <c r="G60" s="1805"/>
      <c r="H60" s="1807"/>
      <c r="I60" s="129"/>
      <c r="J60" s="3631"/>
      <c r="K60" s="3629"/>
      <c r="L60" s="2527" t="s">
        <v>1369</v>
      </c>
      <c r="M60" s="2531"/>
      <c r="N60" s="2532" t="str">
        <f ca="1">NUMBERSTRING(INT(N59*10000),2)&amp;"元整"</f>
        <v>壹仟壹佰肆拾肆万元整</v>
      </c>
      <c r="O60" s="2533"/>
    </row>
    <row r="61" spans="1:35" ht="13.5" thickBot="1">
      <c r="A61" s="3577" t="s">
        <v>1372</v>
      </c>
      <c r="B61" s="3577"/>
      <c r="C61" s="3577"/>
      <c r="D61" s="3577"/>
      <c r="E61" s="3577"/>
      <c r="F61" s="1805"/>
      <c r="G61" s="1805"/>
      <c r="H61" s="1807"/>
      <c r="I61" s="129"/>
      <c r="J61" s="2520">
        <f>J59+1</f>
        <v>7</v>
      </c>
      <c r="K61" s="3629" t="s">
        <v>1373</v>
      </c>
      <c r="L61" s="3629"/>
      <c r="M61" s="2537"/>
      <c r="N61" s="2538">
        <f ca="1">ROUND(N59*10000/'数据-汇总表'!E3,0)</f>
        <v>11729</v>
      </c>
      <c r="O61" s="2539"/>
    </row>
    <row r="62" spans="1:35" ht="12.75">
      <c r="A62" s="3595" t="s">
        <v>1374</v>
      </c>
      <c r="B62" s="3596"/>
      <c r="C62" s="2018"/>
      <c r="D62" s="2018" t="s">
        <v>1375</v>
      </c>
      <c r="E62" s="166" t="s">
        <v>1376</v>
      </c>
      <c r="F62" s="1805"/>
      <c r="G62" s="1805"/>
      <c r="H62" s="1807"/>
      <c r="I62" s="129"/>
    </row>
    <row r="63" spans="1:35" ht="12.75">
      <c r="A63" s="173" t="s">
        <v>330</v>
      </c>
      <c r="B63" s="167" t="s">
        <v>1377</v>
      </c>
      <c r="C63" s="2561">
        <f ca="1">ROUND((C64+C65)/(1+'数据-取费表'!C42),0)</f>
        <v>2937</v>
      </c>
      <c r="D63" s="167"/>
      <c r="E63" s="168"/>
      <c r="F63" s="1805"/>
      <c r="G63" s="1805"/>
      <c r="H63" s="1807"/>
      <c r="I63" s="129"/>
      <c r="J63" s="3654" t="s">
        <v>1378</v>
      </c>
      <c r="K63" s="1329" t="s">
        <v>1379</v>
      </c>
      <c r="L63" s="1329">
        <f ca="1">IF(M49&gt;10000,M49*0.5%,IF(AND(M49&gt;1000,M49&lt;=10000),M49*1%,IF(AND(M49&gt;100,M49&lt;=1000),M49*3%,IF(AND(M49&gt;10,M49&lt;=100),M49*5%,M49*8%))))</f>
        <v>30.84</v>
      </c>
      <c r="M63" s="302">
        <f ca="1">ROUND(L63,1)</f>
        <v>30.8</v>
      </c>
      <c r="N63" s="2540"/>
      <c r="Z63" s="1749"/>
      <c r="AI63" s="1750"/>
    </row>
    <row r="64" spans="1:35" ht="14.25" customHeight="1">
      <c r="A64" s="169" t="s">
        <v>325</v>
      </c>
      <c r="B64" s="170" t="s">
        <v>1380</v>
      </c>
      <c r="C64" s="2562">
        <f ca="1">D45</f>
        <v>3084</v>
      </c>
      <c r="D64" s="170" t="s">
        <v>26</v>
      </c>
      <c r="E64" s="172"/>
      <c r="F64" s="1805"/>
      <c r="G64" s="1805"/>
      <c r="H64" s="1807"/>
      <c r="I64" s="129"/>
      <c r="J64" s="3654"/>
      <c r="K64" s="1329" t="s">
        <v>1381</v>
      </c>
      <c r="L64" s="1329">
        <f ca="1">IF(M49&gt;2000,M49*0.5%,IF(AND(M49&gt;1000,M49&lt;=2000),M49*0.6%,IF(AND(M49&gt;500,M49&lt;=1000),M49*0.7%,IF(AND(M49&gt;200,M49&lt;=500),M49*0.8%,IF(AND(M49&gt;100,M49&lt;=200),M49*0.9%,IF(AND(M49&gt;50,M49&lt;=100),M49*1%,IF(AND(M49&gt;20,M49&lt;=50),M49*1.5%,IF(AND(M49&gt;10,M49&lt;=20),M49*2%,IF(AND(M49&gt;1,M49&lt;=10),M49*2.5%)))))))))</f>
        <v>15.42</v>
      </c>
      <c r="M64" s="302">
        <f t="shared" ref="M64:M65" ca="1" si="1">ROUND(L64,1)</f>
        <v>15.4</v>
      </c>
      <c r="N64" s="2541" t="s">
        <v>1382</v>
      </c>
      <c r="Z64" s="1749"/>
      <c r="AI64" s="1750"/>
    </row>
    <row r="65" spans="1:35" ht="14.25" customHeight="1">
      <c r="A65" s="169" t="s">
        <v>326</v>
      </c>
      <c r="B65" s="170" t="s">
        <v>1383</v>
      </c>
      <c r="C65" s="2563"/>
      <c r="D65" s="170"/>
      <c r="E65" s="172"/>
      <c r="F65" s="1805"/>
      <c r="G65" s="1805"/>
      <c r="H65" s="1807"/>
      <c r="I65" s="129"/>
      <c r="J65" s="3654"/>
      <c r="K65" s="1329" t="s">
        <v>1384</v>
      </c>
      <c r="L65" s="1329">
        <f ca="1">IF(M49&gt;1000,M49*0.1%,IF(AND(M49&gt;500,M49&lt;=1000),M49*0.5%,IF(AND(M49&gt;50,M49&lt;=500),M49*1%,IF(AND(M49&gt;1,M49&lt;=50),M49*1.5%))))</f>
        <v>3.0840000000000001</v>
      </c>
      <c r="M65" s="302">
        <f t="shared" ca="1" si="1"/>
        <v>3.1</v>
      </c>
      <c r="N65" s="2541" t="s">
        <v>1382</v>
      </c>
      <c r="Z65" s="1749"/>
      <c r="AI65" s="1750"/>
    </row>
    <row r="66" spans="1:35" ht="14.25" customHeight="1">
      <c r="A66" s="173" t="s">
        <v>327</v>
      </c>
      <c r="B66" s="174" t="s">
        <v>1385</v>
      </c>
      <c r="C66" s="2564"/>
      <c r="D66" s="174" t="s">
        <v>26</v>
      </c>
      <c r="E66" s="1335" t="s">
        <v>671</v>
      </c>
      <c r="F66" s="1805"/>
      <c r="G66" s="1805"/>
      <c r="H66" s="1807"/>
      <c r="I66" s="129"/>
      <c r="J66" s="3654"/>
      <c r="K66" s="1329" t="s">
        <v>1386</v>
      </c>
      <c r="L66" s="1329">
        <f ca="1">M49*0.5%</f>
        <v>15.42</v>
      </c>
      <c r="M66" s="302">
        <f ca="1">IF(L66&gt;0.5,0.5,ROUND(L66,0))</f>
        <v>0.5</v>
      </c>
      <c r="N66" s="2541" t="s">
        <v>1387</v>
      </c>
      <c r="Z66" s="1749"/>
      <c r="AI66" s="1750"/>
    </row>
    <row r="67" spans="1:35" ht="14.25" customHeight="1">
      <c r="A67" s="173" t="s">
        <v>328</v>
      </c>
      <c r="B67" s="174" t="s">
        <v>1388</v>
      </c>
      <c r="C67" s="2565">
        <f ca="1">C63-C66</f>
        <v>2937</v>
      </c>
      <c r="D67" s="170" t="s">
        <v>26</v>
      </c>
      <c r="E67" s="172"/>
      <c r="F67" s="1805"/>
      <c r="G67" s="1805"/>
      <c r="H67" s="1807"/>
      <c r="I67" s="129"/>
      <c r="J67" s="3654"/>
      <c r="K67" s="1329" t="s">
        <v>1389</v>
      </c>
      <c r="L67" s="1329">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49"/>
      <c r="AI67" s="1750"/>
    </row>
    <row r="68" spans="1:35" ht="14.25" customHeight="1" thickBot="1">
      <c r="A68" s="176" t="s">
        <v>329</v>
      </c>
      <c r="B68" s="177" t="s">
        <v>1390</v>
      </c>
      <c r="C68" s="2566">
        <f ca="1">IF(C67&lt;=0,0,ROUND(C67*D68,0))</f>
        <v>164</v>
      </c>
      <c r="D68" s="2567">
        <f>'数据-取费表'!B41</f>
        <v>5.6000000000000001E-2</v>
      </c>
      <c r="E68" s="178"/>
      <c r="F68" s="1805"/>
      <c r="G68" s="1805"/>
      <c r="H68" s="1807"/>
      <c r="I68" s="129"/>
      <c r="J68" s="3654"/>
      <c r="K68" s="1329" t="s">
        <v>1391</v>
      </c>
      <c r="L68" s="1329">
        <f ca="1">IF(M49&gt;10000,M49*0.5%,IF(AND(M49&gt;5000,M49&lt;=10000),M49*1%,IF(AND(M49&gt;1000,M49&lt;=5000),M49*2%,IF(AND(M49&gt;200,M49&lt;=1000),M49*3%,M49*5%))))</f>
        <v>61.68</v>
      </c>
      <c r="M68" s="302">
        <f ca="1">ROUND(L68,1)</f>
        <v>61.7</v>
      </c>
      <c r="N68" s="2540"/>
      <c r="Z68" s="1749"/>
      <c r="AI68" s="1750"/>
    </row>
    <row r="69" spans="1:35" s="1769" customFormat="1" ht="16.5" customHeight="1">
      <c r="A69" s="1808"/>
      <c r="B69" s="1809"/>
      <c r="C69" s="1810"/>
      <c r="D69" s="1811"/>
      <c r="E69" s="1812"/>
      <c r="F69" s="1575"/>
      <c r="G69" s="1575"/>
      <c r="H69" s="1574"/>
      <c r="I69" s="1744"/>
      <c r="J69" s="3654"/>
      <c r="K69" s="1329" t="s">
        <v>1392</v>
      </c>
      <c r="L69" s="1329"/>
      <c r="M69" s="302">
        <f ca="1">ROUND(SUM(M63:M68),0)</f>
        <v>114</v>
      </c>
      <c r="N69" s="2542">
        <f ca="1">M69/M49</f>
        <v>3.6964980544747082E-2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6" t="s">
        <v>1393</v>
      </c>
      <c r="B70" s="3617"/>
      <c r="C70" s="3617"/>
      <c r="D70" s="3617"/>
      <c r="E70" s="3617"/>
      <c r="F70" s="3617"/>
      <c r="G70" s="3617"/>
      <c r="H70" s="3617"/>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5" t="s">
        <v>1374</v>
      </c>
      <c r="B71" s="3596"/>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2937</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18</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590" t="s">
        <v>1401</v>
      </c>
      <c r="F76" s="3564"/>
      <c r="G76" s="3564"/>
      <c r="H76" s="361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18</v>
      </c>
      <c r="D78" s="2574">
        <f>'数据-取费表'!B43</f>
        <v>6.000000000000001E-3</v>
      </c>
      <c r="E78" s="3574" t="s">
        <v>1405</v>
      </c>
      <c r="F78" s="3575"/>
      <c r="G78" s="3575"/>
      <c r="H78" s="358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2919</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162.16666666666666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1745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6" t="s">
        <v>1409</v>
      </c>
      <c r="B83" s="3617"/>
      <c r="C83" s="3617"/>
      <c r="D83" s="3617"/>
      <c r="E83" s="3617"/>
      <c r="F83" s="3617"/>
      <c r="G83" s="3617"/>
      <c r="H83" s="361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5" t="s">
        <v>1374</v>
      </c>
      <c r="B84" s="3596"/>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2937</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18</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656" t="s">
        <v>2127</v>
      </c>
      <c r="H90" s="3657"/>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574" t="s">
        <v>1418</v>
      </c>
      <c r="F91" s="3575"/>
      <c r="G91" s="357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574" t="s">
        <v>1421</v>
      </c>
      <c r="F92" s="3575"/>
      <c r="G92" s="3575"/>
      <c r="H92" s="3584"/>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18</v>
      </c>
      <c r="D93" s="2574">
        <f>'数据-取费表'!B43</f>
        <v>6.000000000000001E-3</v>
      </c>
      <c r="E93" s="3574" t="s">
        <v>1405</v>
      </c>
      <c r="F93" s="3575"/>
      <c r="G93" s="3575"/>
      <c r="H93" s="358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585" t="s">
        <v>1425</v>
      </c>
      <c r="F94" s="3586"/>
      <c r="G94" s="3586"/>
      <c r="H94" s="358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2919</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162.16666666666666</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1745</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8" t="s">
        <v>1427</v>
      </c>
      <c r="B100" s="3559"/>
      <c r="C100" s="3559"/>
      <c r="D100" s="3576"/>
      <c r="E100" s="3559" t="s">
        <v>1428</v>
      </c>
      <c r="F100" s="3559"/>
      <c r="G100" s="3559"/>
      <c r="H100" s="3576"/>
      <c r="I100" s="129"/>
    </row>
    <row r="101" spans="1:35" ht="18.75" customHeight="1">
      <c r="A101" s="3637" t="s">
        <v>1429</v>
      </c>
      <c r="B101" s="3638"/>
      <c r="C101" s="2582" t="str">
        <f>C4</f>
        <v>成本法 (元)</v>
      </c>
      <c r="D101" s="2583" t="str">
        <f>D4</f>
        <v>收益法 (元)</v>
      </c>
      <c r="E101" s="3651" t="s">
        <v>1430</v>
      </c>
      <c r="F101" s="3608"/>
      <c r="G101" s="1824" t="s">
        <v>1431</v>
      </c>
      <c r="H101" s="2592">
        <f ca="1">H118</f>
        <v>3084</v>
      </c>
      <c r="I101" s="129"/>
    </row>
    <row r="102" spans="1:35" ht="18.75" customHeight="1">
      <c r="A102" s="3610" t="s">
        <v>1432</v>
      </c>
      <c r="B102" s="2581" t="s">
        <v>1431</v>
      </c>
      <c r="C102" s="2582">
        <f ca="1">IF(D32="楼面单价",ROUND(C19,0),C19)</f>
        <v>3245</v>
      </c>
      <c r="D102" s="2583">
        <f ca="1">IF(D32="楼面单价",ROUND(D19,0),D19)</f>
        <v>2923</v>
      </c>
      <c r="E102" s="3651"/>
      <c r="F102" s="3608"/>
      <c r="G102" s="1824" t="s">
        <v>1433</v>
      </c>
      <c r="H102" s="2552">
        <f ca="1">I118</f>
        <v>31622</v>
      </c>
      <c r="I102" s="129"/>
    </row>
    <row r="103" spans="1:35" ht="42.75" customHeight="1">
      <c r="A103" s="3610"/>
      <c r="B103" s="2581" t="s">
        <v>1433</v>
      </c>
      <c r="C103" s="2584">
        <f ca="1">C20</f>
        <v>33274</v>
      </c>
      <c r="D103" s="2585">
        <f ca="1">D20</f>
        <v>29969</v>
      </c>
      <c r="E103" s="3645" t="s">
        <v>1434</v>
      </c>
      <c r="F103" s="3646"/>
      <c r="G103" s="1825" t="s">
        <v>1435</v>
      </c>
      <c r="H103" s="2592">
        <f>IF(D36="正常操作",H104+H105+H106,H105+H106)</f>
        <v>0</v>
      </c>
      <c r="I103" s="129"/>
    </row>
    <row r="104" spans="1:35" ht="18.75" customHeight="1">
      <c r="A104" s="3610" t="s">
        <v>1436</v>
      </c>
      <c r="B104" s="2586" t="s">
        <v>1431</v>
      </c>
      <c r="C104" s="2587">
        <f ca="1">H118</f>
        <v>3084</v>
      </c>
      <c r="D104" s="2588"/>
      <c r="E104" s="1671" t="s">
        <v>1437</v>
      </c>
      <c r="F104" s="1663"/>
      <c r="G104" s="1825" t="s">
        <v>1435</v>
      </c>
      <c r="H104" s="2593">
        <f>IF(D36="同一抵押权人同一抵押物续贷",C36&amp;"（续贷，未扣减，详见特别提示）",C36)</f>
        <v>0</v>
      </c>
      <c r="I104" s="129"/>
    </row>
    <row r="105" spans="1:35" ht="18.75" customHeight="1" thickBot="1">
      <c r="A105" s="3611"/>
      <c r="B105" s="2589" t="s">
        <v>1433</v>
      </c>
      <c r="C105" s="2590">
        <f ca="1">I118</f>
        <v>31622</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07" t="str">
        <f>IF(项目基本情况!E8="已注销","——","3.房地产抵押价值")</f>
        <v>3.房地产抵押价值</v>
      </c>
      <c r="F107" s="3608"/>
      <c r="G107" s="1824" t="s">
        <v>1431</v>
      </c>
      <c r="H107" s="2592">
        <f ca="1">IF(E107="——","——",H101-H103)</f>
        <v>3084</v>
      </c>
      <c r="I107" s="129"/>
    </row>
    <row r="108" spans="1:35" ht="18.75" customHeight="1">
      <c r="A108" s="129"/>
      <c r="B108" s="129"/>
      <c r="C108" s="129"/>
      <c r="D108" s="129"/>
      <c r="E108" s="3607"/>
      <c r="F108" s="3608"/>
      <c r="G108" s="1824" t="s">
        <v>1433</v>
      </c>
      <c r="H108" s="2552">
        <f ca="1">IF(H107=H101,H102,ROUND(H107*10000/'数据-汇总表'!E3,0))</f>
        <v>31622</v>
      </c>
      <c r="I108" s="129"/>
    </row>
    <row r="109" spans="1:35" ht="18.75" customHeight="1">
      <c r="A109" s="129"/>
      <c r="B109" s="129"/>
      <c r="C109" s="129"/>
      <c r="D109" s="129">
        <f ca="1">ROUND(H108*B118/10000,4)</f>
        <v>3084.3782999999999</v>
      </c>
      <c r="E109" s="3607" t="str">
        <f>IF(项目基本情况!E8="已注销及未注销","4.抵押担保权已注销时的房地产抵押价值",IF(项目基本情况!E8="已注销","3.抵押担保权已注销时的房地产抵押价值","——"))</f>
        <v>——</v>
      </c>
      <c r="F109" s="3608"/>
      <c r="G109" s="1824" t="s">
        <v>1431</v>
      </c>
      <c r="H109" s="2595" t="str">
        <f>IF(E109="——","——",H101-H105-H106)</f>
        <v>——</v>
      </c>
      <c r="I109" s="129"/>
    </row>
    <row r="110" spans="1:35" ht="18.75" customHeight="1">
      <c r="A110" s="129"/>
      <c r="B110" s="129"/>
      <c r="C110" s="129"/>
      <c r="D110" s="129"/>
      <c r="E110" s="3607"/>
      <c r="F110" s="3608"/>
      <c r="G110" s="1824" t="s">
        <v>1433</v>
      </c>
      <c r="H110" s="2552"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4" t="s">
        <v>1431</v>
      </c>
      <c r="H111" s="2592" t="str">
        <f>IF(E111="——","——",N59)</f>
        <v>——</v>
      </c>
      <c r="I111" s="129"/>
    </row>
    <row r="112" spans="1:35" ht="18.75" customHeight="1" thickBot="1">
      <c r="A112" s="129"/>
      <c r="B112" s="129"/>
      <c r="C112" s="129"/>
      <c r="D112" s="129"/>
      <c r="E112" s="3640"/>
      <c r="F112" s="3641"/>
      <c r="G112" s="1827" t="s">
        <v>1433</v>
      </c>
      <c r="H112" s="2596" t="str">
        <f>IF(E111="——","——",N61)</f>
        <v>——</v>
      </c>
      <c r="I112" s="129"/>
    </row>
    <row r="113" spans="1:27" ht="18.75" customHeight="1">
      <c r="A113" s="129"/>
      <c r="B113" s="129"/>
      <c r="C113" s="129"/>
      <c r="D113" s="129"/>
      <c r="E113" s="3612" t="s">
        <v>1439</v>
      </c>
      <c r="F113" s="3612"/>
      <c r="G113" s="3612"/>
      <c r="H113" s="3612"/>
      <c r="I113" s="129"/>
    </row>
    <row r="114" spans="1:27" ht="3.75" customHeight="1">
      <c r="A114" s="1744"/>
      <c r="B114" s="1744"/>
      <c r="C114" s="1744"/>
      <c r="D114" s="1744"/>
      <c r="E114" s="1806"/>
      <c r="F114" s="1806"/>
      <c r="G114" s="1806"/>
      <c r="H114" s="1806"/>
      <c r="I114" s="1744"/>
    </row>
    <row r="115" spans="1:27" ht="18.75" customHeight="1">
      <c r="A115" s="3622" t="s">
        <v>1441</v>
      </c>
      <c r="B115" s="3623"/>
      <c r="C115" s="3623"/>
      <c r="D115" s="3623"/>
      <c r="E115" s="3623"/>
      <c r="F115" s="3623"/>
      <c r="G115" s="3623"/>
      <c r="H115" s="3623"/>
      <c r="I115" s="3624"/>
    </row>
    <row r="116" spans="1:27" ht="27" customHeight="1">
      <c r="A116" s="3578" t="s">
        <v>1442</v>
      </c>
      <c r="B116" s="3613" t="s">
        <v>1443</v>
      </c>
      <c r="C116" s="3613" t="s">
        <v>1444</v>
      </c>
      <c r="D116" s="3626" t="s">
        <v>1445</v>
      </c>
      <c r="E116" s="3627"/>
      <c r="F116" s="3621" t="s">
        <v>1446</v>
      </c>
      <c r="G116" s="3621"/>
      <c r="H116" s="3578" t="s">
        <v>1447</v>
      </c>
      <c r="I116" s="3578"/>
    </row>
    <row r="117" spans="1:27" ht="18.75" customHeight="1">
      <c r="A117" s="3578"/>
      <c r="B117" s="3614"/>
      <c r="C117" s="361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975.39</v>
      </c>
      <c r="C118" s="2326">
        <f>M19</f>
        <v>0</v>
      </c>
      <c r="D118" s="2326">
        <f ca="1">ROUND(IF(D32="总价",C34,E118*B118/10000),0)</f>
        <v>2551</v>
      </c>
      <c r="E118" s="2326">
        <f ca="1">ROUND(IF(C33="自定义",IF(D32="楼面单价",C34,D118*10000/B118),I118-G118),0)</f>
        <v>26151</v>
      </c>
      <c r="F118" s="2326">
        <f ca="1">ROUND(IF(D32="总价",C35,G118*B118/10000),0)</f>
        <v>534</v>
      </c>
      <c r="G118" s="2326">
        <f ca="1">ROUND(IF(D32="楼面单价",C35,F118*10000/B118),0)</f>
        <v>5471</v>
      </c>
      <c r="H118" s="2326">
        <f ca="1">ROUND(IF(D32="总价",C32,I118*B118/10000),0)</f>
        <v>3084</v>
      </c>
      <c r="I118" s="2326">
        <f ca="1">ROUND(IF(D32="楼面单价",C32,H118*10000/B118),0)</f>
        <v>31622</v>
      </c>
    </row>
    <row r="119" spans="1:27" ht="18.75" customHeight="1">
      <c r="A119" s="3578" t="s">
        <v>1451</v>
      </c>
      <c r="B119" s="3578"/>
      <c r="C119" s="3578"/>
      <c r="D119" s="3618" t="str">
        <f ca="1">NUMBERSTRING(INT(D118*10000),2)&amp;"元整"</f>
        <v>贰仟伍佰伍拾壹万元整</v>
      </c>
      <c r="E119" s="3620"/>
      <c r="F119" s="3618" t="str">
        <f ca="1">NUMBERSTRING(INT(F118*10000),2)&amp;"元整"</f>
        <v>伍佰叁拾肆万元整</v>
      </c>
      <c r="G119" s="3620"/>
      <c r="H119" s="3618" t="str">
        <f ca="1">NUMBERSTRING(INT(H118*10000),2)&amp;"元整"</f>
        <v>叁仟零捌拾肆万元整</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8" t="s">
        <v>1451</v>
      </c>
      <c r="B121" s="3619"/>
      <c r="C121" s="3620"/>
      <c r="D121" s="3618" t="str">
        <f>IF(D120=0,"零元整",NUMBERSTRING(INT(D120*10000),2)&amp;"元整")</f>
        <v>零元整</v>
      </c>
      <c r="E121" s="3619"/>
      <c r="F121" s="3619"/>
      <c r="G121" s="3619"/>
      <c r="H121" s="3619"/>
      <c r="I121" s="3620"/>
      <c r="AA121" s="723"/>
    </row>
    <row r="122" spans="1:27" ht="18.75" customHeight="1">
      <c r="A122" s="3609" t="str">
        <f>IF(项目基本情况!B9="房地产市场价值","",MID(E107,3,LEN(E107)-2))</f>
        <v>房地产抵押价值</v>
      </c>
      <c r="B122" s="3609"/>
      <c r="C122" s="3609"/>
      <c r="D122" s="3642">
        <f ca="1">H107</f>
        <v>3084</v>
      </c>
      <c r="E122" s="3643"/>
      <c r="F122" s="3643"/>
      <c r="G122" s="3643"/>
      <c r="H122" s="3643"/>
      <c r="I122" s="3644"/>
      <c r="AA122" s="723"/>
    </row>
    <row r="123" spans="1:27" ht="18.75" customHeight="1">
      <c r="A123" s="3578" t="s">
        <v>1451</v>
      </c>
      <c r="B123" s="3578"/>
      <c r="C123" s="3578"/>
      <c r="D123" s="3618" t="str">
        <f ca="1">NUMBERSTRING(INT(D122*10000),2)&amp;"元整"</f>
        <v>叁仟零捌拾肆万元整</v>
      </c>
      <c r="E123" s="3619"/>
      <c r="F123" s="3619"/>
      <c r="G123" s="3619"/>
      <c r="H123" s="3619"/>
      <c r="I123" s="3620"/>
      <c r="AA123" s="723"/>
    </row>
    <row r="124" spans="1:27" ht="18.75" customHeight="1">
      <c r="A124" s="3609" t="str">
        <f>IF(项目基本情况!B9="房地产市场价值","",MID(E109,3,LEN(E109)-2))</f>
        <v/>
      </c>
      <c r="B124" s="3609"/>
      <c r="C124" s="3609"/>
      <c r="D124" s="3642" t="str">
        <f>H109</f>
        <v>——</v>
      </c>
      <c r="E124" s="3643"/>
      <c r="F124" s="3643"/>
      <c r="G124" s="3643"/>
      <c r="H124" s="3643"/>
      <c r="I124" s="3644"/>
      <c r="AA124" s="723"/>
    </row>
    <row r="125" spans="1:27" ht="18.75" customHeight="1">
      <c r="A125" s="3578" t="s">
        <v>1451</v>
      </c>
      <c r="B125" s="3578"/>
      <c r="C125" s="3578"/>
      <c r="D125" s="3618" t="e">
        <f>NUMBERSTRING(INT(D124*10000),2)&amp;"元整"</f>
        <v>#VALUE!</v>
      </c>
      <c r="E125" s="3619"/>
      <c r="F125" s="3619"/>
      <c r="G125" s="3619"/>
      <c r="H125" s="3619"/>
      <c r="I125" s="3620"/>
      <c r="AA125" s="723"/>
    </row>
    <row r="126" spans="1:27" ht="18.75" customHeight="1">
      <c r="A126" s="3609" t="str">
        <f>IF(项目基本情况!B9="房地产市场价值","",MID(E111,3,LEN(E111)-2))</f>
        <v/>
      </c>
      <c r="B126" s="3609"/>
      <c r="C126" s="3609"/>
      <c r="D126" s="3642" t="str">
        <f>H111</f>
        <v>——</v>
      </c>
      <c r="E126" s="3643"/>
      <c r="F126" s="3643"/>
      <c r="G126" s="3643"/>
      <c r="H126" s="3643"/>
      <c r="I126" s="3644"/>
      <c r="AA126" s="723"/>
    </row>
    <row r="127" spans="1:27" ht="18.75" customHeight="1">
      <c r="A127" s="3578" t="s">
        <v>1451</v>
      </c>
      <c r="B127" s="3578"/>
      <c r="C127" s="3578"/>
      <c r="D127" s="3618" t="e">
        <f>NUMBERSTRING(INT(D126*10000),2)&amp;"元整"</f>
        <v>#VALUE!</v>
      </c>
      <c r="E127" s="3619"/>
      <c r="F127" s="3619"/>
      <c r="G127" s="3619"/>
      <c r="H127" s="3619"/>
      <c r="I127" s="3620"/>
      <c r="AA127" s="723"/>
    </row>
    <row r="128" spans="1:27" ht="21.75" customHeight="1">
      <c r="A128" s="3625" t="s">
        <v>1452</v>
      </c>
      <c r="B128" s="3625"/>
      <c r="C128" s="3625"/>
      <c r="D128" s="3625"/>
      <c r="E128" s="3625"/>
      <c r="F128" s="3625"/>
      <c r="G128" s="3625"/>
      <c r="H128" s="3625"/>
      <c r="I128" s="3625"/>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X35"/>
  <sheetViews>
    <sheetView topLeftCell="I1" workbookViewId="0">
      <selection activeCell="O8" sqref="O8"/>
    </sheetView>
  </sheetViews>
  <sheetFormatPr defaultRowHeight="13.5"/>
  <cols>
    <col min="2" max="2" width="33.5" customWidth="1"/>
    <col min="3" max="3" width="33.75" customWidth="1"/>
    <col min="19" max="19" width="9.5" bestFit="1" customWidth="1"/>
    <col min="23" max="23" width="9.5" bestFit="1" customWidth="1"/>
  </cols>
  <sheetData>
    <row r="1" spans="4:24">
      <c r="D1" s="3464"/>
      <c r="E1" s="3464"/>
      <c r="F1" s="3464"/>
      <c r="I1" s="3464"/>
      <c r="J1" s="3464"/>
      <c r="K1" s="3464"/>
      <c r="L1" s="3464"/>
      <c r="M1" s="3465"/>
    </row>
    <row r="3" spans="4:24">
      <c r="D3" s="3464"/>
    </row>
    <row r="4" spans="4:24">
      <c r="D4" s="3464"/>
    </row>
    <row r="5" spans="4:24">
      <c r="D5" s="3464"/>
      <c r="V5" s="3464" t="s">
        <v>3490</v>
      </c>
      <c r="W5" s="3464" t="s">
        <v>3491</v>
      </c>
    </row>
    <row r="6" spans="4:24">
      <c r="D6" s="3464"/>
      <c r="M6" s="3464" t="s">
        <v>3456</v>
      </c>
      <c r="N6">
        <f>基准地价修正!U2</f>
        <v>487.7</v>
      </c>
      <c r="O6">
        <v>1</v>
      </c>
      <c r="P6">
        <v>8</v>
      </c>
      <c r="R6">
        <f ca="1">结果表!G20/Sheet1!O8</f>
        <v>39527.398688220383</v>
      </c>
      <c r="S6">
        <f ca="1">ROUND(V6*N6/10000,0)</f>
        <v>1928</v>
      </c>
      <c r="V6" s="3474">
        <f ca="1">ROUND(结果表!G20/Sheet1!O8,0)</f>
        <v>39527</v>
      </c>
      <c r="W6" s="3474">
        <f ca="1">ROUND(V6*N6,0)</f>
        <v>19277318</v>
      </c>
    </row>
    <row r="7" spans="4:24">
      <c r="D7" s="3464"/>
      <c r="E7" s="3464"/>
      <c r="M7" s="3464" t="s">
        <v>3457</v>
      </c>
      <c r="N7">
        <f>基准地价修正!U3</f>
        <v>487.69</v>
      </c>
      <c r="O7">
        <v>0.6</v>
      </c>
      <c r="P7">
        <f>P6*O7</f>
        <v>4.8</v>
      </c>
      <c r="R7">
        <f ca="1">R6*O7</f>
        <v>23716.43921293223</v>
      </c>
      <c r="S7">
        <f ca="1">ROUND(V7*N7/10000,0)</f>
        <v>1157</v>
      </c>
      <c r="V7" s="3474">
        <f ca="1">ROUND(O7*V6,0)</f>
        <v>23716</v>
      </c>
      <c r="W7" s="3474">
        <f ca="1">ROUND(V7*N7,0)</f>
        <v>11566056</v>
      </c>
    </row>
    <row r="8" spans="4:24">
      <c r="D8" s="3464"/>
      <c r="E8" s="3464"/>
      <c r="N8">
        <f>N6+N7</f>
        <v>975.39</v>
      </c>
      <c r="O8">
        <f>(N6*O6+N7*O7)/N8</f>
        <v>0.80000205046186657</v>
      </c>
      <c r="P8">
        <f>ROUND((P6*N6+P7*N7)/N8,2)</f>
        <v>6.4</v>
      </c>
      <c r="R8">
        <f ca="1">结果表!G20</f>
        <v>31622</v>
      </c>
      <c r="S8">
        <f ca="1">SUM(S6:S7)</f>
        <v>3085</v>
      </c>
      <c r="V8" s="3474"/>
      <c r="W8" s="3474">
        <f ca="1">W6+W7</f>
        <v>30843374</v>
      </c>
      <c r="X8">
        <f ca="1">结果表!G19</f>
        <v>3084</v>
      </c>
    </row>
    <row r="9" spans="4:24">
      <c r="D9" s="3464"/>
      <c r="E9" s="3464"/>
      <c r="P9">
        <f>P8/P6</f>
        <v>0.8</v>
      </c>
    </row>
    <row r="10" spans="4:24">
      <c r="D10" s="3464"/>
      <c r="E10" s="3464"/>
      <c r="P10">
        <f>4000000/N8/365</f>
        <v>11.235407487865407</v>
      </c>
    </row>
    <row r="11" spans="4:24">
      <c r="D11" s="3464"/>
      <c r="E11" s="3464"/>
    </row>
    <row r="12" spans="4:24">
      <c r="E12" s="3464"/>
    </row>
    <row r="13" spans="4:24">
      <c r="E13" s="3464"/>
      <c r="P13">
        <f>4400*10000/N8/P9</f>
        <v>56387.701329724521</v>
      </c>
    </row>
    <row r="14" spans="4:24">
      <c r="E14" s="3464"/>
    </row>
    <row r="15" spans="4:24">
      <c r="E15" s="3464"/>
    </row>
    <row r="16" spans="4:24">
      <c r="E16" s="3464"/>
    </row>
    <row r="17" spans="5:9">
      <c r="E17" s="3464"/>
    </row>
    <row r="18" spans="5:9">
      <c r="E18" s="3464"/>
    </row>
    <row r="19" spans="5:9">
      <c r="E19" s="3464"/>
    </row>
    <row r="20" spans="5:9">
      <c r="E20" s="3464"/>
    </row>
    <row r="21" spans="5:9">
      <c r="E21" s="3464"/>
    </row>
    <row r="22" spans="5:9">
      <c r="E22" s="3464"/>
      <c r="I22" s="3468"/>
    </row>
    <row r="23" spans="5:9">
      <c r="E23" s="3464"/>
    </row>
    <row r="24" spans="5:9">
      <c r="E24" s="3464"/>
    </row>
    <row r="25" spans="5:9">
      <c r="E25" s="3464"/>
    </row>
    <row r="26" spans="5:9">
      <c r="E26" s="3464"/>
    </row>
    <row r="27" spans="5:9">
      <c r="E27" s="3464"/>
    </row>
    <row r="28" spans="5:9">
      <c r="E28" s="3464"/>
    </row>
    <row r="29" spans="5:9">
      <c r="E29" s="3464"/>
    </row>
    <row r="30" spans="5:9">
      <c r="E30" s="3464"/>
    </row>
    <row r="31" spans="5:9">
      <c r="E31" s="3464"/>
    </row>
    <row r="32" spans="5:9">
      <c r="E32" s="3464"/>
    </row>
    <row r="33" spans="5:5">
      <c r="E33" s="3464"/>
    </row>
    <row r="34" spans="5:5">
      <c r="E34" s="3464"/>
    </row>
    <row r="35" spans="5:5">
      <c r="E35" s="3464"/>
    </row>
  </sheetData>
  <phoneticPr fontId="1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北京市房地产抵押价值预评估</v>
      </c>
      <c r="C37" s="3475"/>
      <c r="D37" s="3475"/>
      <c r="E37" s="3475"/>
      <c r="F37" s="3475"/>
      <c r="G37" s="3475"/>
      <c r="H37" s="3475"/>
      <c r="I37" s="3475"/>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J13" sqref="J1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23" t="s">
        <v>3397</v>
      </c>
      <c r="F1" s="1876" t="s">
        <v>3398</v>
      </c>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f>IF(E1="项目模式",IF(C2="——",ROUND(C49*D3/10000,0),ROUND(C49*D3/10000,0)-D2),IF(E1="单套模式",IF(C2="——",ROUND(C49*D3/10000,4),ROUND(C49*D3/10000,4)-D2)))</f>
        <v>5467.1584999999995</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1463</v>
      </c>
      <c r="B3" s="558">
        <f>IF(C2="——",C49,ROUND(B2*10000/D3,0))</f>
        <v>56051</v>
      </c>
      <c r="C3" s="354" t="s">
        <v>1767</v>
      </c>
      <c r="D3" s="353">
        <f>IF(D1="",'数据-汇总表'!E3,SUMIF('数据-汇总表'!$C19:$C33,D1,'数据-汇总表'!$E19:$E33))</f>
        <v>975.39</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2" t="s">
        <v>1771</v>
      </c>
      <c r="AC4" s="3674" t="s">
        <v>1772</v>
      </c>
    </row>
    <row r="5" spans="1:29" ht="15">
      <c r="A5" s="358"/>
      <c r="B5" s="359"/>
      <c r="C5" s="3695"/>
      <c r="D5" s="3696"/>
      <c r="E5" s="3702"/>
      <c r="F5" s="3703"/>
      <c r="G5" s="3695"/>
      <c r="H5" s="3696"/>
      <c r="I5" s="3695"/>
      <c r="J5" s="3696"/>
      <c r="K5" s="559"/>
      <c r="L5" s="2712"/>
      <c r="M5" s="2713"/>
      <c r="N5" s="2713"/>
      <c r="O5" s="2713"/>
      <c r="P5" s="3683"/>
      <c r="Q5" s="3684"/>
      <c r="R5" s="3689"/>
      <c r="S5" s="3690"/>
      <c r="T5" s="3689"/>
      <c r="U5" s="3690"/>
      <c r="V5" s="3672"/>
      <c r="W5" s="3672"/>
      <c r="X5" s="1352"/>
      <c r="Y5" s="3689"/>
      <c r="Z5" s="3690"/>
      <c r="AA5" s="3675"/>
      <c r="AB5" s="3672"/>
      <c r="AC5" s="3675"/>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2"/>
      <c r="AC6" s="3676"/>
    </row>
    <row r="7" spans="1:29" s="108" customFormat="1" ht="15.75" thickBot="1">
      <c r="A7" s="362" t="s">
        <v>1678</v>
      </c>
      <c r="B7" s="363"/>
      <c r="C7" s="364">
        <f>'数据-取费表'!B2</f>
        <v>45303</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97" t="s">
        <v>1679</v>
      </c>
      <c r="Q7" s="3699"/>
      <c r="R7" s="699" t="s">
        <v>14</v>
      </c>
      <c r="S7" s="700">
        <f t="shared" ref="S7:S15" si="0">F7</f>
        <v>100</v>
      </c>
      <c r="T7" s="699" t="s">
        <v>14</v>
      </c>
      <c r="U7" s="700">
        <f t="shared" ref="U7:U15" si="1">H7</f>
        <v>100</v>
      </c>
      <c r="V7" s="699" t="s">
        <v>14</v>
      </c>
      <c r="W7" s="700">
        <f t="shared" ref="W7:W15" si="2">J7</f>
        <v>100</v>
      </c>
      <c r="X7" s="701"/>
      <c r="Y7" s="3697" t="s">
        <v>1679</v>
      </c>
      <c r="Z7" s="3698"/>
      <c r="AA7" s="702">
        <f>D7/F7</f>
        <v>1</v>
      </c>
      <c r="AB7" s="702">
        <f>D7/H7</f>
        <v>1</v>
      </c>
      <c r="AC7" s="702">
        <f>D7/J7</f>
        <v>1</v>
      </c>
    </row>
    <row r="8" spans="1:29" s="108" customFormat="1" ht="15.75" thickBot="1">
      <c r="A8" s="362" t="s">
        <v>1680</v>
      </c>
      <c r="B8" s="363"/>
      <c r="C8" s="368" t="s">
        <v>3399</v>
      </c>
      <c r="D8" s="365">
        <v>100</v>
      </c>
      <c r="E8" s="368" t="s">
        <v>3399</v>
      </c>
      <c r="F8" s="367">
        <f>SUMIF(61:61,E8,62:62)-SUMIF(61:61,C8,62:62)+100</f>
        <v>100</v>
      </c>
      <c r="G8" s="368" t="s">
        <v>3401</v>
      </c>
      <c r="H8" s="365">
        <f>SUMIF(61:61,G8,62:62)-SUMIF(61:61,C8,62:62)+100</f>
        <v>103</v>
      </c>
      <c r="I8" s="368" t="s">
        <v>3401</v>
      </c>
      <c r="J8" s="365">
        <f>SUMIF(61:61,I8,62:62)-SUMIF(61:61,C8,62:62)+100</f>
        <v>103</v>
      </c>
      <c r="K8" s="560"/>
      <c r="L8" s="2714"/>
      <c r="M8" s="2715"/>
      <c r="N8" s="2715"/>
      <c r="O8" s="2715"/>
      <c r="P8" s="3697" t="s">
        <v>1682</v>
      </c>
      <c r="Q8" s="3698"/>
      <c r="R8" s="699" t="s">
        <v>14</v>
      </c>
      <c r="S8" s="700">
        <f t="shared" si="0"/>
        <v>100</v>
      </c>
      <c r="T8" s="699" t="s">
        <v>14</v>
      </c>
      <c r="U8" s="700">
        <f t="shared" si="1"/>
        <v>103</v>
      </c>
      <c r="V8" s="699" t="s">
        <v>14</v>
      </c>
      <c r="W8" s="700">
        <f t="shared" si="2"/>
        <v>103</v>
      </c>
      <c r="X8" s="701"/>
      <c r="Y8" s="3697" t="s">
        <v>1682</v>
      </c>
      <c r="Z8" s="3698"/>
      <c r="AA8" s="702">
        <f t="shared" ref="AA8:AA46" si="3">D8/F8</f>
        <v>1</v>
      </c>
      <c r="AB8" s="702">
        <f t="shared" ref="AB8:AB46" si="4">D8/H8</f>
        <v>0.970873786407767</v>
      </c>
      <c r="AC8" s="702">
        <f t="shared" ref="AC8:AC46" si="5">D8/J8</f>
        <v>0.970873786407767</v>
      </c>
    </row>
    <row r="9" spans="1:29" s="108" customFormat="1">
      <c r="A9" s="369" t="s">
        <v>1683</v>
      </c>
      <c r="B9" s="63" t="s">
        <v>1684</v>
      </c>
      <c r="C9" s="3446" t="s">
        <v>3437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3"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3"/>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3"/>
      <c r="Q11" s="1340" t="str">
        <f t="shared" si="6"/>
        <v>容积率</v>
      </c>
      <c r="R11" s="699" t="s">
        <v>14</v>
      </c>
      <c r="S11" s="700">
        <f t="shared" si="0"/>
        <v>100</v>
      </c>
      <c r="T11" s="699" t="s">
        <v>14</v>
      </c>
      <c r="U11" s="700">
        <f t="shared" si="1"/>
        <v>100</v>
      </c>
      <c r="V11" s="699" t="s">
        <v>14</v>
      </c>
      <c r="W11" s="700">
        <f t="shared" si="2"/>
        <v>100</v>
      </c>
      <c r="X11" s="701"/>
      <c r="Y11" s="3565"/>
      <c r="Z11" s="52" t="str">
        <f t="shared" si="7"/>
        <v>容积率</v>
      </c>
      <c r="AA11" s="702">
        <f t="shared" si="3"/>
        <v>1</v>
      </c>
      <c r="AB11" s="702">
        <f t="shared" si="4"/>
        <v>1</v>
      </c>
      <c r="AC11" s="702">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3"/>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3"/>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3"/>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702">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63" t="s">
        <v>1690</v>
      </c>
      <c r="Q15" s="1349" t="str">
        <f t="shared" si="6"/>
        <v>商业繁华度</v>
      </c>
      <c r="R15" s="703" t="s">
        <v>14</v>
      </c>
      <c r="S15" s="704">
        <f t="shared" si="0"/>
        <v>100</v>
      </c>
      <c r="T15" s="703" t="s">
        <v>14</v>
      </c>
      <c r="U15" s="704">
        <f t="shared" si="1"/>
        <v>100</v>
      </c>
      <c r="V15" s="703" t="s">
        <v>14</v>
      </c>
      <c r="W15" s="704">
        <f t="shared" si="2"/>
        <v>100</v>
      </c>
      <c r="X15" s="1352"/>
      <c r="Y15" s="3665" t="s">
        <v>1690</v>
      </c>
      <c r="Z15" s="1353" t="str">
        <f t="shared" si="7"/>
        <v>商业繁华度</v>
      </c>
      <c r="AA15" s="1350">
        <f t="shared" si="3"/>
        <v>1</v>
      </c>
      <c r="AB15" s="1350">
        <f t="shared" si="4"/>
        <v>1</v>
      </c>
      <c r="AC15" s="1350">
        <f t="shared" si="5"/>
        <v>1</v>
      </c>
    </row>
    <row r="16" spans="1:29" ht="15">
      <c r="A16" s="379"/>
      <c r="B16" s="397"/>
      <c r="C16" s="398" t="s">
        <v>3427</v>
      </c>
      <c r="D16" s="399"/>
      <c r="E16" s="398" t="s">
        <v>3427</v>
      </c>
      <c r="F16" s="400"/>
      <c r="G16" s="398" t="s">
        <v>3427</v>
      </c>
      <c r="H16" s="401"/>
      <c r="I16" s="398" t="s">
        <v>3427</v>
      </c>
      <c r="J16" s="399"/>
      <c r="K16" s="564"/>
      <c r="L16" s="2719"/>
      <c r="M16" s="2713"/>
      <c r="N16" s="2713"/>
      <c r="O16" s="2713"/>
      <c r="P16" s="3664"/>
      <c r="Q16" s="1349"/>
      <c r="R16" s="703"/>
      <c r="S16" s="704"/>
      <c r="T16" s="703"/>
      <c r="U16" s="704"/>
      <c r="V16" s="703"/>
      <c r="W16" s="704"/>
      <c r="X16" s="1352"/>
      <c r="Y16" s="3666"/>
      <c r="Z16" s="1353"/>
      <c r="AA16" s="1350">
        <v>1</v>
      </c>
      <c r="AB16" s="1350">
        <v>1</v>
      </c>
      <c r="AC16" s="1350">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64"/>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350">
        <f t="shared" si="5"/>
        <v>1</v>
      </c>
    </row>
    <row r="18" spans="1:29" ht="15">
      <c r="A18" s="379"/>
      <c r="B18" s="407"/>
      <c r="C18" s="398" t="s">
        <v>3427</v>
      </c>
      <c r="D18" s="401"/>
      <c r="E18" s="398" t="s">
        <v>3427</v>
      </c>
      <c r="F18" s="404"/>
      <c r="G18" s="398" t="s">
        <v>3427</v>
      </c>
      <c r="H18" s="399"/>
      <c r="I18" s="398" t="s">
        <v>3427</v>
      </c>
      <c r="J18" s="399"/>
      <c r="K18" s="564"/>
      <c r="L18" s="2719"/>
      <c r="M18" s="2713"/>
      <c r="N18" s="2713"/>
      <c r="O18" s="2713"/>
      <c r="P18" s="3664"/>
      <c r="Q18" s="1349"/>
      <c r="R18" s="703"/>
      <c r="S18" s="704"/>
      <c r="T18" s="703"/>
      <c r="U18" s="704"/>
      <c r="V18" s="703"/>
      <c r="W18" s="704"/>
      <c r="X18" s="1352"/>
      <c r="Y18" s="3666"/>
      <c r="Z18" s="1353"/>
      <c r="AA18" s="1350">
        <v>1</v>
      </c>
      <c r="AB18" s="1350">
        <v>1</v>
      </c>
      <c r="AC18" s="1350">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64"/>
      <c r="Q19" s="1349" t="str">
        <f>B19</f>
        <v>公共配套设施</v>
      </c>
      <c r="R19" s="703" t="s">
        <v>14</v>
      </c>
      <c r="S19" s="704">
        <f>F19</f>
        <v>100</v>
      </c>
      <c r="T19" s="703" t="s">
        <v>14</v>
      </c>
      <c r="U19" s="704">
        <f>H19</f>
        <v>100</v>
      </c>
      <c r="V19" s="703" t="s">
        <v>14</v>
      </c>
      <c r="W19" s="704">
        <f>J19</f>
        <v>100</v>
      </c>
      <c r="X19" s="1352"/>
      <c r="Y19" s="3666"/>
      <c r="Z19" s="1353" t="str">
        <f>Q19</f>
        <v>公共配套设施</v>
      </c>
      <c r="AA19" s="1350">
        <f t="shared" si="3"/>
        <v>1</v>
      </c>
      <c r="AB19" s="1350">
        <f t="shared" si="4"/>
        <v>1</v>
      </c>
      <c r="AC19" s="1350">
        <f t="shared" si="5"/>
        <v>1</v>
      </c>
    </row>
    <row r="20" spans="1:29" ht="15">
      <c r="A20" s="379"/>
      <c r="B20" s="407"/>
      <c r="C20" s="398" t="s">
        <v>3427</v>
      </c>
      <c r="D20" s="399"/>
      <c r="E20" s="398" t="s">
        <v>3427</v>
      </c>
      <c r="F20" s="400"/>
      <c r="G20" s="398" t="s">
        <v>3427</v>
      </c>
      <c r="H20" s="399"/>
      <c r="I20" s="398" t="s">
        <v>3427</v>
      </c>
      <c r="J20" s="399"/>
      <c r="K20" s="564"/>
      <c r="L20" s="2719"/>
      <c r="M20" s="2713"/>
      <c r="N20" s="2713"/>
      <c r="O20" s="2713"/>
      <c r="P20" s="3664"/>
      <c r="Q20" s="1349"/>
      <c r="R20" s="703"/>
      <c r="S20" s="704"/>
      <c r="T20" s="703"/>
      <c r="U20" s="704"/>
      <c r="V20" s="703"/>
      <c r="W20" s="704"/>
      <c r="X20" s="1352"/>
      <c r="Y20" s="3666"/>
      <c r="Z20" s="1353"/>
      <c r="AA20" s="1350">
        <v>1</v>
      </c>
      <c r="AB20" s="1350">
        <v>1</v>
      </c>
      <c r="AC20" s="1350">
        <v>1</v>
      </c>
    </row>
    <row r="21" spans="1:29" ht="28.5">
      <c r="A21" s="379"/>
      <c r="B21" s="1128"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64"/>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350">
        <f t="shared" ref="AC21" si="10">D21/J21</f>
        <v>1</v>
      </c>
    </row>
    <row r="22" spans="1:29" ht="15">
      <c r="A22" s="379"/>
      <c r="B22" s="1128"/>
      <c r="C22" s="1898" t="s">
        <v>3428</v>
      </c>
      <c r="D22" s="399"/>
      <c r="E22" s="1898" t="s">
        <v>3428</v>
      </c>
      <c r="F22" s="400"/>
      <c r="G22" s="1898" t="s">
        <v>3428</v>
      </c>
      <c r="H22" s="399"/>
      <c r="I22" s="1898" t="s">
        <v>3428</v>
      </c>
      <c r="J22" s="399"/>
      <c r="K22" s="1127"/>
      <c r="L22" s="2719"/>
      <c r="M22" s="2713"/>
      <c r="N22" s="2713"/>
      <c r="O22" s="2713"/>
      <c r="P22" s="3664"/>
      <c r="Q22" s="1349"/>
      <c r="R22" s="703"/>
      <c r="S22" s="704"/>
      <c r="T22" s="703"/>
      <c r="U22" s="704"/>
      <c r="V22" s="703"/>
      <c r="W22" s="704"/>
      <c r="X22" s="1352"/>
      <c r="Y22" s="3666"/>
      <c r="Z22" s="1353"/>
      <c r="AA22" s="1350">
        <v>1</v>
      </c>
      <c r="AB22" s="1350">
        <v>1</v>
      </c>
      <c r="AC22" s="1350">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64"/>
      <c r="Q23" s="1349" t="str">
        <f>B23</f>
        <v>自然及人文环境</v>
      </c>
      <c r="R23" s="703" t="s">
        <v>14</v>
      </c>
      <c r="S23" s="704">
        <f>F23</f>
        <v>100</v>
      </c>
      <c r="T23" s="703" t="s">
        <v>14</v>
      </c>
      <c r="U23" s="704">
        <f>H23</f>
        <v>100</v>
      </c>
      <c r="V23" s="703" t="s">
        <v>14</v>
      </c>
      <c r="W23" s="704">
        <f>J23</f>
        <v>100</v>
      </c>
      <c r="X23" s="1352"/>
      <c r="Y23" s="3666"/>
      <c r="Z23" s="1353" t="str">
        <f>Q23</f>
        <v>自然及人文环境</v>
      </c>
      <c r="AA23" s="1350">
        <f t="shared" si="3"/>
        <v>1</v>
      </c>
      <c r="AB23" s="1350">
        <f t="shared" si="4"/>
        <v>1</v>
      </c>
      <c r="AC23" s="1350">
        <f t="shared" si="5"/>
        <v>1</v>
      </c>
    </row>
    <row r="24" spans="1:29" ht="15">
      <c r="A24" s="379"/>
      <c r="B24" s="407"/>
      <c r="C24" s="398" t="s">
        <v>3427</v>
      </c>
      <c r="D24" s="399"/>
      <c r="E24" s="398" t="s">
        <v>3427</v>
      </c>
      <c r="F24" s="400"/>
      <c r="G24" s="398" t="s">
        <v>3427</v>
      </c>
      <c r="H24" s="399"/>
      <c r="I24" s="398" t="s">
        <v>3427</v>
      </c>
      <c r="J24" s="399"/>
      <c r="K24" s="564"/>
      <c r="L24" s="2719"/>
      <c r="M24" s="2713"/>
      <c r="N24" s="2713"/>
      <c r="O24" s="2713"/>
      <c r="P24" s="3664"/>
      <c r="Q24" s="1349"/>
      <c r="R24" s="703"/>
      <c r="S24" s="704"/>
      <c r="T24" s="703"/>
      <c r="U24" s="704"/>
      <c r="V24" s="703"/>
      <c r="W24" s="704"/>
      <c r="X24" s="1352"/>
      <c r="Y24" s="3666"/>
      <c r="Z24" s="1353"/>
      <c r="AA24" s="1350">
        <v>1</v>
      </c>
      <c r="AB24" s="1350">
        <v>1</v>
      </c>
      <c r="AC24" s="1350">
        <v>1</v>
      </c>
    </row>
    <row r="25" spans="1:29" ht="15">
      <c r="A25" s="379"/>
      <c r="B25" s="3473" t="s">
        <v>3483</v>
      </c>
      <c r="C25" s="565" t="s">
        <v>3486</v>
      </c>
      <c r="D25" s="386">
        <v>100</v>
      </c>
      <c r="E25" s="565" t="s">
        <v>3486</v>
      </c>
      <c r="F25" s="412">
        <f>SUMIF(86:86,E25,87:87)-SUMIF(86:86,C25,87:87)+100</f>
        <v>100</v>
      </c>
      <c r="G25" s="565" t="s">
        <v>3484</v>
      </c>
      <c r="H25" s="386">
        <f>SUMIF(86:86,G25,87:87)-SUMIF(86:86,C25,87:87)+100</f>
        <v>101</v>
      </c>
      <c r="I25" s="565" t="s">
        <v>3488</v>
      </c>
      <c r="J25" s="386">
        <f>SUMIF(86:86,I25,87:87)-SUMIF(86:86,C25,87:87)+100</f>
        <v>99</v>
      </c>
      <c r="K25" s="561">
        <v>1</v>
      </c>
      <c r="L25" s="2719"/>
      <c r="M25" s="2713"/>
      <c r="N25" s="2713"/>
      <c r="O25" s="2713"/>
      <c r="P25" s="3664"/>
      <c r="Q25" s="1349" t="str">
        <f t="shared" ref="Q25:Q46" si="11">B25</f>
        <v>临街状况</v>
      </c>
      <c r="R25" s="703" t="s">
        <v>14</v>
      </c>
      <c r="S25" s="704">
        <f>F25</f>
        <v>100</v>
      </c>
      <c r="T25" s="703" t="s">
        <v>14</v>
      </c>
      <c r="U25" s="704">
        <f>H25</f>
        <v>101</v>
      </c>
      <c r="V25" s="703" t="s">
        <v>14</v>
      </c>
      <c r="W25" s="704">
        <f>J25</f>
        <v>99</v>
      </c>
      <c r="X25" s="1352"/>
      <c r="Y25" s="3666"/>
      <c r="Z25" s="1353" t="str">
        <f>Q25</f>
        <v>临街状况</v>
      </c>
      <c r="AA25" s="1350">
        <f t="shared" si="3"/>
        <v>1</v>
      </c>
      <c r="AB25" s="1350">
        <f t="shared" si="4"/>
        <v>0.99009900990099009</v>
      </c>
      <c r="AC25" s="1350">
        <f t="shared" si="5"/>
        <v>1.0101010101010102</v>
      </c>
    </row>
    <row r="26" spans="1:29" ht="15">
      <c r="A26" s="379"/>
      <c r="B26" s="1130" t="s">
        <v>1780</v>
      </c>
      <c r="C26" s="3452" t="s">
        <v>3443</v>
      </c>
      <c r="D26" s="386">
        <v>100</v>
      </c>
      <c r="E26" s="3452" t="s">
        <v>3465</v>
      </c>
      <c r="F26" s="412">
        <f>SUMIF(88:88,E26,89:89)-SUMIF(88:88,C26,89:89)+100</f>
        <v>100</v>
      </c>
      <c r="G26" s="3452" t="s">
        <v>3443</v>
      </c>
      <c r="H26" s="386">
        <f>SUMIF(88:88,G26,89:89)-SUMIF(88:88,C26,89:89)+100</f>
        <v>100</v>
      </c>
      <c r="I26" s="3452" t="s">
        <v>3443</v>
      </c>
      <c r="J26" s="386">
        <f>SUMIF(88:88,I26,89:89)-SUMIF(88:88,C26,89:89)+100</f>
        <v>100</v>
      </c>
      <c r="K26" s="562"/>
      <c r="L26" s="2719"/>
      <c r="M26" s="2713"/>
      <c r="N26" s="2713"/>
      <c r="O26" s="2713"/>
      <c r="P26" s="3664"/>
      <c r="Q26" s="1349" t="str">
        <f t="shared" si="11"/>
        <v>平面位置/可视性</v>
      </c>
      <c r="R26" s="703" t="s">
        <v>14</v>
      </c>
      <c r="S26" s="704">
        <f>F26</f>
        <v>100</v>
      </c>
      <c r="T26" s="703" t="s">
        <v>14</v>
      </c>
      <c r="U26" s="704">
        <f>H26</f>
        <v>100</v>
      </c>
      <c r="V26" s="703" t="s">
        <v>14</v>
      </c>
      <c r="W26" s="704">
        <f>J26</f>
        <v>100</v>
      </c>
      <c r="X26" s="1352"/>
      <c r="Y26" s="3666"/>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64"/>
      <c r="Q27" s="1340" t="str">
        <f t="shared" si="11"/>
        <v>人流量</v>
      </c>
      <c r="R27" s="699" t="s">
        <v>14</v>
      </c>
      <c r="S27" s="700">
        <f>F27</f>
        <v>100</v>
      </c>
      <c r="T27" s="699" t="s">
        <v>14</v>
      </c>
      <c r="U27" s="700">
        <f>H27</f>
        <v>100</v>
      </c>
      <c r="V27" s="699" t="s">
        <v>14</v>
      </c>
      <c r="W27" s="700">
        <f>J27</f>
        <v>100</v>
      </c>
      <c r="X27" s="701"/>
      <c r="Y27" s="3666"/>
      <c r="Z27" s="52" t="str">
        <f>Q27</f>
        <v>人流量</v>
      </c>
      <c r="AA27" s="1350">
        <f>D27/F27</f>
        <v>1</v>
      </c>
      <c r="AB27" s="1350">
        <f>D27/H27</f>
        <v>1</v>
      </c>
      <c r="AC27" s="1350">
        <f>D27/J27</f>
        <v>1</v>
      </c>
    </row>
    <row r="28" spans="1:29" ht="15">
      <c r="A28" s="379"/>
      <c r="B28" s="375" t="s">
        <v>1782</v>
      </c>
      <c r="C28" s="565" t="s">
        <v>3463</v>
      </c>
      <c r="D28" s="386">
        <v>100</v>
      </c>
      <c r="E28" s="565" t="s">
        <v>3438</v>
      </c>
      <c r="F28" s="412">
        <f>SUMIF(92:92,E28,93:93)-SUMIF(92:92,C28,93:93)+100</f>
        <v>115</v>
      </c>
      <c r="G28" s="565" t="s">
        <v>3438</v>
      </c>
      <c r="H28" s="386">
        <f>SUMIF(92:92,G28,93:93)-SUMIF(92:92,C28,93:93)+100</f>
        <v>115</v>
      </c>
      <c r="I28" s="565" t="s">
        <v>3438</v>
      </c>
      <c r="J28" s="386">
        <f>SUMIF(92:92,I28,93:93)-SUMIF(92:92,C28,93:93)+100</f>
        <v>115</v>
      </c>
      <c r="K28" s="562"/>
      <c r="L28" s="2719"/>
      <c r="M28" s="2713"/>
      <c r="N28" s="2713"/>
      <c r="O28" s="2713"/>
      <c r="P28" s="3664"/>
      <c r="Q28" s="1349" t="str">
        <f t="shared" si="11"/>
        <v>楼层</v>
      </c>
      <c r="R28" s="703" t="s">
        <v>14</v>
      </c>
      <c r="S28" s="704">
        <f t="shared" ref="S28:S46" si="12">F28</f>
        <v>115</v>
      </c>
      <c r="T28" s="703" t="s">
        <v>14</v>
      </c>
      <c r="U28" s="704">
        <f t="shared" ref="U28:U46" si="13">H28</f>
        <v>115</v>
      </c>
      <c r="V28" s="703" t="s">
        <v>14</v>
      </c>
      <c r="W28" s="704">
        <f t="shared" ref="W28:W46" si="14">J28</f>
        <v>115</v>
      </c>
      <c r="X28" s="1352"/>
      <c r="Y28" s="3666"/>
      <c r="Z28" s="1353" t="str">
        <f t="shared" ref="Z28:Z46" si="15">Q28</f>
        <v>楼层</v>
      </c>
      <c r="AA28" s="1350">
        <f t="shared" si="3"/>
        <v>0.86956521739130432</v>
      </c>
      <c r="AB28" s="1350">
        <f t="shared" si="4"/>
        <v>0.86956521739130432</v>
      </c>
      <c r="AC28" s="1350">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64"/>
      <c r="Q29" s="1349">
        <f t="shared" si="11"/>
        <v>111</v>
      </c>
      <c r="R29" s="703" t="s">
        <v>14</v>
      </c>
      <c r="S29" s="704">
        <f t="shared" si="12"/>
        <v>100</v>
      </c>
      <c r="T29" s="703" t="s">
        <v>14</v>
      </c>
      <c r="U29" s="704">
        <f t="shared" si="13"/>
        <v>100</v>
      </c>
      <c r="V29" s="703" t="s">
        <v>14</v>
      </c>
      <c r="W29" s="704">
        <f t="shared" si="14"/>
        <v>100</v>
      </c>
      <c r="X29" s="1352"/>
      <c r="Y29" s="3666"/>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64"/>
      <c r="Q30" s="1349">
        <f t="shared" si="11"/>
        <v>111</v>
      </c>
      <c r="R30" s="703" t="s">
        <v>14</v>
      </c>
      <c r="S30" s="704">
        <f t="shared" si="12"/>
        <v>100</v>
      </c>
      <c r="T30" s="703" t="s">
        <v>14</v>
      </c>
      <c r="U30" s="704">
        <f t="shared" si="13"/>
        <v>100</v>
      </c>
      <c r="V30" s="703" t="s">
        <v>14</v>
      </c>
      <c r="W30" s="704">
        <f t="shared" si="14"/>
        <v>100</v>
      </c>
      <c r="X30" s="1352"/>
      <c r="Y30" s="3666"/>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64"/>
      <c r="Q31" s="1349">
        <f t="shared" si="11"/>
        <v>111</v>
      </c>
      <c r="R31" s="703" t="s">
        <v>14</v>
      </c>
      <c r="S31" s="704">
        <f t="shared" si="12"/>
        <v>100</v>
      </c>
      <c r="T31" s="703" t="s">
        <v>14</v>
      </c>
      <c r="U31" s="704">
        <f t="shared" si="13"/>
        <v>100</v>
      </c>
      <c r="V31" s="703" t="s">
        <v>14</v>
      </c>
      <c r="W31" s="704">
        <f t="shared" si="14"/>
        <v>100</v>
      </c>
      <c r="X31" s="1352"/>
      <c r="Y31" s="3666"/>
      <c r="Z31" s="1353">
        <f t="shared" si="15"/>
        <v>111</v>
      </c>
      <c r="AA31" s="1350">
        <f t="shared" si="3"/>
        <v>1</v>
      </c>
      <c r="AB31" s="1350">
        <f t="shared" si="4"/>
        <v>1</v>
      </c>
      <c r="AC31" s="1350">
        <f t="shared" si="5"/>
        <v>1</v>
      </c>
    </row>
    <row r="32" spans="1:29" ht="15">
      <c r="A32" s="391" t="s">
        <v>1693</v>
      </c>
      <c r="B32" s="63" t="s">
        <v>1783</v>
      </c>
      <c r="C32" s="1907" t="s">
        <v>3481</v>
      </c>
      <c r="D32" s="418">
        <v>100</v>
      </c>
      <c r="E32" s="1907" t="s">
        <v>3481</v>
      </c>
      <c r="F32" s="412">
        <f>SUMIF(100:100,E32,101:101)-SUMIF(100:100,C32,101:101)+100</f>
        <v>100</v>
      </c>
      <c r="G32" s="1907" t="s">
        <v>3481</v>
      </c>
      <c r="H32" s="386">
        <f>SUMIF(100:100,G32,101:101)-SUMIF(100:100,C32,101:101)+100</f>
        <v>100</v>
      </c>
      <c r="I32" s="1907" t="s">
        <v>3481</v>
      </c>
      <c r="J32" s="418">
        <f>SUMIF(100:100,I32,101:101)-SUMIF(100:100,C32,101:101)+100</f>
        <v>100</v>
      </c>
      <c r="K32" s="561">
        <v>0</v>
      </c>
      <c r="L32" s="2719"/>
      <c r="M32" s="2713"/>
      <c r="N32" s="2713"/>
      <c r="O32" s="2713"/>
      <c r="P32" s="3667" t="s">
        <v>1695</v>
      </c>
      <c r="Q32" s="1349" t="str">
        <f t="shared" si="11"/>
        <v>商业类型</v>
      </c>
      <c r="R32" s="703" t="s">
        <v>14</v>
      </c>
      <c r="S32" s="704">
        <f t="shared" si="12"/>
        <v>100</v>
      </c>
      <c r="T32" s="703" t="s">
        <v>14</v>
      </c>
      <c r="U32" s="704">
        <f t="shared" si="13"/>
        <v>100</v>
      </c>
      <c r="V32" s="703" t="s">
        <v>14</v>
      </c>
      <c r="W32" s="704">
        <f t="shared" si="14"/>
        <v>100</v>
      </c>
      <c r="X32" s="1352"/>
      <c r="Y32" s="3670" t="s">
        <v>1695</v>
      </c>
      <c r="Z32" s="1353" t="str">
        <f t="shared" si="15"/>
        <v>商业类型</v>
      </c>
      <c r="AA32" s="1350">
        <f t="shared" si="3"/>
        <v>1</v>
      </c>
      <c r="AB32" s="1350">
        <f t="shared" si="4"/>
        <v>1</v>
      </c>
      <c r="AC32" s="1350">
        <f t="shared" si="5"/>
        <v>1</v>
      </c>
    </row>
    <row r="33" spans="1:29" s="422" customFormat="1" ht="15">
      <c r="A33" s="419"/>
      <c r="B33" s="375" t="s">
        <v>1696</v>
      </c>
      <c r="C33" s="420">
        <f>'数据-汇总表'!E19</f>
        <v>975.39</v>
      </c>
      <c r="D33" s="127">
        <v>100</v>
      </c>
      <c r="E33" s="381">
        <v>69.95</v>
      </c>
      <c r="F33" s="376">
        <f>LOOKUP(E33,103:103,104:104)-LOOKUP(C33,103:103,104:104)+100</f>
        <v>105</v>
      </c>
      <c r="G33" s="380">
        <v>65</v>
      </c>
      <c r="H33" s="127">
        <f>LOOKUP(G33,103:103,104:104)-LOOKUP(C33,103:103,104:104)+100</f>
        <v>105</v>
      </c>
      <c r="I33" s="380">
        <v>172</v>
      </c>
      <c r="J33" s="127">
        <f>LOOKUP(I33,103:103,104:104)-LOOKUP(C33,103:103,104:104)+100</f>
        <v>104</v>
      </c>
      <c r="K33" s="562"/>
      <c r="L33" s="2718"/>
      <c r="M33" s="2720"/>
      <c r="N33" s="2720"/>
      <c r="O33" s="2720"/>
      <c r="P33" s="3668"/>
      <c r="Q33" s="705" t="str">
        <f t="shared" si="11"/>
        <v>项目建筑规模</v>
      </c>
      <c r="R33" s="706" t="s">
        <v>14</v>
      </c>
      <c r="S33" s="707">
        <f t="shared" si="12"/>
        <v>105</v>
      </c>
      <c r="T33" s="706" t="s">
        <v>14</v>
      </c>
      <c r="U33" s="707">
        <f t="shared" si="13"/>
        <v>105</v>
      </c>
      <c r="V33" s="706" t="s">
        <v>14</v>
      </c>
      <c r="W33" s="707">
        <f t="shared" si="14"/>
        <v>104</v>
      </c>
      <c r="X33" s="708"/>
      <c r="Y33" s="3670"/>
      <c r="Z33" s="709" t="str">
        <f t="shared" si="15"/>
        <v>项目建筑规模</v>
      </c>
      <c r="AA33" s="1350">
        <f t="shared" si="3"/>
        <v>0.95238095238095233</v>
      </c>
      <c r="AB33" s="1350">
        <f t="shared" si="4"/>
        <v>0.95238095238095233</v>
      </c>
      <c r="AC33" s="1350">
        <f t="shared" si="5"/>
        <v>0.96153846153846156</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68"/>
      <c r="Q34" s="1349" t="str">
        <f t="shared" si="11"/>
        <v>建筑结构</v>
      </c>
      <c r="R34" s="703" t="s">
        <v>14</v>
      </c>
      <c r="S34" s="704">
        <f t="shared" si="12"/>
        <v>100</v>
      </c>
      <c r="T34" s="703" t="s">
        <v>14</v>
      </c>
      <c r="U34" s="704">
        <f t="shared" si="13"/>
        <v>100</v>
      </c>
      <c r="V34" s="703" t="s">
        <v>14</v>
      </c>
      <c r="W34" s="704">
        <f t="shared" si="14"/>
        <v>100</v>
      </c>
      <c r="X34" s="1352"/>
      <c r="Y34" s="3670"/>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68"/>
      <c r="Q35" s="1349" t="str">
        <f t="shared" si="11"/>
        <v>公共部分装修</v>
      </c>
      <c r="R35" s="703" t="s">
        <v>14</v>
      </c>
      <c r="S35" s="704">
        <f t="shared" si="12"/>
        <v>100</v>
      </c>
      <c r="T35" s="703" t="s">
        <v>14</v>
      </c>
      <c r="U35" s="704">
        <f t="shared" si="13"/>
        <v>100</v>
      </c>
      <c r="V35" s="703" t="s">
        <v>14</v>
      </c>
      <c r="W35" s="704">
        <f t="shared" si="14"/>
        <v>100</v>
      </c>
      <c r="X35" s="1352"/>
      <c r="Y35" s="3670"/>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19"/>
      <c r="M36" s="2713"/>
      <c r="N36" s="2713"/>
      <c r="O36" s="2713"/>
      <c r="P36" s="3668"/>
      <c r="Q36" s="1349" t="str">
        <f t="shared" si="11"/>
        <v>成新度</v>
      </c>
      <c r="R36" s="703" t="s">
        <v>14</v>
      </c>
      <c r="S36" s="704">
        <f t="shared" si="12"/>
        <v>100</v>
      </c>
      <c r="T36" s="703" t="s">
        <v>14</v>
      </c>
      <c r="U36" s="704">
        <f t="shared" si="13"/>
        <v>100</v>
      </c>
      <c r="V36" s="703" t="s">
        <v>14</v>
      </c>
      <c r="W36" s="704">
        <f t="shared" si="14"/>
        <v>100</v>
      </c>
      <c r="X36" s="1352"/>
      <c r="Y36" s="3670"/>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68"/>
      <c r="Q37" s="1340" t="str">
        <f t="shared" si="11"/>
        <v>市政基础设施</v>
      </c>
      <c r="R37" s="699" t="s">
        <v>14</v>
      </c>
      <c r="S37" s="700">
        <f t="shared" si="12"/>
        <v>100</v>
      </c>
      <c r="T37" s="699" t="s">
        <v>14</v>
      </c>
      <c r="U37" s="700">
        <f t="shared" si="13"/>
        <v>100</v>
      </c>
      <c r="V37" s="699" t="s">
        <v>14</v>
      </c>
      <c r="W37" s="700">
        <f t="shared" si="14"/>
        <v>100</v>
      </c>
      <c r="X37" s="701"/>
      <c r="Y37" s="3670"/>
      <c r="Z37" s="52" t="str">
        <f t="shared" si="15"/>
        <v>市政基础设施</v>
      </c>
      <c r="AA37" s="702">
        <f t="shared" si="3"/>
        <v>1</v>
      </c>
      <c r="AB37" s="702">
        <f t="shared" si="4"/>
        <v>1</v>
      </c>
      <c r="AC37" s="702">
        <f t="shared" si="5"/>
        <v>1</v>
      </c>
    </row>
    <row r="38" spans="1:29" ht="15">
      <c r="A38" s="423"/>
      <c r="B38" s="375" t="s">
        <v>1787</v>
      </c>
      <c r="C38" s="1903" t="s">
        <v>3471</v>
      </c>
      <c r="D38" s="386">
        <v>100</v>
      </c>
      <c r="E38" s="1903" t="s">
        <v>3469</v>
      </c>
      <c r="F38" s="412">
        <f>SUMIF(114:114,E38,115:115)-SUMIF(114:114,C38,115:115)+100</f>
        <v>102</v>
      </c>
      <c r="G38" s="1903" t="s">
        <v>3469</v>
      </c>
      <c r="H38" s="386">
        <f>SUMIF(114:114,G38,115:115)-SUMIF(114:114,C38,115:115)+100</f>
        <v>102</v>
      </c>
      <c r="I38" s="1903" t="s">
        <v>3469</v>
      </c>
      <c r="J38" s="386">
        <f>SUMIF(114:114,I38,115:115)-SUMIF(114:114,C38,115:115)+100</f>
        <v>102</v>
      </c>
      <c r="K38" s="561">
        <v>2</v>
      </c>
      <c r="L38" s="2719"/>
      <c r="M38" s="2713"/>
      <c r="N38" s="2713"/>
      <c r="O38" s="2713"/>
      <c r="P38" s="3668" t="s">
        <v>1695</v>
      </c>
      <c r="Q38" s="1349" t="str">
        <f t="shared" si="11"/>
        <v>业态</v>
      </c>
      <c r="R38" s="703" t="s">
        <v>14</v>
      </c>
      <c r="S38" s="704">
        <f t="shared" si="12"/>
        <v>102</v>
      </c>
      <c r="T38" s="703" t="s">
        <v>14</v>
      </c>
      <c r="U38" s="704">
        <f t="shared" si="13"/>
        <v>102</v>
      </c>
      <c r="V38" s="703" t="s">
        <v>14</v>
      </c>
      <c r="W38" s="704">
        <f t="shared" si="14"/>
        <v>102</v>
      </c>
      <c r="X38" s="1352"/>
      <c r="Y38" s="3670" t="s">
        <v>1695</v>
      </c>
      <c r="Z38" s="1353" t="str">
        <f t="shared" si="15"/>
        <v>业态</v>
      </c>
      <c r="AA38" s="1350">
        <f t="shared" si="3"/>
        <v>0.98039215686274506</v>
      </c>
      <c r="AB38" s="1350">
        <f t="shared" si="4"/>
        <v>0.98039215686274506</v>
      </c>
      <c r="AC38" s="1350">
        <f t="shared" si="5"/>
        <v>0.98039215686274506</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68"/>
      <c r="Q39" s="1349" t="str">
        <f t="shared" si="11"/>
        <v>层高</v>
      </c>
      <c r="R39" s="703" t="s">
        <v>14</v>
      </c>
      <c r="S39" s="704">
        <f t="shared" si="12"/>
        <v>100</v>
      </c>
      <c r="T39" s="703" t="s">
        <v>14</v>
      </c>
      <c r="U39" s="704">
        <f t="shared" si="13"/>
        <v>100</v>
      </c>
      <c r="V39" s="703" t="s">
        <v>14</v>
      </c>
      <c r="W39" s="704">
        <f t="shared" si="14"/>
        <v>100</v>
      </c>
      <c r="X39" s="1352"/>
      <c r="Y39" s="3670"/>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8"/>
      <c r="Q40" s="1349" t="str">
        <f t="shared" si="11"/>
        <v>单套建筑面积</v>
      </c>
      <c r="R40" s="703" t="s">
        <v>14</v>
      </c>
      <c r="S40" s="704">
        <f t="shared" si="12"/>
        <v>100</v>
      </c>
      <c r="T40" s="703" t="s">
        <v>14</v>
      </c>
      <c r="U40" s="704">
        <f t="shared" si="13"/>
        <v>100</v>
      </c>
      <c r="V40" s="703" t="s">
        <v>14</v>
      </c>
      <c r="W40" s="704">
        <f t="shared" si="14"/>
        <v>100</v>
      </c>
      <c r="X40" s="1352"/>
      <c r="Y40" s="3670"/>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8"/>
      <c r="Q41" s="705" t="str">
        <f t="shared" si="11"/>
        <v>进深比</v>
      </c>
      <c r="R41" s="706" t="s">
        <v>14</v>
      </c>
      <c r="S41" s="707">
        <f t="shared" si="12"/>
        <v>100</v>
      </c>
      <c r="T41" s="706" t="s">
        <v>14</v>
      </c>
      <c r="U41" s="707">
        <f t="shared" si="13"/>
        <v>100</v>
      </c>
      <c r="V41" s="706" t="s">
        <v>14</v>
      </c>
      <c r="W41" s="707">
        <f t="shared" si="14"/>
        <v>100</v>
      </c>
      <c r="X41" s="708"/>
      <c r="Y41" s="3670"/>
      <c r="Z41" s="709" t="str">
        <f t="shared" si="15"/>
        <v>进深比</v>
      </c>
      <c r="AA41" s="1350">
        <f t="shared" si="3"/>
        <v>1</v>
      </c>
      <c r="AB41" s="1350">
        <f t="shared" si="4"/>
        <v>1</v>
      </c>
      <c r="AC41" s="1350">
        <f t="shared" si="5"/>
        <v>1</v>
      </c>
    </row>
    <row r="42" spans="1:29" ht="15">
      <c r="A42" s="423"/>
      <c r="B42" s="375" t="s">
        <v>1791</v>
      </c>
      <c r="C42" s="1903" t="s">
        <v>3473</v>
      </c>
      <c r="D42" s="386">
        <v>100</v>
      </c>
      <c r="E42" s="1903" t="s">
        <v>3473</v>
      </c>
      <c r="F42" s="412">
        <f>SUMIF(122:122,E42,123:123)-SUMIF(122:122,C42,123:123)+100</f>
        <v>100</v>
      </c>
      <c r="G42" s="1903" t="s">
        <v>3473</v>
      </c>
      <c r="H42" s="386">
        <f>SUMIF(122:122,G42,123:123)-SUMIF(122:122,C42,123:123)+100</f>
        <v>100</v>
      </c>
      <c r="I42" s="1903" t="s">
        <v>3473</v>
      </c>
      <c r="J42" s="386">
        <f>SUMIF(122:122,I42,123:123)-SUMIF(122:122,C42,123:123)+100</f>
        <v>100</v>
      </c>
      <c r="K42" s="561"/>
      <c r="L42" s="2719"/>
      <c r="M42" s="2713"/>
      <c r="N42" s="2713"/>
      <c r="O42" s="2713"/>
      <c r="P42" s="3668"/>
      <c r="Q42" s="1349" t="str">
        <f t="shared" si="11"/>
        <v>内部装修</v>
      </c>
      <c r="R42" s="703" t="s">
        <v>14</v>
      </c>
      <c r="S42" s="704">
        <f t="shared" si="12"/>
        <v>100</v>
      </c>
      <c r="T42" s="703" t="s">
        <v>14</v>
      </c>
      <c r="U42" s="704">
        <f t="shared" si="13"/>
        <v>100</v>
      </c>
      <c r="V42" s="703" t="s">
        <v>14</v>
      </c>
      <c r="W42" s="704">
        <f t="shared" si="14"/>
        <v>100</v>
      </c>
      <c r="X42" s="1352"/>
      <c r="Y42" s="3670"/>
      <c r="Z42" s="1353" t="str">
        <f t="shared" si="15"/>
        <v>内部装修</v>
      </c>
      <c r="AA42" s="1350">
        <f t="shared" si="3"/>
        <v>1</v>
      </c>
      <c r="AB42" s="1350">
        <f t="shared" si="4"/>
        <v>1</v>
      </c>
      <c r="AC42" s="1350">
        <f t="shared" si="5"/>
        <v>1</v>
      </c>
    </row>
    <row r="43" spans="1:29" ht="15">
      <c r="A43" s="423"/>
      <c r="B43" s="375" t="s">
        <v>1706</v>
      </c>
      <c r="C43" s="1903" t="s">
        <v>3427</v>
      </c>
      <c r="D43" s="386">
        <v>100</v>
      </c>
      <c r="E43" s="1903" t="s">
        <v>3427</v>
      </c>
      <c r="F43" s="412">
        <f>SUMIF(124:124,E43,125:125)-SUMIF(124:124,C43,125:125)+100</f>
        <v>100</v>
      </c>
      <c r="G43" s="1903" t="s">
        <v>3427</v>
      </c>
      <c r="H43" s="386">
        <f>SUMIF(124:124,G43,125:125)-SUMIF(124:124,C43,125:125)+100</f>
        <v>100</v>
      </c>
      <c r="I43" s="1903" t="s">
        <v>3427</v>
      </c>
      <c r="J43" s="386">
        <f>SUMIF(124:124,I43,125:125)-SUMIF(124:124,C43,125:125)+100</f>
        <v>100</v>
      </c>
      <c r="K43" s="561"/>
      <c r="L43" s="2719"/>
      <c r="M43" s="2713"/>
      <c r="N43" s="2713"/>
      <c r="O43" s="2713"/>
      <c r="P43" s="3668"/>
      <c r="Q43" s="1349" t="str">
        <f t="shared" si="11"/>
        <v>内部装修维护情况</v>
      </c>
      <c r="R43" s="703" t="s">
        <v>14</v>
      </c>
      <c r="S43" s="704">
        <f t="shared" si="12"/>
        <v>100</v>
      </c>
      <c r="T43" s="703" t="s">
        <v>14</v>
      </c>
      <c r="U43" s="704">
        <f t="shared" si="13"/>
        <v>100</v>
      </c>
      <c r="V43" s="703" t="s">
        <v>14</v>
      </c>
      <c r="W43" s="704">
        <f t="shared" si="14"/>
        <v>100</v>
      </c>
      <c r="X43" s="1352"/>
      <c r="Y43" s="3670"/>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8"/>
      <c r="Q44" s="1340">
        <f t="shared" si="11"/>
        <v>111</v>
      </c>
      <c r="R44" s="699" t="s">
        <v>14</v>
      </c>
      <c r="S44" s="700">
        <f t="shared" si="12"/>
        <v>100</v>
      </c>
      <c r="T44" s="699" t="s">
        <v>14</v>
      </c>
      <c r="U44" s="700">
        <f t="shared" si="13"/>
        <v>100</v>
      </c>
      <c r="V44" s="699" t="s">
        <v>14</v>
      </c>
      <c r="W44" s="700">
        <f t="shared" si="14"/>
        <v>100</v>
      </c>
      <c r="X44" s="701"/>
      <c r="Y44" s="3670"/>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8"/>
      <c r="Q45" s="1349">
        <f t="shared" si="11"/>
        <v>111</v>
      </c>
      <c r="R45" s="703" t="s">
        <v>14</v>
      </c>
      <c r="S45" s="704">
        <f t="shared" si="12"/>
        <v>100</v>
      </c>
      <c r="T45" s="703" t="s">
        <v>14</v>
      </c>
      <c r="U45" s="704">
        <f t="shared" si="13"/>
        <v>100</v>
      </c>
      <c r="V45" s="703" t="s">
        <v>14</v>
      </c>
      <c r="W45" s="704">
        <f t="shared" si="14"/>
        <v>100</v>
      </c>
      <c r="X45" s="1352"/>
      <c r="Y45" s="3670"/>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9"/>
      <c r="Q46" s="1349">
        <f t="shared" si="11"/>
        <v>111</v>
      </c>
      <c r="R46" s="703" t="s">
        <v>14</v>
      </c>
      <c r="S46" s="704">
        <f t="shared" si="12"/>
        <v>100</v>
      </c>
      <c r="T46" s="703" t="s">
        <v>14</v>
      </c>
      <c r="U46" s="704">
        <f t="shared" si="13"/>
        <v>100</v>
      </c>
      <c r="V46" s="703" t="s">
        <v>14</v>
      </c>
      <c r="W46" s="704">
        <f t="shared" si="14"/>
        <v>100</v>
      </c>
      <c r="X46" s="1352"/>
      <c r="Y46" s="3671"/>
      <c r="Z46" s="1353">
        <f t="shared" si="15"/>
        <v>111</v>
      </c>
      <c r="AA46" s="1350">
        <f t="shared" si="3"/>
        <v>1</v>
      </c>
      <c r="AB46" s="1350">
        <f t="shared" si="4"/>
        <v>1</v>
      </c>
      <c r="AC46" s="1350">
        <f t="shared" si="5"/>
        <v>1</v>
      </c>
    </row>
    <row r="47" spans="1:29" ht="15">
      <c r="A47" s="430" t="s">
        <v>1707</v>
      </c>
      <c r="B47" s="431"/>
      <c r="C47" s="1151" t="s">
        <v>0</v>
      </c>
      <c r="D47" s="1152"/>
      <c r="E47" s="1153">
        <v>70508</v>
      </c>
      <c r="F47" s="1154"/>
      <c r="G47" s="1155">
        <v>70000</v>
      </c>
      <c r="H47" s="1156"/>
      <c r="I47" s="1153">
        <v>70000</v>
      </c>
      <c r="J47" s="1156"/>
      <c r="K47" s="712"/>
      <c r="L47" s="2721"/>
      <c r="M47" s="2722"/>
      <c r="N47" s="2713"/>
      <c r="O47" s="2722"/>
      <c r="P47" s="3658" t="str">
        <f>A47</f>
        <v>成交单价（元/平方米）</v>
      </c>
      <c r="Q47" s="3658"/>
      <c r="R47" s="3672">
        <f>E47</f>
        <v>70508</v>
      </c>
      <c r="S47" s="3672"/>
      <c r="T47" s="3672">
        <f>G47</f>
        <v>70000</v>
      </c>
      <c r="U47" s="3672"/>
      <c r="V47" s="3672">
        <f>I47</f>
        <v>70000</v>
      </c>
      <c r="W47" s="3672"/>
      <c r="X47" s="688"/>
      <c r="Y47" s="710"/>
      <c r="Z47" s="688"/>
      <c r="AA47" s="688"/>
      <c r="AB47" s="688"/>
      <c r="AC47" s="688"/>
    </row>
    <row r="48" spans="1:29" ht="15.75" thickBot="1">
      <c r="A48" s="437" t="s">
        <v>1792</v>
      </c>
      <c r="B48" s="438"/>
      <c r="C48" s="1157">
        <f>R49</f>
        <v>56051</v>
      </c>
      <c r="D48" s="2314" t="s">
        <v>2136</v>
      </c>
      <c r="E48" s="1158">
        <f>R48</f>
        <v>57247</v>
      </c>
      <c r="F48" s="2315"/>
      <c r="G48" s="1157">
        <f>T48</f>
        <v>54633</v>
      </c>
      <c r="H48" s="2315"/>
      <c r="I48" s="1158">
        <f>V48</f>
        <v>56272</v>
      </c>
      <c r="J48" s="2315"/>
      <c r="K48" s="2317">
        <f>F48+H48+J48</f>
        <v>0</v>
      </c>
      <c r="L48" s="2721"/>
      <c r="M48" s="2722"/>
      <c r="N48" s="2713"/>
      <c r="O48" s="2722"/>
      <c r="P48" s="3658" t="str">
        <f>A48</f>
        <v>比较价值（元/平方米）</v>
      </c>
      <c r="Q48" s="3658"/>
      <c r="R48" s="3659">
        <f>IF(F1="售价",ROUND(PRODUCT(R47,AA7:AA46),0),ROUND(PRODUCT(R47,AA7:AA46),1))</f>
        <v>57247</v>
      </c>
      <c r="S48" s="3659"/>
      <c r="T48" s="3659">
        <f>IF(F1="售价",ROUND(PRODUCT(T47,AB7:AB46),0),ROUND(PRODUCT(T47,AB7:AB46),1))</f>
        <v>54633</v>
      </c>
      <c r="U48" s="3659"/>
      <c r="V48" s="3659">
        <f>IF(F1="售价",ROUND(PRODUCT(V47,AC7:AC46),0),ROUND(PRODUCT(V47,AC7:AC46),1))</f>
        <v>56272</v>
      </c>
      <c r="W48" s="3659"/>
      <c r="X48" s="688"/>
      <c r="Y48" s="688"/>
      <c r="Z48" s="688"/>
      <c r="AA48" s="688"/>
      <c r="AB48" s="688"/>
      <c r="AC48" s="688"/>
    </row>
    <row r="49" spans="1:29" ht="15.75" thickBot="1">
      <c r="A49" s="441" t="s">
        <v>1793</v>
      </c>
      <c r="B49" s="442"/>
      <c r="C49" s="1160">
        <f>R49</f>
        <v>56051</v>
      </c>
      <c r="D49" s="1160"/>
      <c r="E49" s="1160"/>
      <c r="F49" s="1160"/>
      <c r="G49" s="1160"/>
      <c r="H49" s="1160"/>
      <c r="I49" s="1160"/>
      <c r="J49" s="1160"/>
      <c r="K49" s="713"/>
      <c r="L49" s="2721"/>
      <c r="M49" s="2722"/>
      <c r="N49" s="2713"/>
      <c r="O49" s="2722"/>
      <c r="P49" s="3660" t="str">
        <f>A49</f>
        <v>估价对象XX用房的比较价值（楼面单价，元/平方米）</v>
      </c>
      <c r="Q49" s="3661"/>
      <c r="R49" s="3662">
        <f>IF(F1="售价",ROUND(IF(D48="简单平均",AVERAGE(R48:V48),R48*F48+T48*H48+V48*J48),0),ROUND(IF(D48="简单平均",AVERAGE(R48:V48),R48*F48+T48*H48+V48*J48),1))</f>
        <v>56051</v>
      </c>
      <c r="S49" s="3662"/>
      <c r="T49" s="3662"/>
      <c r="U49" s="3662"/>
      <c r="V49" s="3662"/>
      <c r="W49" s="366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0.23164532639264945</v>
      </c>
      <c r="F52" s="449" t="str">
        <f>IF(OR(E52&gt;=0.3,E52&lt;=-0.3),"超过30%","")</f>
        <v/>
      </c>
      <c r="G52" s="448">
        <f>IF(G47&lt;G48,G48/G47-1,G47/G48-1)</f>
        <v>0.28127688393461825</v>
      </c>
      <c r="H52" s="449" t="str">
        <f>IF(OR(G52&gt;=0.3,G52&lt;=-0.3),"超过30%","")</f>
        <v/>
      </c>
      <c r="I52" s="448">
        <f>IF(I47&lt;I48,I48/I47-1,I47/I48-1)</f>
        <v>0.24395791868069372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4.7846539637215635E-2</v>
      </c>
      <c r="F53" s="449" t="str">
        <f>IF(OR(E53&gt;=0.2,E53&lt;=-0.2),"超过20%","")</f>
        <v/>
      </c>
      <c r="G53" s="448">
        <f>IF(G48&lt;I48,I48/G48-1,G48/I48-1)</f>
        <v>3.0000183039554873E-2</v>
      </c>
      <c r="H53" s="449" t="str">
        <f>IF(OR(G53&gt;=0.2,G53&lt;=-0.2),"超过20%","")</f>
        <v/>
      </c>
      <c r="I53" s="448">
        <f>IF(I48&lt;E48,E48/I48-1,I48/E48-1)</f>
        <v>1.7326556724481135E-2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7.2571428571428509E-3</v>
      </c>
      <c r="F54" s="449" t="str">
        <f>IF(OR(E54&gt;=0.3,E54&lt;=-0.3),"超过30%","")</f>
        <v/>
      </c>
      <c r="G54" s="448">
        <f>IF(G47&lt;I47,I47/G47-1,G47/I47-1)</f>
        <v>0</v>
      </c>
      <c r="H54" s="449" t="str">
        <f>IF(OR(G54&gt;=0.3,G54&lt;=-0.3),"超过30%","")</f>
        <v/>
      </c>
      <c r="I54" s="448">
        <f>IF(I47&lt;E47,E47/I47-1,I47/E47-1)</f>
        <v>7.2571428571428509E-3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1678</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47" t="s">
        <v>3444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48" t="s">
        <v>3485</v>
      </c>
      <c r="D86" s="3448" t="s">
        <v>3487</v>
      </c>
      <c r="E86" s="3448" t="s">
        <v>3489</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3433</v>
      </c>
      <c r="D88" s="503" t="s">
        <v>3427</v>
      </c>
      <c r="E88" s="503" t="s">
        <v>3440</v>
      </c>
      <c r="F88" s="1924" t="s">
        <v>3441</v>
      </c>
      <c r="G88" s="503" t="s">
        <v>3442</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48" t="s">
        <v>3462</v>
      </c>
      <c r="D92" s="3448" t="s">
        <v>3464</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49" t="s">
        <v>3482</v>
      </c>
      <c r="D100" s="3449" t="s">
        <v>3439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100(含)-300</v>
      </c>
      <c r="E102" s="527" t="str">
        <f t="shared" si="24"/>
        <v>300(含)-500</v>
      </c>
      <c r="F102" s="527" t="str">
        <f t="shared" si="24"/>
        <v>500(含)-700</v>
      </c>
      <c r="G102" s="527" t="str">
        <f t="shared" si="24"/>
        <v>700(含)-900</v>
      </c>
      <c r="H102" s="527" t="str">
        <f t="shared" si="24"/>
        <v>900(含)-1000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300</v>
      </c>
      <c r="F103" s="544">
        <v>500</v>
      </c>
      <c r="G103" s="544">
        <v>700</v>
      </c>
      <c r="H103" s="544">
        <v>900</v>
      </c>
      <c r="I103" s="544">
        <f t="shared" ref="I103" si="25">H103+100</f>
        <v>1000</v>
      </c>
      <c r="J103" s="544"/>
      <c r="K103" s="544"/>
      <c r="L103" s="544"/>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F104" si="26">D104-1</f>
        <v>98</v>
      </c>
      <c r="F104" s="485">
        <f t="shared" si="26"/>
        <v>97</v>
      </c>
      <c r="G104" s="485">
        <f>F104-1</f>
        <v>96</v>
      </c>
      <c r="H104" s="485">
        <f>G104-1</f>
        <v>95</v>
      </c>
      <c r="I104" s="485">
        <f t="shared" ref="I104" si="27">H104-1</f>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4">
        <f t="shared" si="28"/>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4">
        <f t="shared" si="29"/>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30">D111+$K36</f>
        <v>100</v>
      </c>
      <c r="F111" s="493">
        <f t="shared" si="30"/>
        <v>100</v>
      </c>
      <c r="G111" s="493">
        <f t="shared" si="30"/>
        <v>100</v>
      </c>
      <c r="H111" s="493">
        <f t="shared" si="30"/>
        <v>100</v>
      </c>
      <c r="I111" s="493">
        <f t="shared" si="30"/>
        <v>100</v>
      </c>
      <c r="J111" s="493">
        <f t="shared" si="30"/>
        <v>100</v>
      </c>
      <c r="K111" s="493">
        <f t="shared" si="30"/>
        <v>100</v>
      </c>
      <c r="L111" s="493">
        <f t="shared" si="30"/>
        <v>100</v>
      </c>
      <c r="M111" s="493">
        <f t="shared" si="30"/>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
        <v>3428</v>
      </c>
      <c r="D112" s="503" t="s">
        <v>3466</v>
      </c>
      <c r="E112" s="503" t="s">
        <v>3423</v>
      </c>
      <c r="F112" s="503" t="s">
        <v>3467</v>
      </c>
      <c r="G112" s="503" t="s">
        <v>3468</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1">D113-$K37</f>
        <v>100</v>
      </c>
      <c r="F113" s="493">
        <f t="shared" si="31"/>
        <v>100</v>
      </c>
      <c r="G113" s="493">
        <f t="shared" si="31"/>
        <v>100</v>
      </c>
      <c r="H113" s="493">
        <f t="shared" si="31"/>
        <v>100</v>
      </c>
      <c r="I113" s="493">
        <f t="shared" si="31"/>
        <v>100</v>
      </c>
      <c r="J113" s="493">
        <f t="shared" si="31"/>
        <v>100</v>
      </c>
      <c r="K113" s="493">
        <f t="shared" si="31"/>
        <v>100</v>
      </c>
      <c r="L113" s="493">
        <f t="shared" si="31"/>
        <v>100</v>
      </c>
      <c r="M113" s="493">
        <f t="shared" si="31"/>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48" t="s">
        <v>3470</v>
      </c>
      <c r="D114" s="3448" t="s">
        <v>3472</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4">
        <f t="shared" si="32"/>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3">D121-$K41</f>
        <v>100</v>
      </c>
      <c r="F121" s="493">
        <f t="shared" si="33"/>
        <v>100</v>
      </c>
      <c r="G121" s="493">
        <f t="shared" si="33"/>
        <v>100</v>
      </c>
      <c r="H121" s="493">
        <f t="shared" si="33"/>
        <v>100</v>
      </c>
      <c r="I121" s="493">
        <f t="shared" si="33"/>
        <v>100</v>
      </c>
      <c r="J121" s="493">
        <f t="shared" si="33"/>
        <v>100</v>
      </c>
      <c r="K121" s="493">
        <f t="shared" si="33"/>
        <v>100</v>
      </c>
      <c r="L121" s="493">
        <f t="shared" si="33"/>
        <v>100</v>
      </c>
      <c r="M121" s="494">
        <f t="shared" si="33"/>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48" t="s">
        <v>3474</v>
      </c>
      <c r="D122" s="3448" t="s">
        <v>3475</v>
      </c>
      <c r="E122" s="3448" t="s">
        <v>3476</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4">
        <f t="shared" si="34"/>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M44" sqref="M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3246</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33279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1911</v>
      </c>
      <c r="D5" s="211" t="s">
        <v>1468</v>
      </c>
      <c r="E5" s="212" t="s">
        <v>1469</v>
      </c>
      <c r="F5" s="212" t="s">
        <v>1470</v>
      </c>
      <c r="G5" s="213"/>
    </row>
    <row r="6" spans="1:9" s="214" customFormat="1" ht="13.5" customHeight="1">
      <c r="A6" s="776" t="s">
        <v>1471</v>
      </c>
      <c r="B6" s="215" t="s">
        <v>1472</v>
      </c>
      <c r="C6" s="216">
        <f>基准地价修正!V2+基准地价修正!V3</f>
        <v>1835</v>
      </c>
      <c r="D6" s="217"/>
      <c r="E6" s="218"/>
      <c r="F6" s="218"/>
      <c r="G6" s="219"/>
    </row>
    <row r="7" spans="1:9" s="214" customFormat="1" ht="13.5" customHeight="1">
      <c r="A7" s="776" t="s">
        <v>1473</v>
      </c>
      <c r="B7" s="215" t="s">
        <v>1474</v>
      </c>
      <c r="C7" s="220">
        <f>ROUND(C6*F7,0)</f>
        <v>56</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20</v>
      </c>
      <c r="D8" s="222"/>
      <c r="E8" s="220"/>
      <c r="F8" s="221"/>
      <c r="G8" s="1853" t="s">
        <v>3434</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4" t="s">
        <v>3446</v>
      </c>
      <c r="H9" s="1134"/>
      <c r="I9" s="1855" t="s">
        <v>1478</v>
      </c>
    </row>
    <row r="10" spans="1:9" s="214" customFormat="1" ht="13.5" customHeight="1">
      <c r="A10" s="777" t="s">
        <v>356</v>
      </c>
      <c r="B10" s="224" t="s">
        <v>1479</v>
      </c>
      <c r="C10" s="225">
        <f ca="1">ROUND(D10*E10/10000,0)</f>
        <v>20</v>
      </c>
      <c r="D10" s="843">
        <f ca="1">IF(B1="",'数据-汇总表'!E6,IF(INDIRECT("'数据-取费表'!c"&amp;$G$1)="住宅",INDIRECT("'数据-取费表'!s"&amp;$G$1),INDIRECT("'数据-取费表'!k"&amp;$G$1)+INDIRECT("'数据-取费表'!s"&amp;$G$1)))</f>
        <v>975.39</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975.39</v>
      </c>
      <c r="E19" s="211">
        <f>'数据-取费表'!B31</f>
        <v>200</v>
      </c>
      <c r="F19" s="231"/>
      <c r="G19" s="1853" t="s">
        <v>3435</v>
      </c>
    </row>
    <row r="20" spans="1:7" s="214" customFormat="1" ht="13.5" customHeight="1">
      <c r="A20" s="255" t="s">
        <v>1492</v>
      </c>
      <c r="B20" s="210" t="s">
        <v>1493</v>
      </c>
      <c r="C20" s="232">
        <f ca="1">ROUND((C5+C19)*F20,0)</f>
        <v>38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135</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2">
        <f ca="1">ROUND(IF('数据-取费表'!B22&lt;=1,C5*F22*'数据-取费表'!B23,C5*(POWER((1+F22),'数据-取费表'!B23)-1)),0)</f>
        <v>134</v>
      </c>
      <c r="D23" s="238"/>
      <c r="E23" s="238"/>
      <c r="F23" s="239"/>
      <c r="G23" s="240" t="s">
        <v>1503</v>
      </c>
    </row>
    <row r="24" spans="1:7" s="214" customFormat="1" ht="13.5" customHeight="1">
      <c r="A24" s="778"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2">
        <f ca="1">ROUND(IF('数据-取费表'!B22&lt;=1,C20*F22*'数据-取费表'!B23/2,C20*(POWER((1+F22),'数据-取费表'!B23/2)-1)),0)</f>
        <v>1</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390</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ROUND((C5+C19+C20)*F27*'数据-取费表'!B21/'数据-取费表'!B20,0)</f>
        <v>390</v>
      </c>
      <c r="D28" s="235"/>
      <c r="E28" s="236"/>
      <c r="F28" s="246"/>
      <c r="G28" s="247"/>
    </row>
    <row r="29" spans="1:7" s="214" customFormat="1" ht="13.5" customHeight="1">
      <c r="A29" s="778"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2683</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479</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439</v>
      </c>
      <c r="D34" s="217"/>
      <c r="E34" s="220"/>
      <c r="F34" s="257">
        <f ca="1">IF('数据-取费表'!B24=0,1,IF(B1="",'数据-取费表'!N16,INDIRECT("'数据-取费表'!n"&amp;$G$1)))</f>
        <v>1</v>
      </c>
      <c r="G34" s="219" t="s">
        <v>1525</v>
      </c>
    </row>
    <row r="35" spans="1:7" ht="13.5" customHeight="1">
      <c r="A35" s="778" t="s">
        <v>351</v>
      </c>
      <c r="B35" s="215" t="s">
        <v>1526</v>
      </c>
      <c r="C35" s="220">
        <f ca="1">ROUND(C34*F35,0)</f>
        <v>13</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20</v>
      </c>
      <c r="D37" s="217">
        <f ca="1">D19</f>
        <v>975.39</v>
      </c>
      <c r="E37" s="249">
        <f>'数据-取费表'!B35</f>
        <v>200</v>
      </c>
      <c r="F37" s="259"/>
      <c r="G37" s="261" t="s">
        <v>1531</v>
      </c>
    </row>
    <row r="38" spans="1:7" ht="13.5" customHeight="1">
      <c r="A38" s="778"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10</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17</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17</v>
      </c>
      <c r="D42" s="238"/>
      <c r="E42" s="238"/>
      <c r="F42" s="239"/>
      <c r="G42" s="3704" t="s">
        <v>1543</v>
      </c>
    </row>
    <row r="43" spans="1:7" ht="13.5" customHeight="1">
      <c r="A43" s="778" t="s">
        <v>347</v>
      </c>
      <c r="B43" s="215" t="s">
        <v>1544</v>
      </c>
      <c r="C43" s="238">
        <f ca="1">ROUND(IF('数据-取费表'!B22&lt;=1,C39*F22*'数据-取费表'!B21/2,C39*(POWER((1+F22),'数据-取费表'!B21/2)-1)),0)</f>
        <v>0</v>
      </c>
      <c r="D43" s="238"/>
      <c r="E43" s="238"/>
      <c r="F43" s="239"/>
      <c r="G43" s="3705"/>
    </row>
    <row r="44" spans="1:7" ht="13.5" customHeight="1">
      <c r="A44" s="778" t="s">
        <v>348</v>
      </c>
      <c r="B44" s="215" t="s">
        <v>1545</v>
      </c>
      <c r="C44" s="238">
        <f ca="1">ROUND(IF('数据-取费表'!B22&lt;=1,C40*F22*'数据-取费表'!B21/2,C40*(POWER((1+F22),'数据-取费表'!B21/2)-1)),4)</f>
        <v>6.9999999999999999E-4</v>
      </c>
      <c r="D44" s="238"/>
      <c r="E44" s="238"/>
      <c r="F44" s="239"/>
      <c r="G44" s="3706"/>
    </row>
    <row r="45" spans="1:7" s="214" customFormat="1" ht="13.5" customHeight="1">
      <c r="A45" s="255" t="s">
        <v>1546</v>
      </c>
      <c r="B45" s="244" t="s">
        <v>1512</v>
      </c>
      <c r="C45" s="245">
        <f ca="1">C46</f>
        <v>98</v>
      </c>
      <c r="D45" s="235">
        <f ca="1">C47</f>
        <v>4.0000000000000001E-3</v>
      </c>
      <c r="E45" s="236" t="s">
        <v>1538</v>
      </c>
      <c r="F45" s="246">
        <f ca="1">F27</f>
        <v>0.2</v>
      </c>
      <c r="G45" s="247" t="s">
        <v>1547</v>
      </c>
    </row>
    <row r="46" spans="1:7" s="214" customFormat="1" ht="13.5" customHeight="1">
      <c r="A46" s="778" t="s">
        <v>346</v>
      </c>
      <c r="B46" s="248" t="s">
        <v>1548</v>
      </c>
      <c r="C46" s="249">
        <f ca="1">ROUND((C33+C39)*F27,0)</f>
        <v>98</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655</v>
      </c>
      <c r="D49" s="232"/>
      <c r="E49" s="232"/>
      <c r="F49" s="264"/>
      <c r="G49" s="234" t="s">
        <v>1553</v>
      </c>
    </row>
    <row r="50" spans="1:7" s="258" customFormat="1" ht="24">
      <c r="A50" s="255" t="s">
        <v>1554</v>
      </c>
      <c r="B50" s="210" t="s">
        <v>1555</v>
      </c>
      <c r="C50" s="232"/>
      <c r="D50" s="232"/>
      <c r="E50" s="232"/>
      <c r="F50" s="264">
        <f>IF('数据-取费表'!B24=0,'数据-取费表'!N16,1)</f>
        <v>0.86</v>
      </c>
      <c r="G50" s="247" t="s">
        <v>1556</v>
      </c>
    </row>
    <row r="51" spans="1:7" ht="16.5" customHeight="1">
      <c r="A51" s="255" t="s">
        <v>1557</v>
      </c>
      <c r="B51" s="210" t="s">
        <v>1558</v>
      </c>
      <c r="C51" s="232">
        <f ca="1">ROUND(C49*F50,0)</f>
        <v>563</v>
      </c>
      <c r="D51" s="232"/>
      <c r="E51" s="232"/>
      <c r="F51" s="264"/>
      <c r="G51" s="234" t="s">
        <v>1559</v>
      </c>
    </row>
    <row r="52" spans="1:7" s="208" customFormat="1" ht="16.5" thickBot="1">
      <c r="A52" s="265" t="s">
        <v>1560</v>
      </c>
      <c r="B52" s="266"/>
      <c r="C52" s="267">
        <f ca="1">C31+C51</f>
        <v>3246</v>
      </c>
      <c r="D52" s="266"/>
      <c r="E52" s="266"/>
      <c r="F52" s="266"/>
      <c r="G52" s="268"/>
    </row>
    <row r="55" spans="1:7" ht="15">
      <c r="B55" s="270" t="s">
        <v>1561</v>
      </c>
      <c r="C55" s="271"/>
    </row>
    <row r="56" spans="1:7">
      <c r="B56" s="273" t="s">
        <v>802</v>
      </c>
      <c r="C56" s="275">
        <f ca="1">1-C57</f>
        <v>0.82699999999999996</v>
      </c>
    </row>
    <row r="57" spans="1:7">
      <c r="B57" s="273" t="s">
        <v>803</v>
      </c>
      <c r="C57" s="274">
        <f ca="1">ROUND(C51/C52,3)</f>
        <v>0.17299999999999999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21">
        <f ca="1">ROUND(IF(D2="——",C52/10000,C52/10000-E2),4)</f>
        <v>3245.4666000000002</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33274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19109814</v>
      </c>
      <c r="D5" s="211" t="s">
        <v>1468</v>
      </c>
      <c r="E5" s="212" t="s">
        <v>1469</v>
      </c>
      <c r="F5" s="212" t="s">
        <v>1470</v>
      </c>
      <c r="G5" s="213"/>
    </row>
    <row r="6" spans="1:8" s="214" customFormat="1" ht="13.5" customHeight="1">
      <c r="A6" s="776" t="s">
        <v>1471</v>
      </c>
      <c r="B6" s="215" t="s">
        <v>1472</v>
      </c>
      <c r="C6" s="216">
        <f>ROUND(基准地价修正!T2*基准地价修正!U2+基准地价修正!T3*基准地价修正!U3,0)</f>
        <v>18354911</v>
      </c>
      <c r="D6" s="217"/>
      <c r="E6" s="218"/>
      <c r="F6" s="218"/>
      <c r="G6" s="219"/>
    </row>
    <row r="7" spans="1:8" s="214" customFormat="1" ht="13.5" customHeight="1">
      <c r="A7" s="776" t="s">
        <v>1473</v>
      </c>
      <c r="B7" s="215" t="s">
        <v>1474</v>
      </c>
      <c r="C7" s="220">
        <f>ROUND(C6*F7,0)</f>
        <v>559825</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195078</v>
      </c>
      <c r="D8" s="222"/>
      <c r="E8" s="220"/>
      <c r="F8" s="221"/>
      <c r="G8" s="1853" t="s">
        <v>3434</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195078</v>
      </c>
      <c r="D10" s="843">
        <f ca="1">IF(B1="",'数据-汇总表'!E6,IF(INDIRECT("'数据-取费表'!c"&amp;$G$1)="住宅",INDIRECT("'数据-取费表'!s"&amp;$G$1),INDIRECT("'数据-取费表'!k"&amp;$G$1)+INDIRECT("'数据-取费表'!s"&amp;$G$1)))</f>
        <v>975.39</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975.39</v>
      </c>
      <c r="E19" s="211">
        <f>'数据-取费表'!B31</f>
        <v>200</v>
      </c>
      <c r="F19" s="231"/>
      <c r="G19" s="1853" t="s">
        <v>3435</v>
      </c>
    </row>
    <row r="20" spans="1:7" s="214" customFormat="1" ht="13.5" customHeight="1">
      <c r="A20" s="255" t="s">
        <v>1573</v>
      </c>
      <c r="B20" s="210" t="s">
        <v>1574</v>
      </c>
      <c r="C20" s="232">
        <f ca="1">ROUND((C5+C19)*F20,0)</f>
        <v>382196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1354509</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5">
        <f ca="1">ROUND(IF('数据-取费表'!B22&lt;=1,C5*F22*'数据-取费表'!B22,C5*(POWER((1+F22),'数据-取费表'!B22)-1)),0)</f>
        <v>1341323</v>
      </c>
      <c r="D23" s="238"/>
      <c r="E23" s="238"/>
      <c r="F23" s="239"/>
      <c r="G23" s="240" t="s">
        <v>1583</v>
      </c>
    </row>
    <row r="24" spans="1:7" s="214" customFormat="1" ht="13.5" customHeight="1">
      <c r="A24" s="778"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5">
        <f ca="1">ROUND(IF('数据-取费表'!B22&lt;=1,C20*F22*'数据-取费表'!B22/2,C20*(POWER((1+F22),'数据-取费表'!B22/2)-1)),0)</f>
        <v>13186</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3898402</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ROUND((C5+C19+C20)*F27,0)</f>
        <v>3898402</v>
      </c>
      <c r="D28" s="235"/>
      <c r="E28" s="236"/>
      <c r="F28" s="246"/>
      <c r="G28" s="247"/>
    </row>
    <row r="29" spans="1:7" s="214" customFormat="1" ht="13.5" customHeight="1">
      <c r="A29" s="778"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26838309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4781850</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4389255</v>
      </c>
      <c r="D34" s="217"/>
      <c r="E34" s="220"/>
      <c r="F34" s="257"/>
      <c r="G34" s="219"/>
    </row>
    <row r="35" spans="1:7" ht="13.5" customHeight="1">
      <c r="A35" s="778" t="s">
        <v>351</v>
      </c>
      <c r="B35" s="215" t="s">
        <v>1526</v>
      </c>
      <c r="C35" s="220">
        <f ca="1">ROUND(C34*F35,0)</f>
        <v>131678</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195078</v>
      </c>
      <c r="D37" s="217">
        <f ca="1">D19</f>
        <v>975.39</v>
      </c>
      <c r="E37" s="249">
        <f>'数据-取费表'!B35</f>
        <v>200</v>
      </c>
      <c r="F37" s="259"/>
      <c r="G37" s="261"/>
    </row>
    <row r="38" spans="1:7" ht="13.5" customHeight="1">
      <c r="A38" s="778" t="s">
        <v>354</v>
      </c>
      <c r="B38" s="215" t="s">
        <v>1532</v>
      </c>
      <c r="C38" s="220">
        <f ca="1">ROUND(C34*F38,0)</f>
        <v>65839</v>
      </c>
      <c r="D38" s="220"/>
      <c r="E38" s="220"/>
      <c r="F38" s="259">
        <f>'数据-取费表'!B36</f>
        <v>1.4999999999999999E-2</v>
      </c>
      <c r="G38" s="219" t="s">
        <v>1527</v>
      </c>
    </row>
    <row r="39" spans="1:7" s="214" customFormat="1" ht="13.5" customHeight="1">
      <c r="A39" s="255" t="s">
        <v>1533</v>
      </c>
      <c r="B39" s="210" t="s">
        <v>1534</v>
      </c>
      <c r="C39" s="232">
        <f ca="1">ROUND(C33*F20,0)</f>
        <v>95637</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168273</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164974</v>
      </c>
      <c r="D42" s="238"/>
      <c r="E42" s="238"/>
      <c r="F42" s="239"/>
      <c r="G42" s="3704" t="s">
        <v>1590</v>
      </c>
    </row>
    <row r="43" spans="1:7" ht="13.5" customHeight="1">
      <c r="A43" s="778" t="s">
        <v>347</v>
      </c>
      <c r="B43" s="215" t="s">
        <v>1544</v>
      </c>
      <c r="C43" s="238">
        <f ca="1">ROUND(IF('数据-取费表'!B22&lt;=1,C39*F22*'数据-取费表'!B20/2,C39*(POWER((1+F22),'数据-取费表'!B20/2)-1)),0)</f>
        <v>3299</v>
      </c>
      <c r="D43" s="238"/>
      <c r="E43" s="238"/>
      <c r="F43" s="239"/>
      <c r="G43" s="3705"/>
    </row>
    <row r="44" spans="1:7" ht="13.5" customHeight="1">
      <c r="A44" s="778" t="s">
        <v>348</v>
      </c>
      <c r="B44" s="215" t="s">
        <v>1545</v>
      </c>
      <c r="C44" s="238">
        <f ca="1">ROUND(IF('数据-取费表'!B22&lt;=1,C40*F22*'数据-取费表'!B20/2,C40*(POWER((1+F22),'数据-取费表'!B20/2)-1)),4)</f>
        <v>6.9999999999999999E-4</v>
      </c>
      <c r="D44" s="238"/>
      <c r="E44" s="238"/>
      <c r="F44" s="239"/>
      <c r="G44" s="3706"/>
    </row>
    <row r="45" spans="1:7" s="214" customFormat="1" ht="13.5" customHeight="1">
      <c r="A45" s="255" t="s">
        <v>1546</v>
      </c>
      <c r="B45" s="244" t="s">
        <v>1512</v>
      </c>
      <c r="C45" s="245">
        <f ca="1">C46</f>
        <v>975497</v>
      </c>
      <c r="D45" s="235">
        <f ca="1">C47</f>
        <v>4.0000000000000001E-3</v>
      </c>
      <c r="E45" s="236" t="s">
        <v>1538</v>
      </c>
      <c r="F45" s="246">
        <f ca="1">F27</f>
        <v>0.2</v>
      </c>
      <c r="G45" s="247" t="s">
        <v>1547</v>
      </c>
    </row>
    <row r="46" spans="1:7" s="214" customFormat="1" ht="13.5" customHeight="1">
      <c r="A46" s="778" t="s">
        <v>346</v>
      </c>
      <c r="B46" s="248" t="s">
        <v>1548</v>
      </c>
      <c r="C46" s="249">
        <f ca="1">ROUND((C33+C39)*F27,0)</f>
        <v>975497</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6530648</v>
      </c>
      <c r="D49" s="232"/>
      <c r="E49" s="232"/>
      <c r="F49" s="264"/>
      <c r="G49" s="234" t="s">
        <v>1553</v>
      </c>
    </row>
    <row r="50" spans="1:7" s="258" customFormat="1">
      <c r="A50" s="255" t="s">
        <v>1554</v>
      </c>
      <c r="B50" s="210" t="s">
        <v>1555</v>
      </c>
      <c r="C50" s="232"/>
      <c r="D50" s="232"/>
      <c r="E50" s="232"/>
      <c r="F50" s="264">
        <f>IF('数据-取费表'!B24=0,'数据-取费表'!N16,1)</f>
        <v>0.86</v>
      </c>
      <c r="G50" s="247"/>
    </row>
    <row r="51" spans="1:7" ht="16.5" customHeight="1">
      <c r="A51" s="255" t="s">
        <v>1557</v>
      </c>
      <c r="B51" s="210" t="s">
        <v>1592</v>
      </c>
      <c r="C51" s="232">
        <f ca="1">ROUND(C49*F50,0)</f>
        <v>5616357</v>
      </c>
      <c r="D51" s="232"/>
      <c r="E51" s="232"/>
      <c r="F51" s="264"/>
      <c r="G51" s="234" t="s">
        <v>1559</v>
      </c>
    </row>
    <row r="52" spans="1:7" s="208" customFormat="1" ht="16.5" thickBot="1">
      <c r="A52" s="265" t="s">
        <v>1560</v>
      </c>
      <c r="B52" s="266"/>
      <c r="C52" s="267">
        <f ca="1">C31+C51</f>
        <v>32454666</v>
      </c>
      <c r="D52" s="266"/>
      <c r="E52" s="266"/>
      <c r="F52" s="266"/>
      <c r="G52" s="268"/>
    </row>
    <row r="55" spans="1:7" ht="15">
      <c r="B55" s="270" t="s">
        <v>1561</v>
      </c>
      <c r="C55" s="271"/>
    </row>
    <row r="56" spans="1:7">
      <c r="B56" s="273" t="s">
        <v>802</v>
      </c>
      <c r="C56" s="275">
        <f ca="1">1-C57</f>
        <v>0.82699999999999996</v>
      </c>
    </row>
    <row r="57" spans="1:7">
      <c r="B57" s="273" t="s">
        <v>803</v>
      </c>
      <c r="C57" s="274">
        <f ca="1">ROUND(C51/C52,3)</f>
        <v>0.17299999999999999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8"/>
      <c r="C1" s="1189"/>
      <c r="D1" s="1187"/>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975.39</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975.39</v>
      </c>
      <c r="E17" s="21">
        <f>'数据-取费表'!B32</f>
        <v>0</v>
      </c>
      <c r="F17" s="804"/>
      <c r="G17" s="131"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59"/>
      <c r="H18" s="1184"/>
      <c r="I18" s="1860"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1626</v>
      </c>
      <c r="C20" s="21">
        <f ca="1">ROUND(D20*E20/10000,0)</f>
        <v>20</v>
      </c>
      <c r="D20" s="844">
        <f ca="1">IF(C1="",'数据-汇总表'!E6,IF(INDIRECT("'数据-取费表'!c"&amp;$K$1)="住宅",INDIRECT("'数据-取费表'!s"&amp;$K$1),INDIRECT("'数据-取费表'!k"&amp;$K$1)+INDIRECT("'数据-取费表'!s"&amp;$K$1)))</f>
        <v>975.39</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1640</v>
      </c>
      <c r="B28" s="1862" t="s">
        <v>1641</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3" t="s">
        <v>1645</v>
      </c>
      <c r="B31" s="831" t="s">
        <v>1646</v>
      </c>
      <c r="C31" s="832">
        <f>ROUND(C4*F31/(1+'数据-取费表'!C42),0)</f>
        <v>0</v>
      </c>
      <c r="D31" s="833"/>
      <c r="E31" s="834"/>
      <c r="F31" s="835">
        <f>'数据-取费表'!B41</f>
        <v>5.6000000000000001E-2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4"/>
      <c r="G1" s="1486"/>
      <c r="H1" s="1486"/>
      <c r="I1" s="1486"/>
      <c r="J1" s="1486"/>
      <c r="K1" s="1486"/>
      <c r="L1" s="1486"/>
      <c r="M1" s="1486"/>
      <c r="N1" s="1486"/>
      <c r="O1" s="1486"/>
      <c r="P1" s="1486"/>
      <c r="Q1" s="1486"/>
      <c r="R1" s="1486"/>
      <c r="S1" s="1486"/>
    </row>
    <row r="2" spans="1:22" ht="15.75">
      <c r="A2" s="1867" t="s">
        <v>1461</v>
      </c>
      <c r="B2" s="1868">
        <f ca="1">SUMIF(B6:B13,"&lt;&gt;#ref!",B6:B13)</f>
        <v>2920</v>
      </c>
      <c r="C2" s="1869" t="s">
        <v>1650</v>
      </c>
      <c r="D2" s="1870" t="s">
        <v>1651</v>
      </c>
      <c r="E2" s="2604">
        <f>SUM(E6:E13)</f>
        <v>975.39</v>
      </c>
      <c r="F2" s="2704"/>
      <c r="G2" s="1486"/>
      <c r="H2" s="1486"/>
      <c r="I2" s="1486"/>
      <c r="J2" s="1486"/>
      <c r="K2" s="1486"/>
      <c r="L2" s="1486"/>
      <c r="M2" s="1486"/>
      <c r="N2" s="1486"/>
      <c r="O2" s="1486"/>
      <c r="P2" s="1486"/>
      <c r="Q2" s="1486"/>
      <c r="R2" s="1486"/>
      <c r="S2" s="1486"/>
    </row>
    <row r="3" spans="1:22" ht="15.75">
      <c r="A3" s="1867" t="s">
        <v>686</v>
      </c>
      <c r="B3" s="2598">
        <f ca="1">ROUND(B2*10000/E2,0)</f>
        <v>29937</v>
      </c>
      <c r="C3" s="1869" t="s">
        <v>1658</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1652</v>
      </c>
      <c r="B5" s="3707" t="s">
        <v>1653</v>
      </c>
      <c r="C5" s="3708"/>
      <c r="D5" s="2705"/>
      <c r="E5" s="1871" t="s">
        <v>1654</v>
      </c>
      <c r="F5" s="1872" t="s">
        <v>1655</v>
      </c>
      <c r="G5" s="1486"/>
      <c r="H5" s="1486"/>
      <c r="I5" s="1486"/>
      <c r="J5" s="1486"/>
      <c r="K5" s="1486"/>
      <c r="L5" s="1486"/>
      <c r="M5" s="1486"/>
      <c r="N5" s="1486"/>
      <c r="O5" s="1486"/>
      <c r="P5" s="1486"/>
      <c r="Q5" s="1486"/>
      <c r="R5" s="1486"/>
      <c r="S5" s="1486"/>
    </row>
    <row r="6" spans="1:22">
      <c r="A6" s="2601" t="str">
        <f>'数据-取费表'!AN6</f>
        <v>收益法</v>
      </c>
      <c r="B6" s="2599">
        <f ca="1">IF(F6="是",'数据-取费表'!AO6,0)</f>
        <v>2920</v>
      </c>
      <c r="C6" s="1869" t="s">
        <v>1650</v>
      </c>
      <c r="D6" s="2706"/>
      <c r="E6" s="2603">
        <f>IF(OR(A6=0,F6="否"),0,'数据-取费表'!K6+'数据-取费表'!S6)</f>
        <v>975.39</v>
      </c>
      <c r="F6" s="1873" t="s">
        <v>1656</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1650</v>
      </c>
      <c r="D7" s="2706"/>
      <c r="E7" s="2603">
        <f>IF(OR(A7=0,F7="否"),0,'数据-取费表'!K7+'数据-取费表'!S7)</f>
        <v>0</v>
      </c>
      <c r="F7" s="1873" t="s">
        <v>1656</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1650</v>
      </c>
      <c r="D8" s="2706"/>
      <c r="E8" s="2603">
        <f>IF(OR(A8=0,F8="否"),0,'数据-取费表'!K8+'数据-取费表'!S8)</f>
        <v>0</v>
      </c>
      <c r="F8" s="1873" t="s">
        <v>1656</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25</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2920</v>
      </c>
      <c r="C2" s="1384" t="s">
        <v>805</v>
      </c>
      <c r="D2" s="1384"/>
      <c r="E2" s="1385"/>
      <c r="F2" s="1386"/>
      <c r="G2" s="2703"/>
      <c r="H2" s="2692"/>
      <c r="I2" s="2692"/>
      <c r="J2" s="2692"/>
      <c r="K2" s="2693"/>
      <c r="L2" s="2692"/>
      <c r="M2" s="2692"/>
    </row>
    <row r="3" spans="1:37" ht="18" customHeight="1" thickBot="1">
      <c r="A3" s="1387" t="s">
        <v>806</v>
      </c>
      <c r="B3" s="1388">
        <f ca="1">IF(ISERROR(B2*10000/F43),0,ROUND(B2*10000/F43,0))</f>
        <v>29937</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205</v>
      </c>
      <c r="D5" s="1361" t="s">
        <v>693</v>
      </c>
      <c r="E5" s="1068"/>
      <c r="F5" s="1069"/>
      <c r="G5" s="1381"/>
      <c r="H5" s="299">
        <v>1</v>
      </c>
      <c r="I5" s="300" t="s">
        <v>692</v>
      </c>
      <c r="J5" s="1067">
        <f ca="1">J6+J10+J12</f>
        <v>0</v>
      </c>
      <c r="K5" s="1361" t="s">
        <v>693</v>
      </c>
      <c r="L5" s="1068"/>
      <c r="M5" s="1069"/>
    </row>
    <row r="6" spans="1:37" ht="18" customHeight="1">
      <c r="A6" s="1066" t="s">
        <v>398</v>
      </c>
      <c r="B6" s="3711" t="s">
        <v>694</v>
      </c>
      <c r="C6" s="1071">
        <f ca="1">ROUND(F6*F8*F7*(1-F9)/10000,0)</f>
        <v>205</v>
      </c>
      <c r="D6" s="155" t="s">
        <v>2107</v>
      </c>
      <c r="E6" s="302" t="s">
        <v>696</v>
      </c>
      <c r="F6" s="303">
        <f ca="1">INDIRECT("'数据-取费表'!u"&amp;$G$1)</f>
        <v>6.4</v>
      </c>
      <c r="G6" s="1381"/>
      <c r="H6" s="1066" t="s">
        <v>398</v>
      </c>
      <c r="I6" s="3711" t="s">
        <v>694</v>
      </c>
      <c r="J6" s="301">
        <f ca="1">ROUND(M6*M8*M7*(1-M9)/10000,0)</f>
        <v>0</v>
      </c>
      <c r="K6" s="155" t="s">
        <v>2106</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975.39</v>
      </c>
      <c r="G7" s="1381"/>
      <c r="H7" s="304"/>
      <c r="I7" s="3712"/>
      <c r="J7" s="306"/>
      <c r="K7" s="307"/>
      <c r="L7" s="302" t="s">
        <v>697</v>
      </c>
      <c r="M7" s="303">
        <f ca="1">F7</f>
        <v>975.39</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563</v>
      </c>
      <c r="D13" s="1078" t="s">
        <v>705</v>
      </c>
      <c r="E13" s="1078" t="s">
        <v>706</v>
      </c>
      <c r="F13" s="1079">
        <f ca="1">INDIRECT("'数据-取费表'!y"&amp;$G$1)</f>
        <v>0.86</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439</v>
      </c>
      <c r="D14" s="1342" t="s">
        <v>708</v>
      </c>
      <c r="E14" s="1339"/>
      <c r="F14" s="319"/>
      <c r="G14" s="1381"/>
      <c r="H14" s="980" t="s">
        <v>398</v>
      </c>
      <c r="I14" s="302" t="s">
        <v>709</v>
      </c>
      <c r="J14" s="21">
        <f ca="1">C29</f>
        <v>655</v>
      </c>
      <c r="K14" s="12"/>
      <c r="L14" s="805"/>
      <c r="M14" s="806"/>
    </row>
    <row r="15" spans="1:37" s="1394" customFormat="1" ht="18" customHeight="1" thickBot="1">
      <c r="A15" s="980" t="s">
        <v>399</v>
      </c>
      <c r="B15" s="302" t="s">
        <v>710</v>
      </c>
      <c r="C15" s="21">
        <f ca="1">ROUND(C14*F15,0)</f>
        <v>13</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10</v>
      </c>
      <c r="K16" s="1084" t="s">
        <v>715</v>
      </c>
      <c r="L16" s="1085"/>
      <c r="M16" s="1069"/>
    </row>
    <row r="17" spans="1:37" s="1394" customFormat="1" ht="18" customHeight="1">
      <c r="A17" s="980" t="s">
        <v>681</v>
      </c>
      <c r="B17" s="302" t="s">
        <v>716</v>
      </c>
      <c r="C17" s="21">
        <f ca="1">ROUND(F17*(F43+INDIRECT("'数据-取费表'!S"&amp;$G$1))/10000,0)</f>
        <v>20</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7</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479</v>
      </c>
      <c r="D19" s="131" t="s">
        <v>726</v>
      </c>
      <c r="E19" s="1357"/>
      <c r="F19" s="23"/>
      <c r="G19" s="1381"/>
      <c r="H19" s="980" t="s">
        <v>399</v>
      </c>
      <c r="I19" s="302" t="s">
        <v>727</v>
      </c>
      <c r="J19" s="21">
        <f ca="1">IF(K19="按租金收入计税",ROUND(J6*M19/(1+'数据-取费表'!C42),2),ROUND(C29*M19*0.7,2))</f>
        <v>0</v>
      </c>
      <c r="K19" s="1367" t="s">
        <v>3336</v>
      </c>
      <c r="L19" s="302" t="s">
        <v>712</v>
      </c>
      <c r="M19" s="322">
        <f>IF(K19="按租金收入计税",'数据-取费表'!B51,'数据-取费表'!B50)</f>
        <v>0.12</v>
      </c>
    </row>
    <row r="20" spans="1:37" s="1394" customFormat="1" ht="18" customHeight="1">
      <c r="A20" s="980" t="s">
        <v>402</v>
      </c>
      <c r="B20" s="302" t="s">
        <v>728</v>
      </c>
      <c r="C20" s="21">
        <f ca="1">ROUND(C19*F20,0)</f>
        <v>10</v>
      </c>
      <c r="D20" s="323" t="s">
        <v>729</v>
      </c>
      <c r="E20" s="302" t="s">
        <v>712</v>
      </c>
      <c r="F20" s="322">
        <f>'数据-取费表'!B37</f>
        <v>0.02</v>
      </c>
      <c r="G20" s="1393"/>
      <c r="H20" s="980"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9.83</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-10</v>
      </c>
      <c r="K25" s="1092" t="s">
        <v>753</v>
      </c>
      <c r="L25" s="1093"/>
      <c r="M25" s="1094"/>
    </row>
    <row r="26" spans="1:37">
      <c r="A26" s="980" t="s">
        <v>397</v>
      </c>
      <c r="B26" s="302" t="s">
        <v>754</v>
      </c>
      <c r="C26" s="21">
        <f ca="1">ROUND((C19+C20)*F26,0)</f>
        <v>98</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655</v>
      </c>
      <c r="D29" s="1089"/>
      <c r="E29" s="1087"/>
      <c r="F29" s="1090"/>
      <c r="G29" s="1393"/>
      <c r="H29" s="334" t="s">
        <v>396</v>
      </c>
      <c r="I29" s="335" t="s">
        <v>768</v>
      </c>
      <c r="J29" s="336">
        <f ca="1">ROUND(J26/(1+F40)^F41,0)</f>
        <v>0</v>
      </c>
      <c r="K29" s="337" t="s">
        <v>769</v>
      </c>
      <c r="L29" s="338"/>
      <c r="M29" s="339">
        <f ca="1">INDIRECT("'数据-取费表'!k"&amp;$G$1)</f>
        <v>975.39</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37</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23.43</v>
      </c>
      <c r="D31" s="1342" t="s">
        <v>720</v>
      </c>
      <c r="E31" s="1341" t="s">
        <v>770</v>
      </c>
      <c r="F31" s="2312">
        <f ca="1">IF(项目基本情况!B11="企业","——",IF(M47="住宅",IF(F6*F7*F8/12/(1+'数据-取费表'!F30)&gt;100000,4%,2.5%),IF(F6*F7*F8/12/(1+'数据-取费表'!F30)&gt;100000,12%,7%)))</f>
        <v>0.12</v>
      </c>
      <c r="G31" s="1381"/>
      <c r="H31" s="2805" t="s">
        <v>2308</v>
      </c>
      <c r="I31" s="1395"/>
      <c r="J31" s="1396"/>
      <c r="K31" s="2472"/>
      <c r="L31" s="2695"/>
      <c r="M31" s="2696"/>
    </row>
    <row r="32" spans="1:37" ht="18" customHeight="1">
      <c r="A32" s="980" t="s">
        <v>397</v>
      </c>
      <c r="B32" s="302" t="s">
        <v>723</v>
      </c>
      <c r="C32" s="21" t="str">
        <f>IF(项目基本情况!B11="自然人","——",ROUND(C6*F32/(1+'数据-取费表'!C42),2))</f>
        <v>——</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str">
        <f>IF(项目基本情况!B11="自然人","——",ROUND(F34*F35/10000,2))</f>
        <v>——</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9.83</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ROUND(C13*F37,2)</f>
        <v>0.84</v>
      </c>
      <c r="D37" s="1341" t="s">
        <v>743</v>
      </c>
      <c r="E37" s="302" t="s">
        <v>744</v>
      </c>
      <c r="F37" s="330">
        <f ca="1">INDIRECT("'数据-取费表'!Al"&amp;$G$1)</f>
        <v>1.5E-3</v>
      </c>
      <c r="G37" s="1381"/>
      <c r="H37" s="2697"/>
      <c r="I37" s="1395">
        <f ca="1">C39/C5</f>
        <v>0.81951219512195117</v>
      </c>
      <c r="J37" s="1396"/>
      <c r="K37" s="2541"/>
      <c r="L37" s="2697"/>
      <c r="M37" s="2697"/>
    </row>
    <row r="38" spans="1:18" ht="18" customHeight="1" thickBot="1">
      <c r="A38" s="1086" t="s">
        <v>684</v>
      </c>
      <c r="B38" s="1087" t="s">
        <v>728</v>
      </c>
      <c r="C38" s="1088">
        <f ca="1">ROUND(C5*F38,2)</f>
        <v>3.08</v>
      </c>
      <c r="D38" s="1089" t="s">
        <v>748</v>
      </c>
      <c r="E38" s="1087" t="s">
        <v>744</v>
      </c>
      <c r="F38" s="1083">
        <f ca="1">INDIRECT("'数据-取费表'!Am"&amp;$G$1)</f>
        <v>1.4999999999999999E-2</v>
      </c>
      <c r="G38" s="1381"/>
      <c r="H38" s="2697"/>
      <c r="I38" s="1395"/>
      <c r="J38" s="1396"/>
      <c r="K38" s="2701"/>
      <c r="L38" s="2697"/>
      <c r="M38" s="2697"/>
    </row>
    <row r="39" spans="1:18" ht="24.6" customHeight="1" thickTop="1">
      <c r="A39" s="1076" t="s">
        <v>394</v>
      </c>
      <c r="B39" s="1091" t="s">
        <v>772</v>
      </c>
      <c r="C39" s="310">
        <f ca="1">C5-C30</f>
        <v>168</v>
      </c>
      <c r="D39" s="1092" t="s">
        <v>773</v>
      </c>
      <c r="E39" s="1093"/>
      <c r="F39" s="1094"/>
      <c r="G39" s="1381"/>
      <c r="H39" s="2697"/>
      <c r="I39" s="1395"/>
      <c r="J39" s="1396"/>
      <c r="K39" s="2701"/>
      <c r="L39" s="2697"/>
      <c r="M39" s="2697"/>
    </row>
    <row r="40" spans="1:18" ht="18" customHeight="1">
      <c r="A40" s="299" t="s">
        <v>395</v>
      </c>
      <c r="B40" s="300" t="s">
        <v>774</v>
      </c>
      <c r="C40" s="301">
        <f ca="1">ROUND(C39*(1-((1+F42)/(1+F40))^F41)/(F40-F42),0)</f>
        <v>2877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25</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29496</v>
      </c>
      <c r="D43" s="337" t="s">
        <v>777</v>
      </c>
      <c r="E43" s="338" t="s">
        <v>778</v>
      </c>
      <c r="F43" s="339">
        <f ca="1">INDIRECT("'数据-取费表'!k"&amp;$G$1)</f>
        <v>975.39</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-3025</v>
      </c>
      <c r="D46" s="1403" t="str">
        <f>C2</f>
        <v>万元</v>
      </c>
      <c r="E46" s="1397"/>
      <c r="F46" s="1397"/>
      <c r="I46" s="1404" t="s">
        <v>810</v>
      </c>
      <c r="J46" s="1405"/>
      <c r="K46" s="1406"/>
      <c r="L46" s="1407">
        <f ca="1">IF(M47="住宅",0,IF(L48&gt;J51,L60,J60))</f>
        <v>43</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2877</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25</v>
      </c>
      <c r="O48" s="1415" t="s">
        <v>404</v>
      </c>
      <c r="P48" s="1416" t="s">
        <v>821</v>
      </c>
      <c r="Q48" s="1417">
        <f ca="1">J60</f>
        <v>43</v>
      </c>
      <c r="R48" s="1417" t="s">
        <v>822</v>
      </c>
    </row>
    <row r="49" spans="1:18" s="1381" customFormat="1" ht="13.5" thickBot="1">
      <c r="A49" s="973" t="s">
        <v>439</v>
      </c>
      <c r="B49" s="1368" t="s">
        <v>779</v>
      </c>
      <c r="C49" s="1111">
        <f ca="1">ROUND(F49*F51*F50*(1-F52)/10000,0)</f>
        <v>0</v>
      </c>
      <c r="D49" s="1052" t="s">
        <v>2108</v>
      </c>
      <c r="E49" s="1369" t="s">
        <v>780</v>
      </c>
      <c r="F49" s="1057"/>
      <c r="G49" s="1422"/>
      <c r="H49" s="721"/>
      <c r="I49" s="1418" t="s">
        <v>823</v>
      </c>
      <c r="J49" s="1423">
        <f>'数据-取费表'!N18</f>
        <v>2010</v>
      </c>
      <c r="K49" s="1420" t="s">
        <v>824</v>
      </c>
      <c r="L49" s="1424"/>
      <c r="O49" s="1425" t="s">
        <v>405</v>
      </c>
      <c r="P49" s="1416" t="s">
        <v>825</v>
      </c>
      <c r="Q49" s="1417">
        <f ca="1">C29</f>
        <v>655</v>
      </c>
      <c r="R49" s="1417" t="s">
        <v>818</v>
      </c>
    </row>
    <row r="50" spans="1:18" s="1381" customFormat="1" ht="13.5" thickBot="1">
      <c r="A50" s="974"/>
      <c r="B50" s="977"/>
      <c r="C50" s="1115"/>
      <c r="D50" s="951"/>
      <c r="E50" s="1053" t="s">
        <v>697</v>
      </c>
      <c r="F50" s="1054">
        <f ca="1">F7</f>
        <v>975.39</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46</v>
      </c>
      <c r="K51" s="1431" t="s">
        <v>830</v>
      </c>
      <c r="L51" s="1432">
        <f ca="1">ROUND(-PV(INDIRECT("'数据-取费表'!h"&amp;$G$1),J51,(C39-C13*C76),0),0)</f>
        <v>2299</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25</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25</v>
      </c>
      <c r="K53" s="3709" t="s">
        <v>837</v>
      </c>
      <c r="L53" s="3710"/>
      <c r="O53" s="1415" t="s">
        <v>409</v>
      </c>
      <c r="P53" s="1416" t="s">
        <v>838</v>
      </c>
      <c r="Q53" s="1417">
        <f ca="1">Q47+Q48</f>
        <v>2920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0.35</v>
      </c>
      <c r="K55" s="1442" t="s">
        <v>841</v>
      </c>
      <c r="L55" s="1443"/>
      <c r="O55" s="1408" t="s">
        <v>811</v>
      </c>
      <c r="P55" s="1409" t="s">
        <v>812</v>
      </c>
      <c r="Q55" s="1410" t="s">
        <v>813</v>
      </c>
      <c r="R55" s="1410" t="s">
        <v>814</v>
      </c>
    </row>
    <row r="56" spans="1:18" s="1381" customFormat="1" ht="25.5" thickTop="1" thickBot="1">
      <c r="A56" s="955">
        <v>2</v>
      </c>
      <c r="B56" s="956" t="s">
        <v>704</v>
      </c>
      <c r="C56" s="232">
        <f ca="1">C13</f>
        <v>563</v>
      </c>
      <c r="D56" s="1444"/>
      <c r="E56" s="1445"/>
      <c r="F56" s="1437"/>
      <c r="I56" s="1446" t="s">
        <v>842</v>
      </c>
      <c r="J56" s="1447" t="s">
        <v>3383</v>
      </c>
      <c r="K56" s="1418" t="s">
        <v>843</v>
      </c>
      <c r="L56" s="1421" t="str">
        <f ca="1">IF(L48&lt;J51,"——",L48-J53)</f>
        <v>——</v>
      </c>
      <c r="O56" s="1415" t="s">
        <v>403</v>
      </c>
      <c r="P56" s="1416" t="s">
        <v>817</v>
      </c>
      <c r="Q56" s="1417">
        <f ca="1">C40+J29</f>
        <v>2877</v>
      </c>
      <c r="R56" s="1417" t="s">
        <v>818</v>
      </c>
    </row>
    <row r="57" spans="1:18" s="1381" customFormat="1" ht="24.75" thickBot="1">
      <c r="A57" s="1448"/>
      <c r="B57" s="948" t="s">
        <v>767</v>
      </c>
      <c r="C57" s="238">
        <f ca="1">C29</f>
        <v>655</v>
      </c>
      <c r="D57" s="1449"/>
      <c r="E57" s="1450"/>
      <c r="F57" s="1451"/>
      <c r="I57" s="1452" t="s">
        <v>844</v>
      </c>
      <c r="J57" s="1453">
        <f ca="1">IF(OR(M47="住宅",J51&lt;L48,J56="是"),"——",J51-L48)</f>
        <v>21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11</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262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5" t="s">
        <v>853</v>
      </c>
      <c r="J60" s="1456">
        <f ca="1">IF(OR(M47="住宅",J51&lt;L48,J56="是"),"0",ROUND(J59/(1+J52)^J53,0))</f>
        <v>43</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t="str">
        <f ca="1">IF(项目基本情况!B11="自然人","——",IF(D61="按租金收入计税",ROUND(C49*F61/(1+'数据-取费表'!C42),2),IF(D61="按房产原值计税",ROUND(C57*F61*0.7,2),INDIRECT("'数据-取费表'!Aj"&amp;$G$1))))</f>
        <v>——</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t="str">
        <f>IF(项目基本情况!B11="自然人","——",ROUND(F62*F63/10000,2))</f>
        <v>——</v>
      </c>
      <c r="D62" s="963" t="s">
        <v>786</v>
      </c>
      <c r="E62" s="948" t="s">
        <v>787</v>
      </c>
      <c r="F62" s="325">
        <f t="shared" si="0"/>
        <v>0</v>
      </c>
      <c r="I62" s="1459" t="s">
        <v>858</v>
      </c>
      <c r="J62" s="1460" t="s">
        <v>859</v>
      </c>
      <c r="K62" s="1460" t="s">
        <v>860</v>
      </c>
      <c r="L62" s="1460" t="s">
        <v>861</v>
      </c>
      <c r="M62" s="1461" t="s">
        <v>862</v>
      </c>
      <c r="O62" s="1415" t="s">
        <v>409</v>
      </c>
      <c r="P62" s="1416" t="s">
        <v>863</v>
      </c>
      <c r="Q62" s="1417">
        <f ca="1">Q56+Q57</f>
        <v>2877</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9.83</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0.84</v>
      </c>
      <c r="D65" s="962" t="s">
        <v>743</v>
      </c>
      <c r="E65" s="948" t="s">
        <v>744</v>
      </c>
      <c r="F65" s="330">
        <f t="shared" ca="1" si="0"/>
        <v>1.5E-3</v>
      </c>
      <c r="I65" s="1459" t="s">
        <v>867</v>
      </c>
      <c r="J65" s="1460">
        <v>40</v>
      </c>
      <c r="K65" s="1460">
        <v>30</v>
      </c>
      <c r="L65" s="1460">
        <v>50</v>
      </c>
      <c r="M65" s="1462">
        <v>0.02</v>
      </c>
      <c r="O65" s="1415" t="s">
        <v>403</v>
      </c>
      <c r="P65" s="1416" t="s">
        <v>868</v>
      </c>
      <c r="Q65" s="1417">
        <f ca="1">C40+J29</f>
        <v>2877</v>
      </c>
      <c r="R65" s="1417" t="s">
        <v>818</v>
      </c>
    </row>
    <row r="66" spans="1:18" s="1381" customFormat="1" ht="16.5" thickBot="1">
      <c r="A66" s="980" t="s">
        <v>793</v>
      </c>
      <c r="B66" s="948" t="s">
        <v>728</v>
      </c>
      <c r="C66" s="21">
        <f ca="1">ROUND(C48*F66,2)</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-11</v>
      </c>
      <c r="D67" s="961" t="s">
        <v>753</v>
      </c>
      <c r="E67" s="966"/>
      <c r="F67" s="967"/>
      <c r="O67" s="1425" t="s">
        <v>405</v>
      </c>
      <c r="P67" s="1416" t="s">
        <v>850</v>
      </c>
      <c r="Q67" s="1463">
        <f ca="1">L51</f>
        <v>2299</v>
      </c>
      <c r="R67" s="1417" t="s">
        <v>870</v>
      </c>
    </row>
    <row r="68" spans="1:18" s="1381" customFormat="1" ht="16.5" thickBot="1">
      <c r="A68" s="945" t="s">
        <v>395</v>
      </c>
      <c r="B68" s="946" t="s">
        <v>774</v>
      </c>
      <c r="C68" s="301">
        <f ca="1">ROUND(C67*(1-((1+F70)/(1+F68))^F69)/(F68-F70),0)</f>
        <v>-148</v>
      </c>
      <c r="D68" s="963" t="s">
        <v>758</v>
      </c>
      <c r="E68" s="948" t="s">
        <v>759</v>
      </c>
      <c r="F68" s="312">
        <f ca="1">F40</f>
        <v>5.5E-2</v>
      </c>
      <c r="O68" s="1425" t="s">
        <v>406</v>
      </c>
      <c r="P68" s="1464" t="s">
        <v>871</v>
      </c>
      <c r="Q68" s="1417">
        <f ca="1">ROUND(Q69-Q70*Q71,0)</f>
        <v>129</v>
      </c>
      <c r="R68" s="1417" t="s">
        <v>414</v>
      </c>
    </row>
    <row r="69" spans="1:18" s="1381" customFormat="1" ht="13.5" thickBot="1">
      <c r="A69" s="949"/>
      <c r="B69" s="950"/>
      <c r="C69" s="306"/>
      <c r="D69" s="968" t="s">
        <v>762</v>
      </c>
      <c r="E69" s="948" t="s">
        <v>763</v>
      </c>
      <c r="F69" s="333">
        <f ca="1">F41</f>
        <v>25</v>
      </c>
      <c r="O69" s="1425" t="s">
        <v>411</v>
      </c>
      <c r="P69" s="1464" t="s">
        <v>872</v>
      </c>
      <c r="Q69" s="1417">
        <f ca="1">C39</f>
        <v>168</v>
      </c>
      <c r="R69" s="1417" t="s">
        <v>818</v>
      </c>
    </row>
    <row r="70" spans="1:18" s="1381" customFormat="1" ht="13.5" thickBot="1">
      <c r="A70" s="952"/>
      <c r="B70" s="953"/>
      <c r="C70" s="310"/>
      <c r="D70" s="964"/>
      <c r="E70" s="948" t="s">
        <v>766</v>
      </c>
      <c r="F70" s="1051"/>
      <c r="O70" s="1425" t="s">
        <v>412</v>
      </c>
      <c r="P70" s="1464" t="s">
        <v>873</v>
      </c>
      <c r="Q70" s="1417">
        <f ca="1">C13</f>
        <v>563</v>
      </c>
      <c r="R70" s="1417" t="s">
        <v>818</v>
      </c>
    </row>
    <row r="71" spans="1:18" s="1381" customFormat="1" ht="13.5" thickBot="1">
      <c r="A71" s="969" t="s">
        <v>396</v>
      </c>
      <c r="B71" s="970" t="s">
        <v>776</v>
      </c>
      <c r="C71" s="336">
        <f ca="1">ROUND(C68*10000/F71,0)</f>
        <v>-1517</v>
      </c>
      <c r="D71" s="971" t="s">
        <v>777</v>
      </c>
      <c r="E71" s="972" t="s">
        <v>778</v>
      </c>
      <c r="F71" s="339">
        <f ca="1">F43</f>
        <v>975.39</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39</v>
      </c>
      <c r="D75" s="1381"/>
      <c r="E75" s="1381"/>
      <c r="F75" s="1381"/>
      <c r="K75" s="1399"/>
      <c r="L75" s="1381"/>
      <c r="O75" s="1415" t="s">
        <v>409</v>
      </c>
      <c r="P75" s="1416" t="s">
        <v>838</v>
      </c>
      <c r="Q75" s="1417">
        <f ca="1">Q65+Q66</f>
        <v>2877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0.80400000000000005</v>
      </c>
    </row>
    <row r="83" spans="2:3">
      <c r="B83" s="273" t="s">
        <v>803</v>
      </c>
      <c r="C83" s="274">
        <f ca="1">ROUND(C13/C40,3)</f>
        <v>0.19600000000000001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3359</v>
      </c>
      <c r="E2" s="3441"/>
      <c r="F2" s="2843"/>
      <c r="G2" s="2844"/>
      <c r="H2" s="2845"/>
      <c r="I2" s="2846"/>
      <c r="J2" s="3720" t="s">
        <v>2319</v>
      </c>
      <c r="K2" s="3721"/>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22" t="s">
        <v>2329</v>
      </c>
      <c r="K3" s="3723"/>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22" t="s">
        <v>2331</v>
      </c>
      <c r="K4" s="3723"/>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28" t="s">
        <v>2335</v>
      </c>
      <c r="B6" s="3729"/>
      <c r="C6" s="3730"/>
      <c r="D6" s="2867"/>
      <c r="E6" s="2868"/>
      <c r="F6" s="2869"/>
      <c r="G6" s="2870"/>
      <c r="H6" s="2845"/>
      <c r="I6" s="2846"/>
      <c r="J6" s="3714">
        <v>1</v>
      </c>
      <c r="K6" s="3715"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14"/>
      <c r="K7" s="3716"/>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31" t="s">
        <v>2349</v>
      </c>
      <c r="C8" s="3732"/>
      <c r="D8" s="2886" t="s">
        <v>2350</v>
      </c>
      <c r="E8" s="2887" t="s">
        <v>2351</v>
      </c>
      <c r="F8" s="2888" t="s">
        <v>2352</v>
      </c>
      <c r="G8" s="2889"/>
      <c r="H8" s="2845"/>
      <c r="I8" s="2846"/>
      <c r="J8" s="3714"/>
      <c r="K8" s="3716"/>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31" t="s">
        <v>2355</v>
      </c>
      <c r="C9" s="3732"/>
      <c r="D9" s="2886">
        <f>ROUND(D6*E9,0)</f>
        <v>0</v>
      </c>
      <c r="E9" s="2890"/>
      <c r="F9" s="2891" t="s">
        <v>2356</v>
      </c>
      <c r="G9" s="2870"/>
      <c r="H9" s="2845"/>
      <c r="I9" s="2846"/>
      <c r="J9" s="3714"/>
      <c r="K9" s="3716"/>
      <c r="L9" s="2880" t="s">
        <v>2357</v>
      </c>
      <c r="M9" s="2881"/>
      <c r="N9" s="2857"/>
      <c r="O9" s="2882"/>
      <c r="P9" s="2882"/>
      <c r="Q9" s="2883">
        <v>365</v>
      </c>
      <c r="R9" s="2884">
        <f t="shared" si="0"/>
        <v>0</v>
      </c>
      <c r="S9" s="2838"/>
      <c r="T9" s="2838"/>
      <c r="U9" s="2838"/>
      <c r="V9" s="2846"/>
    </row>
    <row r="10" spans="1:22" s="2850" customFormat="1" ht="13.15" customHeight="1">
      <c r="A10" s="2885">
        <v>2</v>
      </c>
      <c r="B10" s="3731" t="s">
        <v>2358</v>
      </c>
      <c r="C10" s="3732"/>
      <c r="D10" s="2886">
        <f>ROUND(D6*E10,0)</f>
        <v>0</v>
      </c>
      <c r="E10" s="2890"/>
      <c r="F10" s="2891" t="s">
        <v>2359</v>
      </c>
      <c r="G10" s="2870"/>
      <c r="H10" s="2845"/>
      <c r="I10" s="2846"/>
      <c r="J10" s="3714"/>
      <c r="K10" s="3716"/>
      <c r="L10" s="2880" t="s">
        <v>2360</v>
      </c>
      <c r="M10" s="2881"/>
      <c r="N10" s="2857"/>
      <c r="O10" s="2882"/>
      <c r="P10" s="2882"/>
      <c r="Q10" s="2883">
        <v>365</v>
      </c>
      <c r="R10" s="2884">
        <f t="shared" si="0"/>
        <v>0</v>
      </c>
      <c r="S10" s="2838"/>
      <c r="T10" s="2838"/>
      <c r="U10" s="2838"/>
      <c r="V10" s="2846"/>
    </row>
    <row r="11" spans="1:22" s="2850" customFormat="1" ht="13.15" customHeight="1">
      <c r="A11" s="2885">
        <v>3</v>
      </c>
      <c r="B11" s="3731" t="s">
        <v>2361</v>
      </c>
      <c r="C11" s="3732"/>
      <c r="D11" s="2886">
        <f>D12+D14+D15+D16</f>
        <v>0</v>
      </c>
      <c r="E11" s="2892" t="e">
        <f>D11/D6</f>
        <v>#DIV/0!</v>
      </c>
      <c r="F11" s="2888"/>
      <c r="G11" s="2889"/>
      <c r="H11" s="2845"/>
      <c r="I11" s="2846"/>
      <c r="J11" s="3714"/>
      <c r="K11" s="3716"/>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24" t="s">
        <v>2364</v>
      </c>
      <c r="C12" s="3725"/>
      <c r="D12" s="2894">
        <f>ROUND(D13*1.2%*(1-30%),0)</f>
        <v>0</v>
      </c>
      <c r="E12" s="2895">
        <v>1.2E-2</v>
      </c>
      <c r="F12" s="2888" t="s">
        <v>2365</v>
      </c>
      <c r="G12" s="2889"/>
      <c r="H12" s="2845"/>
      <c r="I12" s="2846"/>
      <c r="J12" s="3714"/>
      <c r="K12" s="3716"/>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14"/>
      <c r="K13" s="3716"/>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24" t="s">
        <v>2370</v>
      </c>
      <c r="C14" s="3725"/>
      <c r="D14" s="2894">
        <f>ROUND(E14*B5/10000,0)</f>
        <v>0</v>
      </c>
      <c r="E14" s="2883"/>
      <c r="F14" s="2888" t="s">
        <v>2371</v>
      </c>
      <c r="G14" s="2889"/>
      <c r="H14" s="2845"/>
      <c r="I14" s="2846"/>
      <c r="J14" s="3714"/>
      <c r="K14" s="3717"/>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24" t="s">
        <v>2374</v>
      </c>
      <c r="C15" s="3725"/>
      <c r="D15" s="2894">
        <f>ROUND(D6*E15,0)</f>
        <v>0</v>
      </c>
      <c r="E15" s="2895">
        <v>5.5E-2</v>
      </c>
      <c r="F15" s="2888" t="s">
        <v>2375</v>
      </c>
      <c r="G15" s="2870"/>
      <c r="H15" s="2845"/>
      <c r="I15" s="2846"/>
      <c r="J15" s="3714">
        <v>2</v>
      </c>
      <c r="K15" s="3715"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24" t="s">
        <v>2383</v>
      </c>
      <c r="C16" s="3725"/>
      <c r="D16" s="2905">
        <f>D6*E16</f>
        <v>0</v>
      </c>
      <c r="E16" s="2906"/>
      <c r="F16" s="2891" t="s">
        <v>2384</v>
      </c>
      <c r="G16" s="2870"/>
      <c r="H16" s="2845"/>
      <c r="I16" s="2846"/>
      <c r="J16" s="3714"/>
      <c r="K16" s="3716"/>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26" t="s">
        <v>2386</v>
      </c>
      <c r="C17" s="3727"/>
      <c r="D17" s="2908">
        <f>ROUND(D6*E17,0)</f>
        <v>0</v>
      </c>
      <c r="E17" s="2909"/>
      <c r="F17" s="2910" t="s">
        <v>2387</v>
      </c>
      <c r="G17" s="2870"/>
      <c r="H17" s="2845"/>
      <c r="I17" s="2846"/>
      <c r="J17" s="3714"/>
      <c r="K17" s="3716"/>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14"/>
      <c r="K18" s="3716"/>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14"/>
      <c r="K19" s="3717"/>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14">
        <v>3</v>
      </c>
      <c r="K20" s="3715"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14"/>
      <c r="K21" s="3716"/>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14"/>
      <c r="K22" s="3716"/>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14"/>
      <c r="K23" s="3716"/>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14"/>
      <c r="K24" s="3717"/>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18">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1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20" t="s">
        <v>2319</v>
      </c>
      <c r="K32" s="3721"/>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22" t="s">
        <v>2329</v>
      </c>
      <c r="K33" s="3723"/>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22" t="s">
        <v>2331</v>
      </c>
      <c r="K34" s="372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14">
        <v>1</v>
      </c>
      <c r="K36" s="3715"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14"/>
      <c r="K37" s="3716"/>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14"/>
      <c r="K38" s="3716"/>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14"/>
      <c r="K39" s="3716"/>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14"/>
      <c r="K40" s="3717"/>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8">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1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975.39</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1665</v>
      </c>
      <c r="B4" s="356"/>
      <c r="C4" s="3677" t="s">
        <v>1666</v>
      </c>
      <c r="D4" s="3678"/>
      <c r="E4" s="3679" t="s">
        <v>1667</v>
      </c>
      <c r="F4" s="3680"/>
      <c r="G4" s="3677" t="s">
        <v>1668</v>
      </c>
      <c r="H4" s="3678"/>
      <c r="I4" s="3677" t="s">
        <v>1669</v>
      </c>
      <c r="J4" s="3678"/>
      <c r="K4" s="1886" t="s">
        <v>1670</v>
      </c>
      <c r="L4" s="2712"/>
      <c r="M4" s="2713"/>
      <c r="N4" s="2713"/>
      <c r="O4" s="2713"/>
      <c r="P4" s="3681" t="s">
        <v>1671</v>
      </c>
      <c r="Q4" s="3682"/>
      <c r="R4" s="3687" t="s">
        <v>1667</v>
      </c>
      <c r="S4" s="3688"/>
      <c r="T4" s="3687" t="s">
        <v>1668</v>
      </c>
      <c r="U4" s="3688"/>
      <c r="V4" s="3672" t="s">
        <v>1669</v>
      </c>
      <c r="W4" s="3672"/>
      <c r="X4" s="1352"/>
      <c r="Y4" s="3687" t="s">
        <v>1671</v>
      </c>
      <c r="Z4" s="3688"/>
      <c r="AA4" s="3674" t="s">
        <v>1667</v>
      </c>
      <c r="AB4" s="3674" t="s">
        <v>1668</v>
      </c>
      <c r="AC4" s="3674" t="s">
        <v>1669</v>
      </c>
    </row>
    <row r="5" spans="1:29" ht="15">
      <c r="A5" s="358"/>
      <c r="B5" s="359"/>
      <c r="C5" s="3733" t="s">
        <v>1672</v>
      </c>
      <c r="D5" s="3696"/>
      <c r="E5" s="3734" t="s">
        <v>1673</v>
      </c>
      <c r="F5" s="3703"/>
      <c r="G5" s="3733" t="s">
        <v>1674</v>
      </c>
      <c r="H5" s="3696"/>
      <c r="I5" s="3733" t="s">
        <v>1675</v>
      </c>
      <c r="J5" s="3696"/>
      <c r="K5" s="1887"/>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1887"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45303</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7" t="s">
        <v>1679</v>
      </c>
      <c r="Q7" s="3699"/>
      <c r="R7" s="699" t="s">
        <v>20</v>
      </c>
      <c r="S7" s="700">
        <f t="shared" ref="S7:S15" si="0">F7</f>
        <v>0</v>
      </c>
      <c r="T7" s="699" t="s">
        <v>20</v>
      </c>
      <c r="U7" s="700">
        <f t="shared" ref="U7:U15" si="1">H7</f>
        <v>0</v>
      </c>
      <c r="V7" s="699" t="s">
        <v>20</v>
      </c>
      <c r="W7" s="700">
        <f t="shared" ref="W7:W15"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7" t="s">
        <v>1682</v>
      </c>
      <c r="Q8" s="3698"/>
      <c r="R8" s="699" t="s">
        <v>20</v>
      </c>
      <c r="S8" s="700">
        <f t="shared" si="0"/>
        <v>100</v>
      </c>
      <c r="T8" s="699" t="s">
        <v>20</v>
      </c>
      <c r="U8" s="700">
        <f t="shared" si="1"/>
        <v>100</v>
      </c>
      <c r="V8" s="699" t="s">
        <v>20</v>
      </c>
      <c r="W8" s="700">
        <f t="shared" si="2"/>
        <v>100</v>
      </c>
      <c r="X8" s="701"/>
      <c r="Y8" s="3697" t="s">
        <v>1682</v>
      </c>
      <c r="Z8" s="3698"/>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3"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3"/>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3"/>
      <c r="Q11" s="1340" t="str">
        <f t="shared" si="6"/>
        <v>容积率</v>
      </c>
      <c r="R11" s="699" t="s">
        <v>18</v>
      </c>
      <c r="S11" s="700" t="e">
        <f t="shared" si="0"/>
        <v>#N/A</v>
      </c>
      <c r="T11" s="699" t="s">
        <v>18</v>
      </c>
      <c r="U11" s="700" t="e">
        <f t="shared" si="1"/>
        <v>#N/A</v>
      </c>
      <c r="V11" s="699" t="s">
        <v>18</v>
      </c>
      <c r="W11" s="700" t="e">
        <f t="shared" si="2"/>
        <v>#N/A</v>
      </c>
      <c r="X11" s="701"/>
      <c r="Y11" s="3565"/>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3"/>
      <c r="Q12" s="1340">
        <f t="shared" si="6"/>
        <v>111</v>
      </c>
      <c r="R12" s="699" t="s">
        <v>18</v>
      </c>
      <c r="S12" s="700">
        <f t="shared" si="0"/>
        <v>100</v>
      </c>
      <c r="T12" s="699" t="s">
        <v>18</v>
      </c>
      <c r="U12" s="700">
        <f t="shared" si="1"/>
        <v>100</v>
      </c>
      <c r="V12" s="699" t="s">
        <v>18</v>
      </c>
      <c r="W12" s="700">
        <f t="shared" si="2"/>
        <v>100</v>
      </c>
      <c r="X12" s="701"/>
      <c r="Y12" s="3565"/>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3"/>
      <c r="Q13" s="1340">
        <f t="shared" si="6"/>
        <v>111</v>
      </c>
      <c r="R13" s="699" t="s">
        <v>18</v>
      </c>
      <c r="S13" s="700">
        <f t="shared" si="0"/>
        <v>100</v>
      </c>
      <c r="T13" s="699" t="s">
        <v>18</v>
      </c>
      <c r="U13" s="700">
        <f t="shared" si="1"/>
        <v>100</v>
      </c>
      <c r="V13" s="699" t="s">
        <v>18</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3"/>
      <c r="Q14" s="1340">
        <f t="shared" si="6"/>
        <v>111</v>
      </c>
      <c r="R14" s="699" t="s">
        <v>18</v>
      </c>
      <c r="S14" s="700">
        <f t="shared" si="0"/>
        <v>100</v>
      </c>
      <c r="T14" s="699" t="s">
        <v>18</v>
      </c>
      <c r="U14" s="700">
        <f t="shared" si="1"/>
        <v>100</v>
      </c>
      <c r="V14" s="699" t="s">
        <v>18</v>
      </c>
      <c r="W14" s="700">
        <f t="shared" si="2"/>
        <v>100</v>
      </c>
      <c r="X14" s="701"/>
      <c r="Y14" s="3565"/>
      <c r="Z14" s="52">
        <f t="shared" si="7"/>
        <v>111</v>
      </c>
      <c r="AA14" s="702">
        <f t="shared" si="3"/>
        <v>1</v>
      </c>
      <c r="AB14" s="702">
        <f t="shared" si="4"/>
        <v>1</v>
      </c>
      <c r="AC14" s="702">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3" t="s">
        <v>1690</v>
      </c>
      <c r="Q15" s="1349" t="str">
        <f t="shared" si="6"/>
        <v>居住社区成熟度</v>
      </c>
      <c r="R15" s="703" t="s">
        <v>18</v>
      </c>
      <c r="S15" s="704">
        <f t="shared" si="0"/>
        <v>100</v>
      </c>
      <c r="T15" s="703" t="s">
        <v>18</v>
      </c>
      <c r="U15" s="704">
        <f t="shared" si="1"/>
        <v>100</v>
      </c>
      <c r="V15" s="703" t="s">
        <v>18</v>
      </c>
      <c r="W15" s="704">
        <f t="shared" si="2"/>
        <v>100</v>
      </c>
      <c r="X15" s="1352"/>
      <c r="Y15" s="3665"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64"/>
      <c r="Q16" s="1349"/>
      <c r="R16" s="703"/>
      <c r="S16" s="704"/>
      <c r="T16" s="703"/>
      <c r="U16" s="704"/>
      <c r="V16" s="703"/>
      <c r="W16" s="704"/>
      <c r="X16" s="1352"/>
      <c r="Y16" s="3666"/>
      <c r="Z16" s="1353"/>
      <c r="AA16" s="1350">
        <v>1</v>
      </c>
      <c r="AB16" s="1350">
        <v>1</v>
      </c>
      <c r="AC16" s="1350">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4"/>
      <c r="Q17" s="1349" t="str">
        <f>B17</f>
        <v>交通便捷度</v>
      </c>
      <c r="R17" s="703" t="s">
        <v>18</v>
      </c>
      <c r="S17" s="704">
        <f>F17</f>
        <v>100</v>
      </c>
      <c r="T17" s="703" t="s">
        <v>18</v>
      </c>
      <c r="U17" s="704">
        <f>H17</f>
        <v>100</v>
      </c>
      <c r="V17" s="703" t="s">
        <v>18</v>
      </c>
      <c r="W17" s="704">
        <f>J17</f>
        <v>100</v>
      </c>
      <c r="X17" s="1352"/>
      <c r="Y17" s="366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64"/>
      <c r="Q18" s="1349"/>
      <c r="R18" s="703"/>
      <c r="S18" s="704"/>
      <c r="T18" s="703"/>
      <c r="U18" s="704"/>
      <c r="V18" s="703"/>
      <c r="W18" s="704"/>
      <c r="X18" s="1352"/>
      <c r="Y18" s="3666"/>
      <c r="Z18" s="1353"/>
      <c r="AA18" s="1350">
        <v>1</v>
      </c>
      <c r="AB18" s="1350">
        <v>1</v>
      </c>
      <c r="AC18" s="1350">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4"/>
      <c r="Q19" s="1349" t="str">
        <f>B19</f>
        <v>公共配套设施</v>
      </c>
      <c r="R19" s="703" t="s">
        <v>18</v>
      </c>
      <c r="S19" s="704">
        <f>F19</f>
        <v>100</v>
      </c>
      <c r="T19" s="703" t="s">
        <v>18</v>
      </c>
      <c r="U19" s="704">
        <f>H19</f>
        <v>100</v>
      </c>
      <c r="V19" s="703" t="s">
        <v>18</v>
      </c>
      <c r="W19" s="704">
        <f>J19</f>
        <v>100</v>
      </c>
      <c r="X19" s="1352"/>
      <c r="Y19" s="366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64"/>
      <c r="Q20" s="1349"/>
      <c r="R20" s="703"/>
      <c r="S20" s="704"/>
      <c r="T20" s="703"/>
      <c r="U20" s="704"/>
      <c r="V20" s="703"/>
      <c r="W20" s="704"/>
      <c r="X20" s="1352"/>
      <c r="Y20" s="3666"/>
      <c r="Z20" s="1353"/>
      <c r="AA20" s="1350">
        <v>1</v>
      </c>
      <c r="AB20" s="1350">
        <v>1</v>
      </c>
      <c r="AC20" s="1350">
        <v>1</v>
      </c>
    </row>
    <row r="21" spans="1:29" ht="28.5">
      <c r="A21" s="379"/>
      <c r="B21" s="1128"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4"/>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64"/>
      <c r="Q22" s="1349"/>
      <c r="R22" s="703"/>
      <c r="S22" s="704"/>
      <c r="T22" s="703"/>
      <c r="U22" s="704"/>
      <c r="V22" s="703"/>
      <c r="W22" s="704"/>
      <c r="X22" s="1352"/>
      <c r="Y22" s="3666"/>
      <c r="Z22" s="1353"/>
      <c r="AA22" s="1350">
        <v>1</v>
      </c>
      <c r="AB22" s="1350">
        <v>1</v>
      </c>
      <c r="AC22" s="1350">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4"/>
      <c r="Q23" s="1349" t="str">
        <f>B23</f>
        <v>自然及人文环境</v>
      </c>
      <c r="R23" s="703" t="s">
        <v>18</v>
      </c>
      <c r="S23" s="704">
        <f>F23</f>
        <v>100</v>
      </c>
      <c r="T23" s="703" t="s">
        <v>18</v>
      </c>
      <c r="U23" s="704">
        <f>H23</f>
        <v>100</v>
      </c>
      <c r="V23" s="703" t="s">
        <v>18</v>
      </c>
      <c r="W23" s="704">
        <f>J23</f>
        <v>100</v>
      </c>
      <c r="X23" s="1352"/>
      <c r="Y23" s="366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64"/>
      <c r="Q24" s="1349"/>
      <c r="R24" s="703"/>
      <c r="S24" s="704"/>
      <c r="T24" s="703"/>
      <c r="U24" s="704"/>
      <c r="V24" s="703"/>
      <c r="W24" s="704"/>
      <c r="X24" s="1352"/>
      <c r="Y24" s="3666"/>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6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66"/>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64"/>
      <c r="Q26" s="1349" t="str">
        <f t="shared" si="11"/>
        <v>朝向</v>
      </c>
      <c r="R26" s="703" t="s">
        <v>18</v>
      </c>
      <c r="S26" s="704">
        <f t="shared" si="12"/>
        <v>100</v>
      </c>
      <c r="T26" s="703" t="s">
        <v>18</v>
      </c>
      <c r="U26" s="704">
        <f t="shared" si="13"/>
        <v>100</v>
      </c>
      <c r="V26" s="703" t="s">
        <v>18</v>
      </c>
      <c r="W26" s="704">
        <f t="shared" si="14"/>
        <v>100</v>
      </c>
      <c r="X26" s="1352"/>
      <c r="Y26" s="3666"/>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64"/>
      <c r="Q27" s="1340">
        <f t="shared" si="11"/>
        <v>111</v>
      </c>
      <c r="R27" s="699" t="s">
        <v>18</v>
      </c>
      <c r="S27" s="700">
        <f t="shared" si="12"/>
        <v>100</v>
      </c>
      <c r="T27" s="699" t="s">
        <v>18</v>
      </c>
      <c r="U27" s="700">
        <f t="shared" si="13"/>
        <v>100</v>
      </c>
      <c r="V27" s="699" t="s">
        <v>18</v>
      </c>
      <c r="W27" s="700">
        <f t="shared" si="14"/>
        <v>100</v>
      </c>
      <c r="X27" s="701"/>
      <c r="Y27" s="3666"/>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64"/>
      <c r="Q28" s="1349">
        <f t="shared" si="11"/>
        <v>111</v>
      </c>
      <c r="R28" s="703" t="s">
        <v>18</v>
      </c>
      <c r="S28" s="704">
        <f t="shared" si="12"/>
        <v>100</v>
      </c>
      <c r="T28" s="703" t="s">
        <v>18</v>
      </c>
      <c r="U28" s="704">
        <f t="shared" si="13"/>
        <v>100</v>
      </c>
      <c r="V28" s="703" t="s">
        <v>18</v>
      </c>
      <c r="W28" s="704">
        <f t="shared" si="14"/>
        <v>100</v>
      </c>
      <c r="X28" s="1352"/>
      <c r="Y28" s="3666"/>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64"/>
      <c r="Q29" s="1349">
        <f t="shared" si="11"/>
        <v>111</v>
      </c>
      <c r="R29" s="703" t="s">
        <v>18</v>
      </c>
      <c r="S29" s="704">
        <f t="shared" si="12"/>
        <v>100</v>
      </c>
      <c r="T29" s="703" t="s">
        <v>18</v>
      </c>
      <c r="U29" s="704">
        <f t="shared" si="13"/>
        <v>100</v>
      </c>
      <c r="V29" s="703" t="s">
        <v>18</v>
      </c>
      <c r="W29" s="704">
        <f t="shared" si="14"/>
        <v>100</v>
      </c>
      <c r="X29" s="1352"/>
      <c r="Y29" s="3666"/>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64"/>
      <c r="Q30" s="1349">
        <f t="shared" si="11"/>
        <v>111</v>
      </c>
      <c r="R30" s="703" t="s">
        <v>18</v>
      </c>
      <c r="S30" s="704">
        <f t="shared" si="12"/>
        <v>100</v>
      </c>
      <c r="T30" s="703" t="s">
        <v>18</v>
      </c>
      <c r="U30" s="704">
        <f t="shared" si="13"/>
        <v>100</v>
      </c>
      <c r="V30" s="703" t="s">
        <v>18</v>
      </c>
      <c r="W30" s="704">
        <f t="shared" si="14"/>
        <v>100</v>
      </c>
      <c r="X30" s="1352"/>
      <c r="Y30" s="3666"/>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64"/>
      <c r="Q31" s="1349">
        <f t="shared" si="11"/>
        <v>111</v>
      </c>
      <c r="R31" s="703" t="s">
        <v>18</v>
      </c>
      <c r="S31" s="704">
        <f t="shared" si="12"/>
        <v>100</v>
      </c>
      <c r="T31" s="703" t="s">
        <v>18</v>
      </c>
      <c r="U31" s="704">
        <f t="shared" si="13"/>
        <v>100</v>
      </c>
      <c r="V31" s="703" t="s">
        <v>18</v>
      </c>
      <c r="W31" s="704">
        <f t="shared" si="14"/>
        <v>100</v>
      </c>
      <c r="X31" s="1352"/>
      <c r="Y31" s="3666"/>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67" t="s">
        <v>1695</v>
      </c>
      <c r="Q32" s="1349" t="str">
        <f t="shared" si="11"/>
        <v>建筑类型</v>
      </c>
      <c r="R32" s="703" t="s">
        <v>18</v>
      </c>
      <c r="S32" s="704">
        <f t="shared" si="12"/>
        <v>100</v>
      </c>
      <c r="T32" s="703" t="s">
        <v>18</v>
      </c>
      <c r="U32" s="704">
        <f t="shared" si="13"/>
        <v>100</v>
      </c>
      <c r="V32" s="703" t="s">
        <v>18</v>
      </c>
      <c r="W32" s="704">
        <f t="shared" si="14"/>
        <v>100</v>
      </c>
      <c r="X32" s="1352"/>
      <c r="Y32" s="3670"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68"/>
      <c r="Q33" s="705" t="str">
        <f t="shared" si="11"/>
        <v>项目建筑规模</v>
      </c>
      <c r="R33" s="706" t="s">
        <v>18</v>
      </c>
      <c r="S33" s="707" t="e">
        <f t="shared" si="12"/>
        <v>#N/A</v>
      </c>
      <c r="T33" s="706" t="s">
        <v>18</v>
      </c>
      <c r="U33" s="707" t="e">
        <f t="shared" si="13"/>
        <v>#N/A</v>
      </c>
      <c r="V33" s="706" t="s">
        <v>18</v>
      </c>
      <c r="W33" s="707" t="e">
        <f t="shared" si="14"/>
        <v>#N/A</v>
      </c>
      <c r="X33" s="708"/>
      <c r="Y33" s="3670"/>
      <c r="Z33" s="709"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68"/>
      <c r="Q34" s="1349" t="str">
        <f t="shared" si="11"/>
        <v>建筑结构</v>
      </c>
      <c r="R34" s="703" t="s">
        <v>18</v>
      </c>
      <c r="S34" s="704">
        <f t="shared" si="12"/>
        <v>100</v>
      </c>
      <c r="T34" s="703" t="s">
        <v>18</v>
      </c>
      <c r="U34" s="704">
        <f t="shared" si="13"/>
        <v>100</v>
      </c>
      <c r="V34" s="703" t="s">
        <v>18</v>
      </c>
      <c r="W34" s="704">
        <f t="shared" si="14"/>
        <v>100</v>
      </c>
      <c r="X34" s="1352"/>
      <c r="Y34" s="3670"/>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68"/>
      <c r="Q35" s="1349" t="str">
        <f t="shared" si="11"/>
        <v>建筑品质</v>
      </c>
      <c r="R35" s="703" t="s">
        <v>18</v>
      </c>
      <c r="S35" s="704">
        <f t="shared" si="12"/>
        <v>100</v>
      </c>
      <c r="T35" s="703" t="s">
        <v>18</v>
      </c>
      <c r="U35" s="704">
        <f t="shared" si="13"/>
        <v>100</v>
      </c>
      <c r="V35" s="703" t="s">
        <v>18</v>
      </c>
      <c r="W35" s="704">
        <f t="shared" si="14"/>
        <v>100</v>
      </c>
      <c r="X35" s="1352"/>
      <c r="Y35" s="3670"/>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68"/>
      <c r="Q36" s="1349" t="str">
        <f t="shared" si="11"/>
        <v>公共部分装修</v>
      </c>
      <c r="R36" s="703" t="s">
        <v>18</v>
      </c>
      <c r="S36" s="704">
        <f t="shared" si="12"/>
        <v>100</v>
      </c>
      <c r="T36" s="703" t="s">
        <v>18</v>
      </c>
      <c r="U36" s="704">
        <f t="shared" si="13"/>
        <v>100</v>
      </c>
      <c r="V36" s="703" t="s">
        <v>18</v>
      </c>
      <c r="W36" s="704">
        <f t="shared" si="14"/>
        <v>100</v>
      </c>
      <c r="X36" s="1352"/>
      <c r="Y36" s="3670"/>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8"/>
      <c r="Q37" s="1340" t="str">
        <f t="shared" si="11"/>
        <v>成新度</v>
      </c>
      <c r="R37" s="699" t="s">
        <v>18</v>
      </c>
      <c r="S37" s="700" t="e">
        <f t="shared" si="12"/>
        <v>#N/A</v>
      </c>
      <c r="T37" s="699" t="s">
        <v>18</v>
      </c>
      <c r="U37" s="700" t="e">
        <f t="shared" si="13"/>
        <v>#N/A</v>
      </c>
      <c r="V37" s="699" t="s">
        <v>18</v>
      </c>
      <c r="W37" s="700" t="e">
        <f t="shared" si="14"/>
        <v>#N/A</v>
      </c>
      <c r="X37" s="701"/>
      <c r="Y37" s="3670"/>
      <c r="Z37" s="52" t="str">
        <f t="shared" si="18"/>
        <v>成新度</v>
      </c>
      <c r="AA37" s="702" t="e">
        <f t="shared" si="15"/>
        <v>#N/A</v>
      </c>
      <c r="AB37" s="702" t="e">
        <f t="shared" si="16"/>
        <v>#N/A</v>
      </c>
      <c r="AC37" s="702"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68" t="s">
        <v>1695</v>
      </c>
      <c r="Q38" s="1349" t="str">
        <f t="shared" si="11"/>
        <v>物业管理</v>
      </c>
      <c r="R38" s="703" t="s">
        <v>18</v>
      </c>
      <c r="S38" s="704">
        <f t="shared" si="12"/>
        <v>100</v>
      </c>
      <c r="T38" s="703" t="s">
        <v>18</v>
      </c>
      <c r="U38" s="704">
        <f t="shared" si="13"/>
        <v>100</v>
      </c>
      <c r="V38" s="703" t="s">
        <v>18</v>
      </c>
      <c r="W38" s="704">
        <f t="shared" si="14"/>
        <v>100</v>
      </c>
      <c r="X38" s="1352"/>
      <c r="Y38" s="3670"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68"/>
      <c r="Q39" s="1349" t="str">
        <f t="shared" si="11"/>
        <v>市政基础设施</v>
      </c>
      <c r="R39" s="703" t="s">
        <v>18</v>
      </c>
      <c r="S39" s="704">
        <f t="shared" si="12"/>
        <v>100</v>
      </c>
      <c r="T39" s="703" t="s">
        <v>18</v>
      </c>
      <c r="U39" s="704">
        <f t="shared" si="13"/>
        <v>100</v>
      </c>
      <c r="V39" s="703" t="s">
        <v>18</v>
      </c>
      <c r="W39" s="704">
        <f t="shared" si="14"/>
        <v>100</v>
      </c>
      <c r="X39" s="1352"/>
      <c r="Y39" s="3670"/>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68"/>
      <c r="Q40" s="1349" t="str">
        <f t="shared" si="11"/>
        <v>房型</v>
      </c>
      <c r="R40" s="703" t="s">
        <v>18</v>
      </c>
      <c r="S40" s="704">
        <f t="shared" si="12"/>
        <v>100</v>
      </c>
      <c r="T40" s="703" t="s">
        <v>18</v>
      </c>
      <c r="U40" s="704">
        <f t="shared" si="13"/>
        <v>100</v>
      </c>
      <c r="V40" s="703" t="s">
        <v>18</v>
      </c>
      <c r="W40" s="704">
        <f t="shared" si="14"/>
        <v>100</v>
      </c>
      <c r="X40" s="1352"/>
      <c r="Y40" s="3670"/>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68"/>
      <c r="Q41" s="705" t="str">
        <f t="shared" si="11"/>
        <v>单套/主力户型建筑面积</v>
      </c>
      <c r="R41" s="706" t="s">
        <v>18</v>
      </c>
      <c r="S41" s="707">
        <f t="shared" si="12"/>
        <v>100</v>
      </c>
      <c r="T41" s="706" t="s">
        <v>18</v>
      </c>
      <c r="U41" s="707">
        <f t="shared" si="13"/>
        <v>100</v>
      </c>
      <c r="V41" s="706" t="s">
        <v>18</v>
      </c>
      <c r="W41" s="707">
        <f t="shared" si="14"/>
        <v>100</v>
      </c>
      <c r="X41" s="708"/>
      <c r="Y41" s="3670"/>
      <c r="Z41" s="709"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68"/>
      <c r="Q42" s="1349" t="str">
        <f t="shared" si="11"/>
        <v>内部装修</v>
      </c>
      <c r="R42" s="703" t="s">
        <v>18</v>
      </c>
      <c r="S42" s="704">
        <f t="shared" si="12"/>
        <v>100</v>
      </c>
      <c r="T42" s="703" t="s">
        <v>18</v>
      </c>
      <c r="U42" s="704">
        <f t="shared" si="13"/>
        <v>100</v>
      </c>
      <c r="V42" s="703" t="s">
        <v>18</v>
      </c>
      <c r="W42" s="704">
        <f t="shared" si="14"/>
        <v>100</v>
      </c>
      <c r="X42" s="1352"/>
      <c r="Y42" s="3670"/>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68"/>
      <c r="Q43" s="1349" t="str">
        <f t="shared" si="11"/>
        <v>内部装修维护情况</v>
      </c>
      <c r="R43" s="703" t="s">
        <v>18</v>
      </c>
      <c r="S43" s="704">
        <f t="shared" si="12"/>
        <v>100</v>
      </c>
      <c r="T43" s="703" t="s">
        <v>18</v>
      </c>
      <c r="U43" s="704">
        <f t="shared" si="13"/>
        <v>100</v>
      </c>
      <c r="V43" s="703" t="s">
        <v>18</v>
      </c>
      <c r="W43" s="704">
        <f t="shared" si="14"/>
        <v>100</v>
      </c>
      <c r="X43" s="1352"/>
      <c r="Y43" s="3670"/>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68"/>
      <c r="Q44" s="1340">
        <f t="shared" si="11"/>
        <v>111</v>
      </c>
      <c r="R44" s="699" t="s">
        <v>18</v>
      </c>
      <c r="S44" s="700">
        <f t="shared" si="12"/>
        <v>100</v>
      </c>
      <c r="T44" s="699" t="s">
        <v>18</v>
      </c>
      <c r="U44" s="700">
        <f t="shared" si="13"/>
        <v>100</v>
      </c>
      <c r="V44" s="699" t="s">
        <v>18</v>
      </c>
      <c r="W44" s="700">
        <f t="shared" si="14"/>
        <v>100</v>
      </c>
      <c r="X44" s="701"/>
      <c r="Y44" s="3670"/>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68"/>
      <c r="Q45" s="1349">
        <f t="shared" si="11"/>
        <v>111</v>
      </c>
      <c r="R45" s="703" t="s">
        <v>18</v>
      </c>
      <c r="S45" s="704">
        <f t="shared" si="12"/>
        <v>100</v>
      </c>
      <c r="T45" s="703" t="s">
        <v>18</v>
      </c>
      <c r="U45" s="704">
        <f t="shared" si="13"/>
        <v>100</v>
      </c>
      <c r="V45" s="703" t="s">
        <v>18</v>
      </c>
      <c r="W45" s="704">
        <f t="shared" si="14"/>
        <v>100</v>
      </c>
      <c r="X45" s="1352"/>
      <c r="Y45" s="3670"/>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69"/>
      <c r="Q46" s="1349">
        <f t="shared" si="11"/>
        <v>111</v>
      </c>
      <c r="R46" s="703" t="s">
        <v>17</v>
      </c>
      <c r="S46" s="704">
        <f t="shared" si="12"/>
        <v>100</v>
      </c>
      <c r="T46" s="703" t="s">
        <v>17</v>
      </c>
      <c r="U46" s="704">
        <f t="shared" si="13"/>
        <v>100</v>
      </c>
      <c r="V46" s="703" t="s">
        <v>17</v>
      </c>
      <c r="W46" s="704">
        <f t="shared" si="14"/>
        <v>100</v>
      </c>
      <c r="X46" s="1352"/>
      <c r="Y46" s="3671"/>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21"/>
      <c r="M47" s="2722"/>
      <c r="N47" s="2713"/>
      <c r="O47" s="2722"/>
      <c r="P47" s="3658" t="str">
        <f>A47</f>
        <v>成交单价（元/平方米）</v>
      </c>
      <c r="Q47" s="3658"/>
      <c r="R47" s="3659">
        <f>E47</f>
        <v>0</v>
      </c>
      <c r="S47" s="3659"/>
      <c r="T47" s="3659">
        <f>G47</f>
        <v>0</v>
      </c>
      <c r="U47" s="3659"/>
      <c r="V47" s="3659">
        <f>I47</f>
        <v>0</v>
      </c>
      <c r="W47" s="3659"/>
      <c r="X47" s="688"/>
      <c r="Y47" s="710"/>
      <c r="Z47" s="688"/>
      <c r="AA47" s="688"/>
      <c r="AB47" s="688"/>
      <c r="AC47" s="688"/>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8"/>
      <c r="Y48" s="688"/>
      <c r="Z48" s="688"/>
      <c r="AA48" s="688"/>
      <c r="AB48" s="688"/>
      <c r="AC48" s="688"/>
    </row>
    <row r="49" spans="1:29" ht="15.75" thickBot="1">
      <c r="A49" s="441" t="s">
        <v>1709</v>
      </c>
      <c r="B49" s="442"/>
      <c r="C49" s="1159" t="e">
        <f>R49</f>
        <v>#DIV/0!</v>
      </c>
      <c r="D49" s="1160"/>
      <c r="E49" s="1160"/>
      <c r="F49" s="1160"/>
      <c r="G49" s="1160"/>
      <c r="H49" s="1160"/>
      <c r="I49" s="1160"/>
      <c r="J49" s="1160"/>
      <c r="K49" s="1912"/>
      <c r="L49" s="2721"/>
      <c r="M49" s="2722"/>
      <c r="N49" s="2722"/>
      <c r="O49" s="2722"/>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1713</v>
      </c>
      <c r="B57" s="688"/>
      <c r="C57" s="693"/>
      <c r="D57" s="693"/>
      <c r="E57" s="693"/>
      <c r="F57" s="694"/>
      <c r="G57" s="694"/>
      <c r="H57" s="693"/>
      <c r="I57" s="693"/>
      <c r="J57" s="693"/>
      <c r="K57" s="939"/>
      <c r="L57" s="940"/>
      <c r="M57" s="938"/>
      <c r="N57" s="938"/>
      <c r="O57" s="938"/>
      <c r="P57" s="1915"/>
      <c r="Q57" s="453"/>
    </row>
    <row r="58" spans="1:29" s="457" customFormat="1" ht="15">
      <c r="A58" s="454" t="s">
        <v>1714</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1718</v>
      </c>
      <c r="B63" s="477" t="s">
        <v>1684</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1687</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1733</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1734</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1693</v>
      </c>
      <c r="B100" s="477" t="s">
        <v>1735</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1737</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1738</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1739</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1740</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1741</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1742</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1743</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1">
        <f>ROUNDUP((J139-1)/2,0)</f>
        <v>10</v>
      </c>
      <c r="K140" s="876">
        <v>100</v>
      </c>
    </row>
    <row r="141" spans="1:17" ht="15">
      <c r="B141" s="871">
        <v>4</v>
      </c>
      <c r="C141" s="872">
        <v>102</v>
      </c>
      <c r="D141" s="872"/>
      <c r="E141" s="873"/>
      <c r="F141" s="874">
        <v>101.5</v>
      </c>
      <c r="G141" s="872"/>
      <c r="H141" s="875"/>
      <c r="I141" s="1939" t="s">
        <v>1757</v>
      </c>
      <c r="J141" s="271">
        <v>1</v>
      </c>
      <c r="K141" s="877">
        <f>ROUND(100+(J141-J140)*K139*100,1)</f>
        <v>96.4</v>
      </c>
    </row>
    <row r="142" spans="1:17" ht="15">
      <c r="B142" s="871">
        <v>3</v>
      </c>
      <c r="C142" s="872">
        <v>103</v>
      </c>
      <c r="D142" s="872"/>
      <c r="E142" s="873"/>
      <c r="F142" s="874">
        <v>101</v>
      </c>
      <c r="G142" s="872"/>
      <c r="H142" s="875"/>
      <c r="I142" s="1939" t="s">
        <v>1758</v>
      </c>
      <c r="J142" s="271">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5.75"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c r="B147" s="1926" t="s">
        <v>1763</v>
      </c>
    </row>
    <row r="148" spans="2:11">
      <c r="B148" s="192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t="s">
        <v>21</v>
      </c>
      <c r="E1" s="3430" t="s">
        <v>3397</v>
      </c>
      <c r="F1" s="1876" t="s">
        <v>3398</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741" t="s">
        <v>1774</v>
      </c>
      <c r="Q4" s="3742"/>
      <c r="R4" s="3745" t="s">
        <v>1770</v>
      </c>
      <c r="S4" s="3746"/>
      <c r="T4" s="3745" t="s">
        <v>1771</v>
      </c>
      <c r="U4" s="3746"/>
      <c r="V4" s="3747" t="s">
        <v>1772</v>
      </c>
      <c r="W4" s="3747"/>
      <c r="X4" s="1955"/>
      <c r="Y4" s="3745" t="s">
        <v>1774</v>
      </c>
      <c r="Z4" s="3746"/>
      <c r="AA4" s="3749" t="s">
        <v>1770</v>
      </c>
      <c r="AB4" s="3749" t="s">
        <v>1771</v>
      </c>
      <c r="AC4" s="3738" t="s">
        <v>1772</v>
      </c>
    </row>
    <row r="5" spans="1:29" ht="15">
      <c r="A5" s="358"/>
      <c r="B5" s="359"/>
      <c r="C5" s="3733" t="s">
        <v>1672</v>
      </c>
      <c r="D5" s="3696"/>
      <c r="E5" s="3702" t="s">
        <v>3429</v>
      </c>
      <c r="F5" s="3703"/>
      <c r="G5" s="3695" t="s">
        <v>3429</v>
      </c>
      <c r="H5" s="3696"/>
      <c r="I5" s="3695" t="s">
        <v>3432</v>
      </c>
      <c r="J5" s="3696"/>
      <c r="K5" s="559"/>
      <c r="L5" s="2712"/>
      <c r="M5" s="2713"/>
      <c r="N5" s="2713"/>
      <c r="O5" s="2713"/>
      <c r="P5" s="3743"/>
      <c r="Q5" s="3684"/>
      <c r="R5" s="3689"/>
      <c r="S5" s="3690"/>
      <c r="T5" s="3689"/>
      <c r="U5" s="3690"/>
      <c r="V5" s="3672"/>
      <c r="W5" s="3672"/>
      <c r="X5" s="1352"/>
      <c r="Y5" s="3689"/>
      <c r="Z5" s="3690"/>
      <c r="AA5" s="3675"/>
      <c r="AB5" s="3675"/>
      <c r="AC5" s="3739"/>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744"/>
      <c r="Q6" s="3686"/>
      <c r="R6" s="3689"/>
      <c r="S6" s="3690"/>
      <c r="T6" s="3691"/>
      <c r="U6" s="3692"/>
      <c r="V6" s="3672"/>
      <c r="W6" s="3672"/>
      <c r="X6" s="1352"/>
      <c r="Y6" s="3691"/>
      <c r="Z6" s="3692"/>
      <c r="AA6" s="3676"/>
      <c r="AB6" s="3676"/>
      <c r="AC6" s="3740"/>
    </row>
    <row r="7" spans="1:29" s="108" customFormat="1" ht="15.75" thickBot="1">
      <c r="A7" s="362" t="s">
        <v>1678</v>
      </c>
      <c r="B7" s="363"/>
      <c r="C7" s="364">
        <f>'数据-取费表'!B2</f>
        <v>45303</v>
      </c>
      <c r="D7" s="365">
        <v>100</v>
      </c>
      <c r="E7" s="366">
        <v>45200</v>
      </c>
      <c r="F7" s="367">
        <f>SUMIF(59:59,YEAR(E7)&amp;"-"&amp;MONTH(E7),60:60)</f>
        <v>0</v>
      </c>
      <c r="G7" s="366">
        <v>45200</v>
      </c>
      <c r="H7" s="365">
        <f>SUMIF(59:59,YEAR(G7)&amp;"-"&amp;MONTH(G7),60:60)</f>
        <v>0</v>
      </c>
      <c r="I7" s="366">
        <v>45200</v>
      </c>
      <c r="J7" s="365">
        <f>SUMIF(59:59,YEAR(I7)&amp;"-"&amp;MONTH(I7),60:60)</f>
        <v>0</v>
      </c>
      <c r="K7" s="560"/>
      <c r="L7" s="2714"/>
      <c r="M7" s="2715"/>
      <c r="N7" s="2715"/>
      <c r="O7" s="2715"/>
      <c r="P7" s="3748"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1956" t="e">
        <f>D7/J7</f>
        <v>#DIV/0!</v>
      </c>
    </row>
    <row r="8" spans="1:29" s="108" customFormat="1" ht="15.75" thickBot="1">
      <c r="A8" s="362" t="s">
        <v>1680</v>
      </c>
      <c r="B8" s="363"/>
      <c r="C8" s="368" t="s">
        <v>3399</v>
      </c>
      <c r="D8" s="365">
        <v>100</v>
      </c>
      <c r="E8" s="368" t="s">
        <v>3401</v>
      </c>
      <c r="F8" s="367">
        <f>SUMIF(62:62,E8,63:63)-SUMIF(62:62,C8,63:63)+100</f>
        <v>103</v>
      </c>
      <c r="G8" s="368" t="s">
        <v>3401</v>
      </c>
      <c r="H8" s="365">
        <f>SUMIF(62:62,G8,63:63)-SUMIF(62:62,C8,63:63)+100</f>
        <v>103</v>
      </c>
      <c r="I8" s="368" t="s">
        <v>3401</v>
      </c>
      <c r="J8" s="365">
        <f>SUMIF(62:62,I8,63:63)-SUMIF(62:62,C8,63:63)+100</f>
        <v>103</v>
      </c>
      <c r="K8" s="560"/>
      <c r="L8" s="2714"/>
      <c r="M8" s="2715"/>
      <c r="N8" s="2715"/>
      <c r="O8" s="2715"/>
      <c r="P8" s="3748" t="s">
        <v>1682</v>
      </c>
      <c r="Q8" s="3698"/>
      <c r="R8" s="699" t="s">
        <v>14</v>
      </c>
      <c r="S8" s="700">
        <f t="shared" si="0"/>
        <v>103</v>
      </c>
      <c r="T8" s="699" t="s">
        <v>14</v>
      </c>
      <c r="U8" s="700">
        <f t="shared" si="1"/>
        <v>103</v>
      </c>
      <c r="V8" s="699" t="s">
        <v>14</v>
      </c>
      <c r="W8" s="700">
        <f t="shared" si="2"/>
        <v>103</v>
      </c>
      <c r="X8" s="701"/>
      <c r="Y8" s="3697" t="s">
        <v>1682</v>
      </c>
      <c r="Z8" s="3698"/>
      <c r="AA8" s="702">
        <f t="shared" ref="AA8:AA47" si="3">D8/F8</f>
        <v>0.970873786407767</v>
      </c>
      <c r="AB8" s="702">
        <f t="shared" ref="AB8:AB47" si="4">D8/H8</f>
        <v>0.970873786407767</v>
      </c>
      <c r="AC8" s="1956">
        <f t="shared" ref="AC8:AC47" si="5">D8/J8</f>
        <v>0.970873786407767</v>
      </c>
    </row>
    <row r="9" spans="1:29" s="108" customFormat="1" ht="15" thickBot="1">
      <c r="A9" s="369" t="s">
        <v>1683</v>
      </c>
      <c r="B9" s="63" t="s">
        <v>1684</v>
      </c>
      <c r="C9" s="3446" t="s">
        <v>3400</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3"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1956">
        <f t="shared" si="5"/>
        <v>1</v>
      </c>
    </row>
    <row r="10" spans="1:29" s="378" customFormat="1" ht="27" hidden="1">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3"/>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1956">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3"/>
      <c r="Q11" s="1340" t="str">
        <f t="shared" si="6"/>
        <v>容积率</v>
      </c>
      <c r="R11" s="699" t="s">
        <v>14</v>
      </c>
      <c r="S11" s="700">
        <f t="shared" si="0"/>
        <v>100</v>
      </c>
      <c r="T11" s="699" t="s">
        <v>14</v>
      </c>
      <c r="U11" s="700">
        <f t="shared" si="1"/>
        <v>100</v>
      </c>
      <c r="V11" s="699" t="s">
        <v>14</v>
      </c>
      <c r="W11" s="700">
        <f t="shared" si="2"/>
        <v>100</v>
      </c>
      <c r="X11" s="701"/>
      <c r="Y11" s="3565"/>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3"/>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3"/>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3"/>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63" t="s">
        <v>1690</v>
      </c>
      <c r="Q15" s="1349" t="str">
        <f t="shared" si="6"/>
        <v>办公集聚程度</v>
      </c>
      <c r="R15" s="703" t="s">
        <v>14</v>
      </c>
      <c r="S15" s="704">
        <f t="shared" si="0"/>
        <v>100</v>
      </c>
      <c r="T15" s="703" t="s">
        <v>14</v>
      </c>
      <c r="U15" s="704">
        <f t="shared" si="1"/>
        <v>100</v>
      </c>
      <c r="V15" s="703" t="s">
        <v>14</v>
      </c>
      <c r="W15" s="704">
        <f t="shared" si="2"/>
        <v>100</v>
      </c>
      <c r="X15" s="1352"/>
      <c r="Y15" s="3665" t="s">
        <v>1690</v>
      </c>
      <c r="Z15" s="1353" t="str">
        <f t="shared" si="7"/>
        <v>办公集聚程度</v>
      </c>
      <c r="AA15" s="1350">
        <f t="shared" si="3"/>
        <v>1</v>
      </c>
      <c r="AB15" s="1350">
        <f t="shared" si="4"/>
        <v>1</v>
      </c>
      <c r="AC15" s="1959">
        <f t="shared" si="5"/>
        <v>1</v>
      </c>
    </row>
    <row r="16" spans="1:29" ht="15">
      <c r="A16" s="379"/>
      <c r="B16" s="578"/>
      <c r="C16" s="1901" t="s">
        <v>3427</v>
      </c>
      <c r="D16" s="399"/>
      <c r="E16" s="398" t="s">
        <v>3427</v>
      </c>
      <c r="F16" s="399"/>
      <c r="G16" s="398" t="s">
        <v>3427</v>
      </c>
      <c r="H16" s="401"/>
      <c r="I16" s="398" t="s">
        <v>3427</v>
      </c>
      <c r="J16" s="399"/>
      <c r="K16" s="564"/>
      <c r="L16" s="2719"/>
      <c r="M16" s="2713"/>
      <c r="N16" s="2713"/>
      <c r="O16" s="2713"/>
      <c r="P16" s="3664"/>
      <c r="Q16" s="1349"/>
      <c r="R16" s="703"/>
      <c r="S16" s="704"/>
      <c r="T16" s="703"/>
      <c r="U16" s="704"/>
      <c r="V16" s="703"/>
      <c r="W16" s="704"/>
      <c r="X16" s="1352"/>
      <c r="Y16" s="3666"/>
      <c r="Z16" s="1353"/>
      <c r="AA16" s="1350">
        <v>1</v>
      </c>
      <c r="AB16" s="1350">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64"/>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959">
        <f t="shared" si="5"/>
        <v>1</v>
      </c>
    </row>
    <row r="18" spans="1:29" ht="15">
      <c r="A18" s="379"/>
      <c r="B18" s="580"/>
      <c r="C18" s="1961" t="s">
        <v>3427</v>
      </c>
      <c r="D18" s="401"/>
      <c r="E18" s="398" t="s">
        <v>3427</v>
      </c>
      <c r="F18" s="401"/>
      <c r="G18" s="398" t="s">
        <v>3427</v>
      </c>
      <c r="H18" s="399"/>
      <c r="I18" s="398" t="s">
        <v>3427</v>
      </c>
      <c r="J18" s="399"/>
      <c r="K18" s="564"/>
      <c r="L18" s="2719"/>
      <c r="M18" s="2713"/>
      <c r="N18" s="2713"/>
      <c r="O18" s="2713"/>
      <c r="P18" s="3664"/>
      <c r="Q18" s="1349"/>
      <c r="R18" s="703"/>
      <c r="S18" s="704"/>
      <c r="T18" s="703"/>
      <c r="U18" s="704"/>
      <c r="V18" s="703"/>
      <c r="W18" s="704"/>
      <c r="X18" s="1352"/>
      <c r="Y18" s="3666"/>
      <c r="Z18" s="1353"/>
      <c r="AA18" s="1350">
        <v>1</v>
      </c>
      <c r="AB18" s="1350">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64"/>
      <c r="Q19" s="1349" t="str">
        <f>B19</f>
        <v>公共配套设施</v>
      </c>
      <c r="R19" s="703" t="s">
        <v>14</v>
      </c>
      <c r="S19" s="704">
        <f>F19</f>
        <v>100</v>
      </c>
      <c r="T19" s="703" t="s">
        <v>14</v>
      </c>
      <c r="U19" s="704">
        <f>H19</f>
        <v>100</v>
      </c>
      <c r="V19" s="703" t="s">
        <v>14</v>
      </c>
      <c r="W19" s="704">
        <f>J19</f>
        <v>100</v>
      </c>
      <c r="X19" s="1352"/>
      <c r="Y19" s="3666"/>
      <c r="Z19" s="1353" t="str">
        <f>Q19</f>
        <v>公共配套设施</v>
      </c>
      <c r="AA19" s="1350">
        <f t="shared" si="3"/>
        <v>1</v>
      </c>
      <c r="AB19" s="1350">
        <f t="shared" si="4"/>
        <v>1</v>
      </c>
      <c r="AC19" s="1959">
        <f t="shared" si="5"/>
        <v>1</v>
      </c>
    </row>
    <row r="20" spans="1:29" ht="15">
      <c r="A20" s="379"/>
      <c r="B20" s="580"/>
      <c r="C20" s="1901" t="s">
        <v>3427</v>
      </c>
      <c r="D20" s="399"/>
      <c r="E20" s="398" t="s">
        <v>3427</v>
      </c>
      <c r="F20" s="399"/>
      <c r="G20" s="398" t="s">
        <v>3427</v>
      </c>
      <c r="H20" s="399"/>
      <c r="I20" s="398" t="s">
        <v>3427</v>
      </c>
      <c r="J20" s="399"/>
      <c r="K20" s="564"/>
      <c r="L20" s="2719"/>
      <c r="M20" s="2713"/>
      <c r="N20" s="2713"/>
      <c r="O20" s="2713"/>
      <c r="P20" s="3664"/>
      <c r="Q20" s="1349"/>
      <c r="R20" s="703"/>
      <c r="S20" s="704"/>
      <c r="T20" s="703"/>
      <c r="U20" s="704"/>
      <c r="V20" s="703"/>
      <c r="W20" s="704"/>
      <c r="X20" s="1352"/>
      <c r="Y20" s="3666"/>
      <c r="Z20" s="1353"/>
      <c r="AA20" s="1350">
        <v>1</v>
      </c>
      <c r="AB20" s="1350">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64"/>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959">
        <f t="shared" ref="AC21" si="10">D21/J21</f>
        <v>1</v>
      </c>
    </row>
    <row r="22" spans="1:29" ht="15">
      <c r="A22" s="379"/>
      <c r="B22" s="581"/>
      <c r="C22" s="1961" t="s">
        <v>3428</v>
      </c>
      <c r="D22" s="399"/>
      <c r="E22" s="1961" t="s">
        <v>3428</v>
      </c>
      <c r="F22" s="399"/>
      <c r="G22" s="1961" t="s">
        <v>3428</v>
      </c>
      <c r="H22" s="399"/>
      <c r="I22" s="1961" t="s">
        <v>3428</v>
      </c>
      <c r="J22" s="399"/>
      <c r="K22" s="1127"/>
      <c r="L22" s="2719"/>
      <c r="M22" s="2713"/>
      <c r="N22" s="2713"/>
      <c r="O22" s="2713"/>
      <c r="P22" s="3664"/>
      <c r="Q22" s="1349"/>
      <c r="R22" s="703"/>
      <c r="S22" s="704"/>
      <c r="T22" s="703"/>
      <c r="U22" s="704"/>
      <c r="V22" s="703"/>
      <c r="W22" s="704"/>
      <c r="X22" s="1352"/>
      <c r="Y22" s="3666"/>
      <c r="Z22" s="1353"/>
      <c r="AA22" s="1350">
        <v>1</v>
      </c>
      <c r="AB22" s="1350">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64"/>
      <c r="Q23" s="1349" t="str">
        <f>B23</f>
        <v>环境质量</v>
      </c>
      <c r="R23" s="703" t="s">
        <v>14</v>
      </c>
      <c r="S23" s="704">
        <f>F23</f>
        <v>100</v>
      </c>
      <c r="T23" s="703" t="s">
        <v>14</v>
      </c>
      <c r="U23" s="704">
        <f>H23</f>
        <v>100</v>
      </c>
      <c r="V23" s="703" t="s">
        <v>14</v>
      </c>
      <c r="W23" s="704">
        <f>J23</f>
        <v>100</v>
      </c>
      <c r="X23" s="1352"/>
      <c r="Y23" s="3666"/>
      <c r="Z23" s="1353" t="str">
        <f>Q23</f>
        <v>环境质量</v>
      </c>
      <c r="AA23" s="1350">
        <f t="shared" si="3"/>
        <v>1</v>
      </c>
      <c r="AB23" s="1350">
        <f t="shared" si="4"/>
        <v>1</v>
      </c>
      <c r="AC23" s="1959">
        <f t="shared" si="5"/>
        <v>1</v>
      </c>
    </row>
    <row r="24" spans="1:29" ht="15">
      <c r="A24" s="379"/>
      <c r="B24" s="581"/>
      <c r="C24" s="1901" t="s">
        <v>3427</v>
      </c>
      <c r="D24" s="399"/>
      <c r="E24" s="1901" t="s">
        <v>3427</v>
      </c>
      <c r="F24" s="399"/>
      <c r="G24" s="1901" t="s">
        <v>3427</v>
      </c>
      <c r="H24" s="399"/>
      <c r="I24" s="1901" t="s">
        <v>3427</v>
      </c>
      <c r="J24" s="399"/>
      <c r="K24" s="564"/>
      <c r="L24" s="2719"/>
      <c r="M24" s="2713"/>
      <c r="N24" s="2713"/>
      <c r="O24" s="2713"/>
      <c r="P24" s="3664"/>
      <c r="Q24" s="1349"/>
      <c r="R24" s="703"/>
      <c r="S24" s="704"/>
      <c r="T24" s="703"/>
      <c r="U24" s="704"/>
      <c r="V24" s="703"/>
      <c r="W24" s="704"/>
      <c r="X24" s="1352"/>
      <c r="Y24" s="3666"/>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64"/>
      <c r="Q25" s="1349" t="str">
        <f>B25</f>
        <v>毗邻道路的类型与等级</v>
      </c>
      <c r="R25" s="703" t="s">
        <v>14</v>
      </c>
      <c r="S25" s="704">
        <f>F25</f>
        <v>100</v>
      </c>
      <c r="T25" s="703" t="s">
        <v>14</v>
      </c>
      <c r="U25" s="704">
        <f>H25</f>
        <v>100</v>
      </c>
      <c r="V25" s="703" t="s">
        <v>14</v>
      </c>
      <c r="W25" s="704">
        <f>J25</f>
        <v>100</v>
      </c>
      <c r="X25" s="1352"/>
      <c r="Y25" s="3666"/>
      <c r="Z25" s="1353" t="str">
        <f>Q25</f>
        <v>毗邻道路的类型与等级</v>
      </c>
      <c r="AA25" s="1350">
        <f t="shared" si="3"/>
        <v>1</v>
      </c>
      <c r="AB25" s="1350">
        <f t="shared" si="4"/>
        <v>1</v>
      </c>
      <c r="AC25" s="1959">
        <f t="shared" si="5"/>
        <v>1</v>
      </c>
    </row>
    <row r="26" spans="1:29" ht="15">
      <c r="A26" s="358"/>
      <c r="B26" s="580"/>
      <c r="C26" s="582" t="s">
        <v>3404</v>
      </c>
      <c r="D26" s="386"/>
      <c r="E26" s="582" t="s">
        <v>3404</v>
      </c>
      <c r="F26" s="386"/>
      <c r="G26" s="582" t="s">
        <v>3404</v>
      </c>
      <c r="H26" s="386"/>
      <c r="I26" s="582" t="s">
        <v>3404</v>
      </c>
      <c r="J26" s="386"/>
      <c r="K26" s="564"/>
      <c r="L26" s="2719"/>
      <c r="M26" s="2713"/>
      <c r="N26" s="2713"/>
      <c r="O26" s="2713"/>
      <c r="P26" s="3664"/>
      <c r="Q26" s="1349"/>
      <c r="R26" s="703"/>
      <c r="S26" s="704"/>
      <c r="T26" s="703"/>
      <c r="U26" s="704"/>
      <c r="V26" s="703"/>
      <c r="W26" s="704"/>
      <c r="X26" s="1352"/>
      <c r="Y26" s="3666"/>
      <c r="Z26" s="1353"/>
      <c r="AA26" s="1350">
        <v>1</v>
      </c>
      <c r="AB26" s="1350">
        <v>1</v>
      </c>
      <c r="AC26" s="1959">
        <v>1</v>
      </c>
    </row>
    <row r="27" spans="1:29" ht="15.75" thickBot="1">
      <c r="A27" s="379"/>
      <c r="B27" s="580" t="s">
        <v>1782</v>
      </c>
      <c r="C27" s="582" t="s">
        <v>3409</v>
      </c>
      <c r="D27" s="386">
        <v>100</v>
      </c>
      <c r="E27" s="582" t="s">
        <v>3412</v>
      </c>
      <c r="F27" s="386">
        <f>SUMIF(89:89,E27,90:90)-SUMIF(89:89,C27,90:90)+100</f>
        <v>96</v>
      </c>
      <c r="G27" s="582" t="s">
        <v>3412</v>
      </c>
      <c r="H27" s="386">
        <f>SUMIF(89:89,G27,90:90)-SUMIF(89:89,C27,90:90)+100</f>
        <v>96</v>
      </c>
      <c r="I27" s="582" t="s">
        <v>3409</v>
      </c>
      <c r="J27" s="386">
        <f>SUMIF(89:89,I27,90:90)-SUMIF(89:89,C27,90:90)+100</f>
        <v>100</v>
      </c>
      <c r="K27" s="561">
        <v>2</v>
      </c>
      <c r="L27" s="2719"/>
      <c r="M27" s="2713"/>
      <c r="N27" s="2713"/>
      <c r="O27" s="2713"/>
      <c r="P27" s="3664"/>
      <c r="Q27" s="1349" t="str">
        <f t="shared" ref="Q27:Q47" si="11">B27</f>
        <v>楼层</v>
      </c>
      <c r="R27" s="703" t="s">
        <v>14</v>
      </c>
      <c r="S27" s="704">
        <f>F27</f>
        <v>96</v>
      </c>
      <c r="T27" s="703" t="s">
        <v>14</v>
      </c>
      <c r="U27" s="704">
        <f>H27</f>
        <v>96</v>
      </c>
      <c r="V27" s="703" t="s">
        <v>14</v>
      </c>
      <c r="W27" s="704">
        <f>J27</f>
        <v>100</v>
      </c>
      <c r="X27" s="1352"/>
      <c r="Y27" s="3666"/>
      <c r="Z27" s="1353" t="str">
        <f>Q27</f>
        <v>楼层</v>
      </c>
      <c r="AA27" s="1350">
        <f t="shared" si="3"/>
        <v>1.0416666666666667</v>
      </c>
      <c r="AB27" s="1350">
        <f t="shared" si="4"/>
        <v>1.0416666666666667</v>
      </c>
      <c r="AC27" s="1959">
        <f t="shared" si="5"/>
        <v>1</v>
      </c>
    </row>
    <row r="28" spans="1:29" s="108" customFormat="1" ht="15" hidden="1">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64"/>
      <c r="Q28" s="1340" t="str">
        <f t="shared" si="11"/>
        <v>朝向</v>
      </c>
      <c r="R28" s="699" t="s">
        <v>14</v>
      </c>
      <c r="S28" s="700">
        <f>F28</f>
        <v>100</v>
      </c>
      <c r="T28" s="699" t="s">
        <v>14</v>
      </c>
      <c r="U28" s="700">
        <f>H28</f>
        <v>100</v>
      </c>
      <c r="V28" s="699" t="s">
        <v>14</v>
      </c>
      <c r="W28" s="700">
        <f>J28</f>
        <v>100</v>
      </c>
      <c r="X28" s="701"/>
      <c r="Y28" s="3666"/>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64"/>
      <c r="Q29" s="1349">
        <f t="shared" si="11"/>
        <v>111</v>
      </c>
      <c r="R29" s="703" t="s">
        <v>14</v>
      </c>
      <c r="S29" s="704">
        <f t="shared" ref="S29:S47" si="12">F29</f>
        <v>100</v>
      </c>
      <c r="T29" s="703" t="s">
        <v>14</v>
      </c>
      <c r="U29" s="704">
        <f t="shared" ref="U29:U47" si="13">H29</f>
        <v>100</v>
      </c>
      <c r="V29" s="703" t="s">
        <v>14</v>
      </c>
      <c r="W29" s="704">
        <f t="shared" ref="W29:W47" si="14">J29</f>
        <v>100</v>
      </c>
      <c r="X29" s="1352"/>
      <c r="Y29" s="3666"/>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64"/>
      <c r="Q30" s="1349">
        <f t="shared" si="11"/>
        <v>111</v>
      </c>
      <c r="R30" s="703" t="s">
        <v>14</v>
      </c>
      <c r="S30" s="704">
        <f t="shared" si="12"/>
        <v>100</v>
      </c>
      <c r="T30" s="703" t="s">
        <v>14</v>
      </c>
      <c r="U30" s="704">
        <f t="shared" si="13"/>
        <v>100</v>
      </c>
      <c r="V30" s="703" t="s">
        <v>14</v>
      </c>
      <c r="W30" s="704">
        <f t="shared" si="14"/>
        <v>100</v>
      </c>
      <c r="X30" s="1352"/>
      <c r="Y30" s="3666"/>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64"/>
      <c r="Q31" s="1349">
        <f t="shared" si="11"/>
        <v>111</v>
      </c>
      <c r="R31" s="703" t="s">
        <v>14</v>
      </c>
      <c r="S31" s="704">
        <f t="shared" si="12"/>
        <v>100</v>
      </c>
      <c r="T31" s="703" t="s">
        <v>14</v>
      </c>
      <c r="U31" s="704">
        <f t="shared" si="13"/>
        <v>100</v>
      </c>
      <c r="V31" s="703" t="s">
        <v>14</v>
      </c>
      <c r="W31" s="704">
        <f t="shared" si="14"/>
        <v>100</v>
      </c>
      <c r="X31" s="1352"/>
      <c r="Y31" s="3666"/>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64"/>
      <c r="Q32" s="1349">
        <f t="shared" si="11"/>
        <v>111</v>
      </c>
      <c r="R32" s="703" t="s">
        <v>14</v>
      </c>
      <c r="S32" s="704">
        <f t="shared" si="12"/>
        <v>100</v>
      </c>
      <c r="T32" s="703" t="s">
        <v>14</v>
      </c>
      <c r="U32" s="704">
        <f t="shared" si="13"/>
        <v>100</v>
      </c>
      <c r="V32" s="703" t="s">
        <v>14</v>
      </c>
      <c r="W32" s="704">
        <f t="shared" si="14"/>
        <v>100</v>
      </c>
      <c r="X32" s="1352"/>
      <c r="Y32" s="3666"/>
      <c r="Z32" s="1353">
        <f t="shared" si="15"/>
        <v>111</v>
      </c>
      <c r="AA32" s="1350">
        <f t="shared" si="3"/>
        <v>1</v>
      </c>
      <c r="AB32" s="1350">
        <f t="shared" si="4"/>
        <v>1</v>
      </c>
      <c r="AC32" s="1959">
        <f t="shared" si="5"/>
        <v>1</v>
      </c>
    </row>
    <row r="33" spans="1:29" ht="15">
      <c r="A33" s="391" t="s">
        <v>1693</v>
      </c>
      <c r="B33" s="63" t="s">
        <v>1816</v>
      </c>
      <c r="C33" s="1964" t="s">
        <v>3414</v>
      </c>
      <c r="D33" s="418">
        <v>100</v>
      </c>
      <c r="E33" s="1964" t="s">
        <v>3414</v>
      </c>
      <c r="F33" s="412">
        <f>SUMIF(101:101,E33,102:102)-SUMIF(101:101,C33,102:102)+100</f>
        <v>100</v>
      </c>
      <c r="G33" s="1964" t="s">
        <v>3414</v>
      </c>
      <c r="H33" s="386">
        <f>SUMIF(101:101,G33,102:102)-SUMIF(101:101,C33,102:102)+100</f>
        <v>100</v>
      </c>
      <c r="I33" s="1964" t="s">
        <v>3414</v>
      </c>
      <c r="J33" s="418">
        <f>SUMIF(101:101,I33,102:102)-SUMIF(101:101,C33,102:102)+100</f>
        <v>100</v>
      </c>
      <c r="K33" s="561"/>
      <c r="L33" s="2719"/>
      <c r="M33" s="2713"/>
      <c r="N33" s="2713"/>
      <c r="O33" s="2713"/>
      <c r="P33" s="3667" t="s">
        <v>1695</v>
      </c>
      <c r="Q33" s="1349" t="str">
        <f t="shared" si="11"/>
        <v>建筑类型</v>
      </c>
      <c r="R33" s="703" t="s">
        <v>14</v>
      </c>
      <c r="S33" s="704">
        <f t="shared" si="12"/>
        <v>100</v>
      </c>
      <c r="T33" s="703" t="s">
        <v>14</v>
      </c>
      <c r="U33" s="704">
        <f t="shared" si="13"/>
        <v>100</v>
      </c>
      <c r="V33" s="703" t="s">
        <v>14</v>
      </c>
      <c r="W33" s="704">
        <f t="shared" si="14"/>
        <v>100</v>
      </c>
      <c r="X33" s="1352"/>
      <c r="Y33" s="3670" t="s">
        <v>1695</v>
      </c>
      <c r="Z33" s="1353" t="str">
        <f t="shared" si="15"/>
        <v>建筑类型</v>
      </c>
      <c r="AA33" s="1350">
        <f t="shared" si="3"/>
        <v>1</v>
      </c>
      <c r="AB33" s="1350">
        <f t="shared" si="4"/>
        <v>1</v>
      </c>
      <c r="AC33" s="1959">
        <f t="shared" si="5"/>
        <v>1</v>
      </c>
    </row>
    <row r="34" spans="1:29" s="422" customFormat="1" ht="15">
      <c r="A34" s="419"/>
      <c r="B34" s="375" t="s">
        <v>1696</v>
      </c>
      <c r="C34" s="420">
        <f>'数据-汇总表'!F19</f>
        <v>975.39</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8"/>
      <c r="M34" s="2720"/>
      <c r="N34" s="2720"/>
      <c r="O34" s="2720"/>
      <c r="P34" s="3668"/>
      <c r="Q34" s="705" t="str">
        <f t="shared" si="11"/>
        <v>项目建筑规模</v>
      </c>
      <c r="R34" s="706" t="s">
        <v>14</v>
      </c>
      <c r="S34" s="707">
        <f t="shared" si="12"/>
        <v>100</v>
      </c>
      <c r="T34" s="706" t="s">
        <v>14</v>
      </c>
      <c r="U34" s="707">
        <f t="shared" si="13"/>
        <v>100</v>
      </c>
      <c r="V34" s="706" t="s">
        <v>14</v>
      </c>
      <c r="W34" s="707">
        <f t="shared" si="14"/>
        <v>100</v>
      </c>
      <c r="X34" s="708"/>
      <c r="Y34" s="3670"/>
      <c r="Z34" s="709" t="str">
        <f t="shared" si="15"/>
        <v>项目建筑规模</v>
      </c>
      <c r="AA34" s="1350">
        <f t="shared" si="3"/>
        <v>1</v>
      </c>
      <c r="AB34" s="1350">
        <f t="shared" si="4"/>
        <v>1</v>
      </c>
      <c r="AC34" s="1959">
        <f t="shared" si="5"/>
        <v>1</v>
      </c>
    </row>
    <row r="35" spans="1:29" ht="15">
      <c r="A35" s="423"/>
      <c r="B35" s="375" t="s">
        <v>1697</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19"/>
      <c r="M35" s="2713"/>
      <c r="N35" s="2713"/>
      <c r="O35" s="2713"/>
      <c r="P35" s="3668"/>
      <c r="Q35" s="1349" t="str">
        <f t="shared" si="11"/>
        <v>建筑结构</v>
      </c>
      <c r="R35" s="703" t="s">
        <v>14</v>
      </c>
      <c r="S35" s="704">
        <f t="shared" si="12"/>
        <v>100</v>
      </c>
      <c r="T35" s="703" t="s">
        <v>14</v>
      </c>
      <c r="U35" s="704">
        <f t="shared" si="13"/>
        <v>100</v>
      </c>
      <c r="V35" s="703" t="s">
        <v>14</v>
      </c>
      <c r="W35" s="704">
        <f t="shared" si="14"/>
        <v>100</v>
      </c>
      <c r="X35" s="1352"/>
      <c r="Y35" s="3670"/>
      <c r="Z35" s="1353" t="str">
        <f t="shared" si="15"/>
        <v>建筑结构</v>
      </c>
      <c r="AA35" s="1350">
        <f t="shared" si="3"/>
        <v>1</v>
      </c>
      <c r="AB35" s="1350">
        <f t="shared" si="4"/>
        <v>1</v>
      </c>
      <c r="AC35" s="1959">
        <f t="shared" si="5"/>
        <v>1</v>
      </c>
    </row>
    <row r="36" spans="1:29" ht="15">
      <c r="A36" s="423"/>
      <c r="B36" s="375" t="s">
        <v>1784</v>
      </c>
      <c r="C36" s="411" t="s">
        <v>3417</v>
      </c>
      <c r="D36" s="386">
        <v>100</v>
      </c>
      <c r="E36" s="411" t="s">
        <v>3417</v>
      </c>
      <c r="F36" s="412">
        <f>SUMIF(108:108,E36,109:109)-SUMIF(108:108,C36,109:109)+100</f>
        <v>100</v>
      </c>
      <c r="G36" s="3450" t="s">
        <v>3418</v>
      </c>
      <c r="H36" s="386">
        <f>SUMIF(108:108,G36,109:109)-SUMIF(108:108,C36,109:109)+100</f>
        <v>100</v>
      </c>
      <c r="I36" s="411" t="s">
        <v>3417</v>
      </c>
      <c r="J36" s="386">
        <f>SUMIF(108:108,I36,109:109)-SUMIF(108:108,C36,109:109)+100</f>
        <v>100</v>
      </c>
      <c r="K36" s="561">
        <v>1</v>
      </c>
      <c r="L36" s="2719"/>
      <c r="M36" s="2713"/>
      <c r="N36" s="2713"/>
      <c r="O36" s="2713"/>
      <c r="P36" s="3668"/>
      <c r="Q36" s="1349" t="str">
        <f t="shared" si="11"/>
        <v>公共部分装修</v>
      </c>
      <c r="R36" s="703" t="s">
        <v>14</v>
      </c>
      <c r="S36" s="704">
        <f t="shared" si="12"/>
        <v>100</v>
      </c>
      <c r="T36" s="703" t="s">
        <v>14</v>
      </c>
      <c r="U36" s="704">
        <f t="shared" si="13"/>
        <v>100</v>
      </c>
      <c r="V36" s="703" t="s">
        <v>14</v>
      </c>
      <c r="W36" s="704">
        <f t="shared" si="14"/>
        <v>100</v>
      </c>
      <c r="X36" s="1352"/>
      <c r="Y36" s="3670"/>
      <c r="Z36" s="1353" t="str">
        <f t="shared" si="15"/>
        <v>公共部分装修</v>
      </c>
      <c r="AA36" s="1350">
        <f t="shared" si="3"/>
        <v>1</v>
      </c>
      <c r="AB36" s="1350">
        <f t="shared" si="4"/>
        <v>1</v>
      </c>
      <c r="AC36" s="1959">
        <f t="shared" si="5"/>
        <v>1</v>
      </c>
    </row>
    <row r="37" spans="1:29" ht="15">
      <c r="A37" s="423"/>
      <c r="B37" s="375" t="s">
        <v>1785</v>
      </c>
      <c r="C37" s="425">
        <f>'数据-取费表'!N6</f>
        <v>0.86</v>
      </c>
      <c r="D37" s="386">
        <v>100</v>
      </c>
      <c r="E37" s="425">
        <f>C37</f>
        <v>0.86</v>
      </c>
      <c r="F37" s="412">
        <f>LOOKUP(E37,111:111,112:112)-LOOKUP(C37,111:111,112:112)+100</f>
        <v>100</v>
      </c>
      <c r="G37" s="425">
        <f>E37</f>
        <v>0.86</v>
      </c>
      <c r="H37" s="412">
        <f>LOOKUP(G37,111:111,112:112)-LOOKUP(C37,111:111,112:112)+100</f>
        <v>100</v>
      </c>
      <c r="I37" s="425">
        <f>G37</f>
        <v>0.86</v>
      </c>
      <c r="J37" s="386">
        <f>LOOKUP(I37,111:111,112:112)-LOOKUP(C37,111:111,112:112)+100</f>
        <v>100</v>
      </c>
      <c r="K37" s="561">
        <v>1</v>
      </c>
      <c r="L37" s="2719"/>
      <c r="M37" s="2713"/>
      <c r="N37" s="2713"/>
      <c r="O37" s="2713"/>
      <c r="P37" s="3668"/>
      <c r="Q37" s="1349" t="str">
        <f t="shared" si="11"/>
        <v>成新度</v>
      </c>
      <c r="R37" s="703" t="s">
        <v>14</v>
      </c>
      <c r="S37" s="704">
        <f t="shared" si="12"/>
        <v>100</v>
      </c>
      <c r="T37" s="703" t="s">
        <v>14</v>
      </c>
      <c r="U37" s="704">
        <f t="shared" si="13"/>
        <v>100</v>
      </c>
      <c r="V37" s="703" t="s">
        <v>14</v>
      </c>
      <c r="W37" s="704">
        <f t="shared" si="14"/>
        <v>100</v>
      </c>
      <c r="X37" s="1352"/>
      <c r="Y37" s="3670"/>
      <c r="Z37" s="1353" t="str">
        <f t="shared" si="15"/>
        <v>成新度</v>
      </c>
      <c r="AA37" s="1350">
        <f t="shared" si="3"/>
        <v>1</v>
      </c>
      <c r="AB37" s="1350">
        <f t="shared" si="4"/>
        <v>1</v>
      </c>
      <c r="AC37" s="1959">
        <f t="shared" si="5"/>
        <v>1</v>
      </c>
    </row>
    <row r="38" spans="1:29" s="108" customFormat="1" ht="15">
      <c r="A38" s="424"/>
      <c r="B38" s="375" t="s">
        <v>1817</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1</v>
      </c>
      <c r="L38" s="2714"/>
      <c r="M38" s="2715"/>
      <c r="N38" s="2715"/>
      <c r="O38" s="2715"/>
      <c r="P38" s="3668"/>
      <c r="Q38" s="1340" t="str">
        <f t="shared" si="11"/>
        <v>写字楼等级</v>
      </c>
      <c r="R38" s="699" t="s">
        <v>14</v>
      </c>
      <c r="S38" s="700">
        <f t="shared" si="12"/>
        <v>100</v>
      </c>
      <c r="T38" s="699" t="s">
        <v>14</v>
      </c>
      <c r="U38" s="700">
        <f t="shared" si="13"/>
        <v>100</v>
      </c>
      <c r="V38" s="699" t="s">
        <v>14</v>
      </c>
      <c r="W38" s="700">
        <f t="shared" si="14"/>
        <v>100</v>
      </c>
      <c r="X38" s="701"/>
      <c r="Y38" s="3670"/>
      <c r="Z38" s="52" t="str">
        <f t="shared" si="15"/>
        <v>写字楼等级</v>
      </c>
      <c r="AA38" s="702">
        <f t="shared" si="3"/>
        <v>1</v>
      </c>
      <c r="AB38" s="702">
        <f t="shared" si="4"/>
        <v>1</v>
      </c>
      <c r="AC38" s="1956">
        <f t="shared" si="5"/>
        <v>1</v>
      </c>
    </row>
    <row r="39" spans="1:29" ht="15">
      <c r="A39" s="423"/>
      <c r="B39" s="375" t="s">
        <v>1818</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19"/>
      <c r="M39" s="2713"/>
      <c r="N39" s="2713"/>
      <c r="O39" s="2713"/>
      <c r="P39" s="3668" t="s">
        <v>1695</v>
      </c>
      <c r="Q39" s="1349" t="str">
        <f t="shared" si="11"/>
        <v>物业管理</v>
      </c>
      <c r="R39" s="703" t="s">
        <v>14</v>
      </c>
      <c r="S39" s="704">
        <f t="shared" si="12"/>
        <v>100</v>
      </c>
      <c r="T39" s="703" t="s">
        <v>14</v>
      </c>
      <c r="U39" s="704">
        <f t="shared" si="13"/>
        <v>100</v>
      </c>
      <c r="V39" s="703" t="s">
        <v>14</v>
      </c>
      <c r="W39" s="704">
        <f t="shared" si="14"/>
        <v>100</v>
      </c>
      <c r="X39" s="1352"/>
      <c r="Y39" s="3670" t="s">
        <v>1695</v>
      </c>
      <c r="Z39" s="1353" t="str">
        <f t="shared" si="15"/>
        <v>物业管理</v>
      </c>
      <c r="AA39" s="1350">
        <f t="shared" si="3"/>
        <v>1</v>
      </c>
      <c r="AB39" s="1350">
        <f t="shared" si="4"/>
        <v>1</v>
      </c>
      <c r="AC39" s="1959">
        <f t="shared" si="5"/>
        <v>1</v>
      </c>
    </row>
    <row r="40" spans="1:29" ht="15">
      <c r="A40" s="423"/>
      <c r="B40" s="375" t="s">
        <v>1786</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19"/>
      <c r="M40" s="2713"/>
      <c r="N40" s="2713"/>
      <c r="O40" s="2713"/>
      <c r="P40" s="3668"/>
      <c r="Q40" s="1349" t="str">
        <f t="shared" si="11"/>
        <v>市政基础设施</v>
      </c>
      <c r="R40" s="703" t="s">
        <v>14</v>
      </c>
      <c r="S40" s="704">
        <f t="shared" si="12"/>
        <v>100</v>
      </c>
      <c r="T40" s="703" t="s">
        <v>14</v>
      </c>
      <c r="U40" s="704">
        <f t="shared" si="13"/>
        <v>100</v>
      </c>
      <c r="V40" s="703" t="s">
        <v>14</v>
      </c>
      <c r="W40" s="704">
        <f t="shared" si="14"/>
        <v>100</v>
      </c>
      <c r="X40" s="1352"/>
      <c r="Y40" s="3670"/>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8"/>
      <c r="Q41" s="1349" t="str">
        <f t="shared" si="11"/>
        <v>层高</v>
      </c>
      <c r="R41" s="703" t="s">
        <v>14</v>
      </c>
      <c r="S41" s="704">
        <f t="shared" si="12"/>
        <v>100</v>
      </c>
      <c r="T41" s="703" t="s">
        <v>14</v>
      </c>
      <c r="U41" s="704">
        <f t="shared" si="13"/>
        <v>100</v>
      </c>
      <c r="V41" s="703" t="s">
        <v>14</v>
      </c>
      <c r="W41" s="704">
        <f t="shared" si="14"/>
        <v>100</v>
      </c>
      <c r="X41" s="1352"/>
      <c r="Y41" s="3670"/>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8"/>
      <c r="Q42" s="705" t="str">
        <f t="shared" si="11"/>
        <v>单套建筑面积</v>
      </c>
      <c r="R42" s="706" t="s">
        <v>14</v>
      </c>
      <c r="S42" s="707">
        <f t="shared" si="12"/>
        <v>100</v>
      </c>
      <c r="T42" s="706" t="s">
        <v>14</v>
      </c>
      <c r="U42" s="707">
        <f t="shared" si="13"/>
        <v>100</v>
      </c>
      <c r="V42" s="706" t="s">
        <v>14</v>
      </c>
      <c r="W42" s="707">
        <f t="shared" si="14"/>
        <v>100</v>
      </c>
      <c r="X42" s="708"/>
      <c r="Y42" s="3670"/>
      <c r="Z42" s="709" t="str">
        <f t="shared" si="15"/>
        <v>单套建筑面积</v>
      </c>
      <c r="AA42" s="1350">
        <f t="shared" si="3"/>
        <v>1</v>
      </c>
      <c r="AB42" s="1350">
        <f t="shared" si="4"/>
        <v>1</v>
      </c>
      <c r="AC42" s="1959">
        <f t="shared" si="5"/>
        <v>1</v>
      </c>
    </row>
    <row r="43" spans="1:29" ht="15">
      <c r="A43" s="423"/>
      <c r="B43" s="375" t="s">
        <v>1791</v>
      </c>
      <c r="C43" s="411" t="s">
        <v>3417</v>
      </c>
      <c r="D43" s="386">
        <v>100</v>
      </c>
      <c r="E43" s="411" t="s">
        <v>3424</v>
      </c>
      <c r="F43" s="412">
        <f>SUMIF(123:123,E43,124:124)-SUMIF(123:123,C43,124:124)+100</f>
        <v>98</v>
      </c>
      <c r="G43" s="411" t="s">
        <v>3424</v>
      </c>
      <c r="H43" s="386">
        <f>SUMIF(123:123,G43,124:124)-SUMIF(123:123,C43,124:124)+100</f>
        <v>98</v>
      </c>
      <c r="I43" s="411" t="s">
        <v>3417</v>
      </c>
      <c r="J43" s="386">
        <f>SUMIF(123:123,I43,124:124)-SUMIF(123:123,C43,124:124)+100</f>
        <v>100</v>
      </c>
      <c r="K43" s="561">
        <v>2</v>
      </c>
      <c r="L43" s="2719"/>
      <c r="M43" s="2713"/>
      <c r="N43" s="2713"/>
      <c r="O43" s="2713"/>
      <c r="P43" s="3668"/>
      <c r="Q43" s="1349" t="str">
        <f t="shared" si="11"/>
        <v>内部装修</v>
      </c>
      <c r="R43" s="703" t="s">
        <v>14</v>
      </c>
      <c r="S43" s="704">
        <f t="shared" si="12"/>
        <v>98</v>
      </c>
      <c r="T43" s="703" t="s">
        <v>14</v>
      </c>
      <c r="U43" s="704">
        <f t="shared" si="13"/>
        <v>98</v>
      </c>
      <c r="V43" s="703" t="s">
        <v>14</v>
      </c>
      <c r="W43" s="704">
        <f t="shared" si="14"/>
        <v>100</v>
      </c>
      <c r="X43" s="1352"/>
      <c r="Y43" s="3670"/>
      <c r="Z43" s="1353" t="str">
        <f t="shared" si="15"/>
        <v>内部装修</v>
      </c>
      <c r="AA43" s="1350">
        <f t="shared" si="3"/>
        <v>1.0204081632653061</v>
      </c>
      <c r="AB43" s="1350">
        <f t="shared" si="4"/>
        <v>1.0204081632653061</v>
      </c>
      <c r="AC43" s="1959">
        <f t="shared" si="5"/>
        <v>1</v>
      </c>
    </row>
    <row r="44" spans="1:29" ht="15.75" thickBot="1">
      <c r="A44" s="423"/>
      <c r="B44" s="375" t="s">
        <v>1706</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19"/>
      <c r="M44" s="2713"/>
      <c r="N44" s="2713"/>
      <c r="O44" s="2713"/>
      <c r="P44" s="3668"/>
      <c r="Q44" s="1349" t="str">
        <f t="shared" si="11"/>
        <v>内部装修维护情况</v>
      </c>
      <c r="R44" s="703" t="s">
        <v>14</v>
      </c>
      <c r="S44" s="704">
        <f t="shared" si="12"/>
        <v>100</v>
      </c>
      <c r="T44" s="703" t="s">
        <v>14</v>
      </c>
      <c r="U44" s="704">
        <f t="shared" si="13"/>
        <v>100</v>
      </c>
      <c r="V44" s="703" t="s">
        <v>14</v>
      </c>
      <c r="W44" s="704">
        <f t="shared" si="14"/>
        <v>100</v>
      </c>
      <c r="X44" s="1352"/>
      <c r="Y44" s="3670"/>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8"/>
      <c r="Q45" s="1340">
        <f t="shared" si="11"/>
        <v>111</v>
      </c>
      <c r="R45" s="699" t="s">
        <v>14</v>
      </c>
      <c r="S45" s="700">
        <f t="shared" si="12"/>
        <v>100</v>
      </c>
      <c r="T45" s="699" t="s">
        <v>14</v>
      </c>
      <c r="U45" s="700">
        <f t="shared" si="13"/>
        <v>100</v>
      </c>
      <c r="V45" s="699" t="s">
        <v>14</v>
      </c>
      <c r="W45" s="700">
        <f t="shared" si="14"/>
        <v>100</v>
      </c>
      <c r="X45" s="701"/>
      <c r="Y45" s="3670"/>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8"/>
      <c r="Q46" s="1349">
        <f t="shared" si="11"/>
        <v>111</v>
      </c>
      <c r="R46" s="703" t="s">
        <v>14</v>
      </c>
      <c r="S46" s="704">
        <f t="shared" si="12"/>
        <v>100</v>
      </c>
      <c r="T46" s="703" t="s">
        <v>14</v>
      </c>
      <c r="U46" s="704">
        <f t="shared" si="13"/>
        <v>100</v>
      </c>
      <c r="V46" s="703" t="s">
        <v>14</v>
      </c>
      <c r="W46" s="704">
        <f t="shared" si="14"/>
        <v>100</v>
      </c>
      <c r="X46" s="1352"/>
      <c r="Y46" s="3670"/>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9"/>
      <c r="Q47" s="1349">
        <f t="shared" si="11"/>
        <v>111</v>
      </c>
      <c r="R47" s="703" t="s">
        <v>14</v>
      </c>
      <c r="S47" s="704">
        <f t="shared" si="12"/>
        <v>100</v>
      </c>
      <c r="T47" s="703" t="s">
        <v>14</v>
      </c>
      <c r="U47" s="704">
        <f t="shared" si="13"/>
        <v>100</v>
      </c>
      <c r="V47" s="703" t="s">
        <v>14</v>
      </c>
      <c r="W47" s="704">
        <f t="shared" si="14"/>
        <v>100</v>
      </c>
      <c r="X47" s="1352"/>
      <c r="Y47" s="3671"/>
      <c r="Z47" s="1353">
        <f t="shared" si="15"/>
        <v>111</v>
      </c>
      <c r="AA47" s="1350">
        <f t="shared" si="3"/>
        <v>1</v>
      </c>
      <c r="AB47" s="1350">
        <f t="shared" si="4"/>
        <v>1</v>
      </c>
      <c r="AC47" s="1959">
        <f t="shared" si="5"/>
        <v>1</v>
      </c>
    </row>
    <row r="48" spans="1:29" ht="15">
      <c r="A48" s="430" t="s">
        <v>1707</v>
      </c>
      <c r="B48" s="431"/>
      <c r="C48" s="1151" t="s">
        <v>0</v>
      </c>
      <c r="D48" s="1152"/>
      <c r="E48" s="1153">
        <v>40004</v>
      </c>
      <c r="F48" s="1154"/>
      <c r="G48" s="1155">
        <v>40000</v>
      </c>
      <c r="H48" s="1156"/>
      <c r="I48" s="1153">
        <v>49943</v>
      </c>
      <c r="J48" s="436"/>
      <c r="K48" s="712"/>
      <c r="L48" s="2721"/>
      <c r="M48" s="2713"/>
      <c r="N48" s="2713"/>
      <c r="O48" s="2713"/>
      <c r="P48" s="3673" t="str">
        <f>A48</f>
        <v>成交单价（元/平方米）</v>
      </c>
      <c r="Q48" s="3658"/>
      <c r="R48" s="3659">
        <f>E48</f>
        <v>40004</v>
      </c>
      <c r="S48" s="3659"/>
      <c r="T48" s="3659">
        <f>G48</f>
        <v>40000</v>
      </c>
      <c r="U48" s="3659"/>
      <c r="V48" s="3659">
        <f>I48</f>
        <v>49943</v>
      </c>
      <c r="W48" s="3659"/>
      <c r="X48" s="397"/>
      <c r="Y48" s="710"/>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73"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3"/>
      <c r="L50" s="2721"/>
      <c r="M50" s="2713"/>
      <c r="N50" s="2713"/>
      <c r="O50" s="2713"/>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47" t="s">
        <v>3402</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48" t="s">
        <v>3403</v>
      </c>
      <c r="D87" s="3448" t="s">
        <v>3405</v>
      </c>
      <c r="E87" s="3448" t="s">
        <v>3406</v>
      </c>
      <c r="F87" s="3448" t="s">
        <v>3407</v>
      </c>
      <c r="G87" s="3448" t="s">
        <v>3408</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3410</v>
      </c>
      <c r="D89" s="3448" t="s">
        <v>3411</v>
      </c>
      <c r="E89" s="3448" t="s">
        <v>3413</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49" t="s">
        <v>3415</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48" t="s">
        <v>3416</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48" t="s">
        <v>3418</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48" t="s">
        <v>3420</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48" t="s">
        <v>3422</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
        <v>3423</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48" t="s">
        <v>3418</v>
      </c>
      <c r="D123" s="3448" t="s">
        <v>3425</v>
      </c>
      <c r="E123" s="3448" t="s">
        <v>3426</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975.39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911"/>
      <c r="M4" s="912"/>
      <c r="N4" s="912"/>
      <c r="O4" s="912"/>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911"/>
      <c r="M5" s="912"/>
      <c r="N5" s="912"/>
      <c r="O5" s="912"/>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559" t="s">
        <v>1677</v>
      </c>
      <c r="L6" s="911"/>
      <c r="M6" s="912"/>
      <c r="N6" s="912"/>
      <c r="O6" s="912"/>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45303</v>
      </c>
      <c r="D7" s="365">
        <v>100</v>
      </c>
      <c r="E7" s="366"/>
      <c r="F7" s="367">
        <f>SUMIF(52:52,YEAR(E7)&amp;"-"&amp;MONTH(E7),53:53)</f>
        <v>0</v>
      </c>
      <c r="G7" s="366"/>
      <c r="H7" s="365">
        <f>SUMIF(52:52,YEAR(G7)&amp;"-"&amp;MONTH(G7),53:53)</f>
        <v>0</v>
      </c>
      <c r="I7" s="366"/>
      <c r="J7" s="365">
        <f>SUMIF(52:52,YEAR(I7)&amp;"-"&amp;MONTH(I7),53:53)</f>
        <v>0</v>
      </c>
      <c r="K7" s="560"/>
      <c r="L7" s="913"/>
      <c r="M7" s="914"/>
      <c r="N7" s="914"/>
      <c r="O7" s="914"/>
      <c r="P7" s="3697"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7" t="s">
        <v>1682</v>
      </c>
      <c r="Q8" s="3698"/>
      <c r="R8" s="699" t="s">
        <v>14</v>
      </c>
      <c r="S8" s="700">
        <f t="shared" si="0"/>
        <v>100</v>
      </c>
      <c r="T8" s="699" t="s">
        <v>14</v>
      </c>
      <c r="U8" s="700">
        <f t="shared" si="1"/>
        <v>100</v>
      </c>
      <c r="V8" s="699" t="s">
        <v>14</v>
      </c>
      <c r="W8" s="700">
        <f t="shared" si="2"/>
        <v>100</v>
      </c>
      <c r="X8" s="701"/>
      <c r="Y8" s="3697" t="s">
        <v>1682</v>
      </c>
      <c r="Z8" s="3698"/>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8"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8"/>
      <c r="Q11" s="1340" t="str">
        <f t="shared" si="6"/>
        <v>容积率</v>
      </c>
      <c r="R11" s="699" t="s">
        <v>14</v>
      </c>
      <c r="S11" s="700">
        <f t="shared" si="0"/>
        <v>100</v>
      </c>
      <c r="T11" s="699" t="s">
        <v>14</v>
      </c>
      <c r="U11" s="700">
        <f t="shared" si="1"/>
        <v>100</v>
      </c>
      <c r="V11" s="699" t="s">
        <v>14</v>
      </c>
      <c r="W11" s="700">
        <f t="shared" si="2"/>
        <v>100</v>
      </c>
      <c r="X11" s="701"/>
      <c r="Y11" s="3565"/>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58"/>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702">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5" t="s">
        <v>1690</v>
      </c>
      <c r="Q15" s="1349" t="str">
        <f t="shared" si="6"/>
        <v>产业集聚程度</v>
      </c>
      <c r="R15" s="703" t="s">
        <v>14</v>
      </c>
      <c r="S15" s="704">
        <f t="shared" si="0"/>
        <v>100</v>
      </c>
      <c r="T15" s="703" t="s">
        <v>14</v>
      </c>
      <c r="U15" s="704">
        <f t="shared" si="1"/>
        <v>100</v>
      </c>
      <c r="V15" s="703" t="s">
        <v>14</v>
      </c>
      <c r="W15" s="704">
        <f t="shared" si="2"/>
        <v>100</v>
      </c>
      <c r="X15" s="1352"/>
      <c r="Y15" s="3665"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66"/>
      <c r="Q16" s="1349"/>
      <c r="R16" s="703"/>
      <c r="S16" s="704"/>
      <c r="T16" s="703"/>
      <c r="U16" s="704"/>
      <c r="V16" s="703"/>
      <c r="W16" s="704"/>
      <c r="X16" s="1352"/>
      <c r="Y16" s="3666"/>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6"/>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66"/>
      <c r="Q18" s="1349"/>
      <c r="R18" s="703"/>
      <c r="S18" s="704"/>
      <c r="T18" s="703"/>
      <c r="U18" s="704"/>
      <c r="V18" s="703"/>
      <c r="W18" s="704"/>
      <c r="X18" s="1352"/>
      <c r="Y18" s="3666"/>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6"/>
      <c r="Q19" s="1349" t="str">
        <f>B19</f>
        <v>公共配套设施</v>
      </c>
      <c r="R19" s="703" t="s">
        <v>14</v>
      </c>
      <c r="S19" s="704">
        <f>F19</f>
        <v>100</v>
      </c>
      <c r="T19" s="703" t="s">
        <v>14</v>
      </c>
      <c r="U19" s="704">
        <f>H19</f>
        <v>100</v>
      </c>
      <c r="V19" s="703" t="s">
        <v>14</v>
      </c>
      <c r="W19" s="704">
        <f>J19</f>
        <v>100</v>
      </c>
      <c r="X19" s="1352"/>
      <c r="Y19" s="366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66"/>
      <c r="Q20" s="1349"/>
      <c r="R20" s="703"/>
      <c r="S20" s="704"/>
      <c r="T20" s="703"/>
      <c r="U20" s="704"/>
      <c r="V20" s="703"/>
      <c r="W20" s="704"/>
      <c r="X20" s="1352"/>
      <c r="Y20" s="3666"/>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6"/>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66"/>
      <c r="Q22" s="1349"/>
      <c r="R22" s="703"/>
      <c r="S22" s="704"/>
      <c r="T22" s="703"/>
      <c r="U22" s="704"/>
      <c r="V22" s="703"/>
      <c r="W22" s="704"/>
      <c r="X22" s="1352"/>
      <c r="Y22" s="3666"/>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6"/>
      <c r="Q23" s="1349" t="str">
        <f>B23</f>
        <v>环境质量</v>
      </c>
      <c r="R23" s="703" t="s">
        <v>14</v>
      </c>
      <c r="S23" s="704">
        <f>F23</f>
        <v>100</v>
      </c>
      <c r="T23" s="703" t="s">
        <v>14</v>
      </c>
      <c r="U23" s="704">
        <f>H23</f>
        <v>100</v>
      </c>
      <c r="V23" s="703" t="s">
        <v>14</v>
      </c>
      <c r="W23" s="704">
        <f>J23</f>
        <v>100</v>
      </c>
      <c r="X23" s="1352"/>
      <c r="Y23" s="3666"/>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66"/>
      <c r="Q24" s="1349"/>
      <c r="R24" s="703"/>
      <c r="S24" s="704"/>
      <c r="T24" s="703"/>
      <c r="U24" s="704"/>
      <c r="V24" s="703"/>
      <c r="W24" s="704"/>
      <c r="X24" s="1352"/>
      <c r="Y24" s="3666"/>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6"/>
      <c r="Q25" s="1349">
        <f>B25</f>
        <v>111</v>
      </c>
      <c r="R25" s="703" t="s">
        <v>14</v>
      </c>
      <c r="S25" s="704">
        <f>F25</f>
        <v>100</v>
      </c>
      <c r="T25" s="703" t="s">
        <v>14</v>
      </c>
      <c r="U25" s="704">
        <f>H25</f>
        <v>100</v>
      </c>
      <c r="V25" s="703" t="s">
        <v>14</v>
      </c>
      <c r="W25" s="704">
        <f>J25</f>
        <v>100</v>
      </c>
      <c r="X25" s="1352"/>
      <c r="Y25" s="3666"/>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6"/>
      <c r="Q26" s="1349">
        <f t="shared" ref="Q26:Q40" si="11">B26</f>
        <v>111</v>
      </c>
      <c r="R26" s="703" t="s">
        <v>14</v>
      </c>
      <c r="S26" s="704">
        <f>F26</f>
        <v>100</v>
      </c>
      <c r="T26" s="703" t="s">
        <v>14</v>
      </c>
      <c r="U26" s="704">
        <f>H26</f>
        <v>100</v>
      </c>
      <c r="V26" s="703" t="s">
        <v>14</v>
      </c>
      <c r="W26" s="704">
        <f>J26</f>
        <v>100</v>
      </c>
      <c r="X26" s="1352"/>
      <c r="Y26" s="3666"/>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6"/>
      <c r="Q27" s="1340">
        <f t="shared" si="11"/>
        <v>111</v>
      </c>
      <c r="R27" s="699" t="s">
        <v>14</v>
      </c>
      <c r="S27" s="700">
        <f>F27</f>
        <v>100</v>
      </c>
      <c r="T27" s="699" t="s">
        <v>14</v>
      </c>
      <c r="U27" s="700">
        <f>H27</f>
        <v>100</v>
      </c>
      <c r="V27" s="699" t="s">
        <v>14</v>
      </c>
      <c r="W27" s="700">
        <f>J27</f>
        <v>100</v>
      </c>
      <c r="X27" s="701"/>
      <c r="Y27" s="3666"/>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6"/>
      <c r="Q28" s="1349">
        <f t="shared" si="11"/>
        <v>111</v>
      </c>
      <c r="R28" s="703" t="s">
        <v>14</v>
      </c>
      <c r="S28" s="704">
        <f t="shared" ref="S28:S40" si="12">F28</f>
        <v>100</v>
      </c>
      <c r="T28" s="703" t="s">
        <v>14</v>
      </c>
      <c r="U28" s="704">
        <f t="shared" ref="U28:U40" si="13">H28</f>
        <v>100</v>
      </c>
      <c r="V28" s="703" t="s">
        <v>14</v>
      </c>
      <c r="W28" s="704">
        <f t="shared" ref="W28:W40" si="14">J28</f>
        <v>100</v>
      </c>
      <c r="X28" s="1352"/>
      <c r="Y28" s="3666"/>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50" t="s">
        <v>1695</v>
      </c>
      <c r="Q29" s="1349" t="str">
        <f t="shared" si="11"/>
        <v>建筑类型</v>
      </c>
      <c r="R29" s="703" t="s">
        <v>14</v>
      </c>
      <c r="S29" s="704">
        <f t="shared" si="12"/>
        <v>100</v>
      </c>
      <c r="T29" s="703" t="s">
        <v>14</v>
      </c>
      <c r="U29" s="704">
        <f t="shared" si="13"/>
        <v>100</v>
      </c>
      <c r="V29" s="703" t="s">
        <v>14</v>
      </c>
      <c r="W29" s="704">
        <f t="shared" si="14"/>
        <v>100</v>
      </c>
      <c r="X29" s="1352"/>
      <c r="Y29" s="3670"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0"/>
      <c r="Q30" s="705" t="str">
        <f t="shared" si="11"/>
        <v>项目建筑规模</v>
      </c>
      <c r="R30" s="706" t="s">
        <v>14</v>
      </c>
      <c r="S30" s="707" t="e">
        <f t="shared" si="12"/>
        <v>#N/A</v>
      </c>
      <c r="T30" s="706" t="s">
        <v>14</v>
      </c>
      <c r="U30" s="707" t="e">
        <f t="shared" si="13"/>
        <v>#N/A</v>
      </c>
      <c r="V30" s="706" t="s">
        <v>14</v>
      </c>
      <c r="W30" s="707" t="e">
        <f t="shared" si="14"/>
        <v>#N/A</v>
      </c>
      <c r="X30" s="708"/>
      <c r="Y30" s="3670"/>
      <c r="Z30" s="709"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0"/>
      <c r="Q31" s="1349" t="str">
        <f t="shared" si="11"/>
        <v>建筑结构</v>
      </c>
      <c r="R31" s="703" t="s">
        <v>14</v>
      </c>
      <c r="S31" s="704">
        <f t="shared" si="12"/>
        <v>100</v>
      </c>
      <c r="T31" s="703" t="s">
        <v>14</v>
      </c>
      <c r="U31" s="704">
        <f t="shared" si="13"/>
        <v>100</v>
      </c>
      <c r="V31" s="703" t="s">
        <v>14</v>
      </c>
      <c r="W31" s="704">
        <f t="shared" si="14"/>
        <v>100</v>
      </c>
      <c r="X31" s="1352"/>
      <c r="Y31" s="3670"/>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0"/>
      <c r="Q32" s="1349" t="str">
        <f t="shared" si="11"/>
        <v>公共部分装修</v>
      </c>
      <c r="R32" s="703" t="s">
        <v>14</v>
      </c>
      <c r="S32" s="704">
        <f t="shared" si="12"/>
        <v>100</v>
      </c>
      <c r="T32" s="703" t="s">
        <v>14</v>
      </c>
      <c r="U32" s="704">
        <f t="shared" si="13"/>
        <v>100</v>
      </c>
      <c r="V32" s="703" t="s">
        <v>14</v>
      </c>
      <c r="W32" s="704">
        <f t="shared" si="14"/>
        <v>100</v>
      </c>
      <c r="X32" s="1352"/>
      <c r="Y32" s="3670"/>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0"/>
      <c r="Q33" s="1349" t="str">
        <f t="shared" si="11"/>
        <v>成新度</v>
      </c>
      <c r="R33" s="703" t="s">
        <v>14</v>
      </c>
      <c r="S33" s="704" t="e">
        <f t="shared" si="12"/>
        <v>#N/A</v>
      </c>
      <c r="T33" s="703" t="s">
        <v>14</v>
      </c>
      <c r="U33" s="704" t="e">
        <f t="shared" si="13"/>
        <v>#N/A</v>
      </c>
      <c r="V33" s="703" t="s">
        <v>14</v>
      </c>
      <c r="W33" s="704" t="e">
        <f t="shared" si="14"/>
        <v>#N/A</v>
      </c>
      <c r="X33" s="1352"/>
      <c r="Y33" s="3670"/>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0"/>
      <c r="Q34" s="1340" t="str">
        <f t="shared" si="11"/>
        <v>物业管理</v>
      </c>
      <c r="R34" s="699" t="s">
        <v>14</v>
      </c>
      <c r="S34" s="700">
        <f t="shared" si="12"/>
        <v>100</v>
      </c>
      <c r="T34" s="699" t="s">
        <v>14</v>
      </c>
      <c r="U34" s="700">
        <f t="shared" si="13"/>
        <v>100</v>
      </c>
      <c r="V34" s="699" t="s">
        <v>14</v>
      </c>
      <c r="W34" s="700">
        <f t="shared" si="14"/>
        <v>100</v>
      </c>
      <c r="X34" s="701"/>
      <c r="Y34" s="3670"/>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0" t="s">
        <v>1695</v>
      </c>
      <c r="Q35" s="1349" t="str">
        <f t="shared" si="11"/>
        <v>市政基础设施</v>
      </c>
      <c r="R35" s="703" t="s">
        <v>14</v>
      </c>
      <c r="S35" s="704">
        <f t="shared" si="12"/>
        <v>100</v>
      </c>
      <c r="T35" s="703" t="s">
        <v>14</v>
      </c>
      <c r="U35" s="704">
        <f t="shared" si="13"/>
        <v>100</v>
      </c>
      <c r="V35" s="703" t="s">
        <v>14</v>
      </c>
      <c r="W35" s="704">
        <f t="shared" si="14"/>
        <v>100</v>
      </c>
      <c r="X35" s="1352"/>
      <c r="Y35" s="3670"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0"/>
      <c r="Q36" s="1349" t="str">
        <f t="shared" si="11"/>
        <v>内部装修</v>
      </c>
      <c r="R36" s="703" t="s">
        <v>14</v>
      </c>
      <c r="S36" s="704">
        <f t="shared" si="12"/>
        <v>100</v>
      </c>
      <c r="T36" s="703" t="s">
        <v>14</v>
      </c>
      <c r="U36" s="704">
        <f t="shared" si="13"/>
        <v>100</v>
      </c>
      <c r="V36" s="703" t="s">
        <v>14</v>
      </c>
      <c r="W36" s="704">
        <f t="shared" si="14"/>
        <v>100</v>
      </c>
      <c r="X36" s="1352"/>
      <c r="Y36" s="3670"/>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0"/>
      <c r="Q37" s="1349" t="str">
        <f t="shared" si="11"/>
        <v>内部装修状况</v>
      </c>
      <c r="R37" s="703" t="s">
        <v>14</v>
      </c>
      <c r="S37" s="704">
        <f t="shared" si="12"/>
        <v>100</v>
      </c>
      <c r="T37" s="703" t="s">
        <v>14</v>
      </c>
      <c r="U37" s="704">
        <f t="shared" si="13"/>
        <v>100</v>
      </c>
      <c r="V37" s="703" t="s">
        <v>14</v>
      </c>
      <c r="W37" s="704">
        <f t="shared" si="14"/>
        <v>100</v>
      </c>
      <c r="X37" s="1352"/>
      <c r="Y37" s="3670"/>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0"/>
      <c r="Q38" s="705">
        <f t="shared" si="11"/>
        <v>111</v>
      </c>
      <c r="R38" s="706" t="s">
        <v>14</v>
      </c>
      <c r="S38" s="707">
        <f t="shared" si="12"/>
        <v>100</v>
      </c>
      <c r="T38" s="706" t="s">
        <v>14</v>
      </c>
      <c r="U38" s="707">
        <f t="shared" si="13"/>
        <v>100</v>
      </c>
      <c r="V38" s="706" t="s">
        <v>14</v>
      </c>
      <c r="W38" s="707">
        <f t="shared" si="14"/>
        <v>100</v>
      </c>
      <c r="X38" s="708"/>
      <c r="Y38" s="3670"/>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0"/>
      <c r="Q39" s="1349">
        <f t="shared" si="11"/>
        <v>111</v>
      </c>
      <c r="R39" s="703" t="s">
        <v>14</v>
      </c>
      <c r="S39" s="704">
        <f t="shared" si="12"/>
        <v>100</v>
      </c>
      <c r="T39" s="703" t="s">
        <v>14</v>
      </c>
      <c r="U39" s="704">
        <f t="shared" si="13"/>
        <v>100</v>
      </c>
      <c r="V39" s="703" t="s">
        <v>14</v>
      </c>
      <c r="W39" s="704">
        <f t="shared" si="14"/>
        <v>100</v>
      </c>
      <c r="X39" s="1352"/>
      <c r="Y39" s="3670"/>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1"/>
      <c r="Q40" s="1349">
        <f t="shared" si="11"/>
        <v>111</v>
      </c>
      <c r="R40" s="703" t="s">
        <v>14</v>
      </c>
      <c r="S40" s="704">
        <f t="shared" si="12"/>
        <v>100</v>
      </c>
      <c r="T40" s="703" t="s">
        <v>14</v>
      </c>
      <c r="U40" s="704">
        <f t="shared" si="13"/>
        <v>100</v>
      </c>
      <c r="V40" s="703" t="s">
        <v>14</v>
      </c>
      <c r="W40" s="704">
        <f t="shared" si="14"/>
        <v>100</v>
      </c>
      <c r="X40" s="1352"/>
      <c r="Y40" s="3671"/>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2"/>
      <c r="L41" s="924"/>
      <c r="M41" s="925"/>
      <c r="N41" s="912"/>
      <c r="O41" s="925"/>
      <c r="P41" s="3658" t="str">
        <f>A41</f>
        <v>成交单价（元/平方米）</v>
      </c>
      <c r="Q41" s="3658"/>
      <c r="R41" s="3659">
        <f>E41</f>
        <v>0</v>
      </c>
      <c r="S41" s="3659"/>
      <c r="T41" s="3659">
        <f>G41</f>
        <v>0</v>
      </c>
      <c r="U41" s="3659"/>
      <c r="V41" s="3659">
        <f>I41</f>
        <v>0</v>
      </c>
      <c r="W41" s="3659"/>
      <c r="X41" s="688"/>
      <c r="Y41" s="710"/>
      <c r="Z41" s="688"/>
      <c r="AA41" s="688"/>
      <c r="AB41" s="688"/>
      <c r="AC41" s="688"/>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4"/>
      <c r="M42" s="925"/>
      <c r="N42" s="912"/>
      <c r="O42" s="925"/>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88"/>
      <c r="Y42" s="688"/>
      <c r="Z42" s="688"/>
      <c r="AA42" s="688"/>
      <c r="AB42" s="688"/>
      <c r="AC42" s="688"/>
    </row>
    <row r="43" spans="1:29" ht="15.75" thickBot="1">
      <c r="A43" s="441" t="s">
        <v>1793</v>
      </c>
      <c r="B43" s="442"/>
      <c r="C43" s="1160" t="e">
        <f>R43</f>
        <v>#DIV/0!</v>
      </c>
      <c r="D43" s="1160"/>
      <c r="E43" s="1160"/>
      <c r="F43" s="1160"/>
      <c r="G43" s="1160"/>
      <c r="H43" s="1160"/>
      <c r="I43" s="1160"/>
      <c r="J43" s="1160"/>
      <c r="K43" s="713"/>
      <c r="L43" s="924"/>
      <c r="M43" s="925"/>
      <c r="N43" s="925"/>
      <c r="O43" s="925"/>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估价对象为北京市房地产，为所有。根据《国有土地使用证》[]，估价对象（分摊）出让国有建设用地使用权面积为0平方米，建筑面积为975.39平方米。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估价对象为北京市房地产,属开发建设的商业项目，该项目尚在开发建设中。根据《国有土地使用证》[]，估价对象（分摊）出让国有建设用地使用权面积为0平方米，规划建筑面积为975.39平方米。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2024年1月12日（评估专业人员实地查勘之日）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3334</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7" t="s">
        <v>1679</v>
      </c>
      <c r="Q7" s="3699"/>
      <c r="R7" s="699" t="s">
        <v>14</v>
      </c>
      <c r="S7" s="700">
        <f t="shared" ref="S7:S14" si="0">F7</f>
        <v>0</v>
      </c>
      <c r="T7" s="699" t="s">
        <v>14</v>
      </c>
      <c r="U7" s="700">
        <f t="shared" ref="U7:U14" si="1">H7</f>
        <v>0</v>
      </c>
      <c r="V7" s="699" t="s">
        <v>14</v>
      </c>
      <c r="W7" s="700">
        <f t="shared" ref="W7:W14"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7" t="s">
        <v>1682</v>
      </c>
      <c r="Q8" s="3698"/>
      <c r="R8" s="699" t="s">
        <v>14</v>
      </c>
      <c r="S8" s="700">
        <f t="shared" si="0"/>
        <v>100</v>
      </c>
      <c r="T8" s="699" t="s">
        <v>14</v>
      </c>
      <c r="U8" s="700">
        <f t="shared" si="1"/>
        <v>100</v>
      </c>
      <c r="V8" s="699" t="s">
        <v>14</v>
      </c>
      <c r="W8" s="700">
        <f t="shared" si="2"/>
        <v>100</v>
      </c>
      <c r="X8" s="701"/>
      <c r="Y8" s="3697" t="s">
        <v>1682</v>
      </c>
      <c r="Z8" s="3698"/>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8" t="s">
        <v>1685</v>
      </c>
      <c r="Q9" s="1340" t="str">
        <f t="shared" ref="Q9:Q14" si="6">B9</f>
        <v>用途</v>
      </c>
      <c r="R9" s="699" t="s">
        <v>14</v>
      </c>
      <c r="S9" s="700">
        <f t="shared" si="0"/>
        <v>100</v>
      </c>
      <c r="T9" s="699" t="s">
        <v>14</v>
      </c>
      <c r="U9" s="700">
        <f t="shared" si="1"/>
        <v>100</v>
      </c>
      <c r="V9" s="699" t="s">
        <v>14</v>
      </c>
      <c r="W9" s="700">
        <f t="shared" si="2"/>
        <v>100</v>
      </c>
      <c r="X9" s="701"/>
      <c r="Y9" s="3565" t="s">
        <v>1686</v>
      </c>
      <c r="Z9" s="52" t="str">
        <f t="shared" ref="Z9:Z14" si="7">Q9</f>
        <v>用途</v>
      </c>
      <c r="AA9" s="702">
        <f t="shared" si="3"/>
        <v>1</v>
      </c>
      <c r="AB9" s="702">
        <f t="shared" si="4"/>
        <v>1</v>
      </c>
      <c r="AC9" s="702">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8"/>
      <c r="Q11" s="1340">
        <f t="shared" si="6"/>
        <v>111</v>
      </c>
      <c r="R11" s="699" t="s">
        <v>14</v>
      </c>
      <c r="S11" s="700">
        <f t="shared" si="0"/>
        <v>100</v>
      </c>
      <c r="T11" s="699" t="s">
        <v>14</v>
      </c>
      <c r="U11" s="700">
        <f t="shared" si="1"/>
        <v>100</v>
      </c>
      <c r="V11" s="699" t="s">
        <v>14</v>
      </c>
      <c r="W11" s="700">
        <f t="shared" si="2"/>
        <v>100</v>
      </c>
      <c r="X11" s="701"/>
      <c r="Y11" s="356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5" t="s">
        <v>1690</v>
      </c>
      <c r="Q14" s="1349" t="str">
        <f t="shared" si="6"/>
        <v>交通便捷度</v>
      </c>
      <c r="R14" s="703" t="s">
        <v>14</v>
      </c>
      <c r="S14" s="704">
        <f t="shared" si="0"/>
        <v>100</v>
      </c>
      <c r="T14" s="703" t="s">
        <v>14</v>
      </c>
      <c r="U14" s="704">
        <f t="shared" si="1"/>
        <v>100</v>
      </c>
      <c r="V14" s="703" t="s">
        <v>14</v>
      </c>
      <c r="W14" s="704">
        <f t="shared" si="2"/>
        <v>100</v>
      </c>
      <c r="X14" s="1352"/>
      <c r="Y14" s="3665"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66"/>
      <c r="Q15" s="1349"/>
      <c r="R15" s="703"/>
      <c r="S15" s="704"/>
      <c r="T15" s="703"/>
      <c r="U15" s="704"/>
      <c r="V15" s="703"/>
      <c r="W15" s="704"/>
      <c r="X15" s="1352"/>
      <c r="Y15" s="3666"/>
      <c r="Z15" s="1353"/>
      <c r="AA15" s="1350">
        <v>1</v>
      </c>
      <c r="AB15" s="1350">
        <v>1</v>
      </c>
      <c r="AC15" s="1350">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6"/>
      <c r="Q16" s="1349" t="str">
        <f>B16</f>
        <v>公共配套设施</v>
      </c>
      <c r="R16" s="703" t="s">
        <v>14</v>
      </c>
      <c r="S16" s="704">
        <f>F16</f>
        <v>100</v>
      </c>
      <c r="T16" s="703" t="s">
        <v>14</v>
      </c>
      <c r="U16" s="704">
        <f>H16</f>
        <v>100</v>
      </c>
      <c r="V16" s="703" t="s">
        <v>14</v>
      </c>
      <c r="W16" s="704">
        <f>J16</f>
        <v>100</v>
      </c>
      <c r="X16" s="1352"/>
      <c r="Y16" s="3666"/>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66"/>
      <c r="Q17" s="1349"/>
      <c r="R17" s="703"/>
      <c r="S17" s="704"/>
      <c r="T17" s="703"/>
      <c r="U17" s="704"/>
      <c r="V17" s="703"/>
      <c r="W17" s="704"/>
      <c r="X17" s="1352"/>
      <c r="Y17" s="3666"/>
      <c r="Z17" s="1353"/>
      <c r="AA17" s="1350">
        <v>1</v>
      </c>
      <c r="AB17" s="1350">
        <v>1</v>
      </c>
      <c r="AC17" s="1350">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6"/>
      <c r="Q18" s="1349" t="str">
        <f>B18</f>
        <v>基础设施水平</v>
      </c>
      <c r="R18" s="703" t="s">
        <v>14</v>
      </c>
      <c r="S18" s="704">
        <f>F18</f>
        <v>100</v>
      </c>
      <c r="T18" s="703" t="s">
        <v>14</v>
      </c>
      <c r="U18" s="704">
        <f>H18</f>
        <v>100</v>
      </c>
      <c r="V18" s="703" t="s">
        <v>14</v>
      </c>
      <c r="W18" s="704">
        <f>J18</f>
        <v>100</v>
      </c>
      <c r="X18" s="1352"/>
      <c r="Y18" s="3666"/>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66"/>
      <c r="Q19" s="1349"/>
      <c r="R19" s="703"/>
      <c r="S19" s="704"/>
      <c r="T19" s="703"/>
      <c r="U19" s="704"/>
      <c r="V19" s="703"/>
      <c r="W19" s="704"/>
      <c r="X19" s="1352"/>
      <c r="Y19" s="3666"/>
      <c r="Z19" s="1353"/>
      <c r="AA19" s="1350">
        <v>1</v>
      </c>
      <c r="AB19" s="1350">
        <v>1</v>
      </c>
      <c r="AC19" s="1350">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6"/>
      <c r="Q20" s="1349" t="str">
        <f>B20</f>
        <v>自然及人文环境</v>
      </c>
      <c r="R20" s="703" t="s">
        <v>14</v>
      </c>
      <c r="S20" s="704">
        <f>F20</f>
        <v>100</v>
      </c>
      <c r="T20" s="703" t="s">
        <v>14</v>
      </c>
      <c r="U20" s="704">
        <f>H20</f>
        <v>100</v>
      </c>
      <c r="V20" s="703" t="s">
        <v>14</v>
      </c>
      <c r="W20" s="704">
        <f>J20</f>
        <v>100</v>
      </c>
      <c r="X20" s="1352"/>
      <c r="Y20" s="3666"/>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66"/>
      <c r="Q21" s="1349"/>
      <c r="R21" s="703"/>
      <c r="S21" s="704"/>
      <c r="T21" s="703"/>
      <c r="U21" s="704"/>
      <c r="V21" s="703"/>
      <c r="W21" s="704"/>
      <c r="X21" s="1352"/>
      <c r="Y21" s="3666"/>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6"/>
      <c r="Q22" s="1349" t="str">
        <f>B22</f>
        <v>楼层</v>
      </c>
      <c r="R22" s="703" t="s">
        <v>14</v>
      </c>
      <c r="S22" s="704">
        <f>F22</f>
        <v>100</v>
      </c>
      <c r="T22" s="703" t="s">
        <v>14</v>
      </c>
      <c r="U22" s="704">
        <f>H22</f>
        <v>100</v>
      </c>
      <c r="V22" s="703" t="s">
        <v>14</v>
      </c>
      <c r="W22" s="704">
        <f>J22</f>
        <v>100</v>
      </c>
      <c r="X22" s="1352"/>
      <c r="Y22" s="3666"/>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6"/>
      <c r="Q23" s="1349">
        <f>B23</f>
        <v>111</v>
      </c>
      <c r="R23" s="703" t="s">
        <v>14</v>
      </c>
      <c r="S23" s="704">
        <f>F23</f>
        <v>100</v>
      </c>
      <c r="T23" s="703" t="s">
        <v>14</v>
      </c>
      <c r="U23" s="704">
        <f>H23</f>
        <v>100</v>
      </c>
      <c r="V23" s="703" t="s">
        <v>14</v>
      </c>
      <c r="W23" s="704">
        <f>J23</f>
        <v>100</v>
      </c>
      <c r="X23" s="1352"/>
      <c r="Y23" s="3666"/>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6"/>
      <c r="Q24" s="1349">
        <f t="shared" ref="Q24:Q36" si="11">B24</f>
        <v>111</v>
      </c>
      <c r="R24" s="703" t="s">
        <v>14</v>
      </c>
      <c r="S24" s="704">
        <f>F24</f>
        <v>100</v>
      </c>
      <c r="T24" s="703" t="s">
        <v>14</v>
      </c>
      <c r="U24" s="704">
        <f>H24</f>
        <v>100</v>
      </c>
      <c r="V24" s="703" t="s">
        <v>14</v>
      </c>
      <c r="W24" s="704">
        <f>J24</f>
        <v>100</v>
      </c>
      <c r="X24" s="1352"/>
      <c r="Y24" s="3666"/>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6"/>
      <c r="Q25" s="1340">
        <f t="shared" si="11"/>
        <v>111</v>
      </c>
      <c r="R25" s="699" t="s">
        <v>14</v>
      </c>
      <c r="S25" s="700">
        <f>F25</f>
        <v>100</v>
      </c>
      <c r="T25" s="699" t="s">
        <v>14</v>
      </c>
      <c r="U25" s="700">
        <f>H25</f>
        <v>100</v>
      </c>
      <c r="V25" s="699" t="s">
        <v>14</v>
      </c>
      <c r="W25" s="700">
        <f>J25</f>
        <v>100</v>
      </c>
      <c r="X25" s="701"/>
      <c r="Y25" s="3666"/>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0" t="s">
        <v>1695</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70"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0"/>
      <c r="Q27" s="705" t="str">
        <f t="shared" si="11"/>
        <v>项目停车位配比</v>
      </c>
      <c r="R27" s="706" t="s">
        <v>14</v>
      </c>
      <c r="S27" s="707">
        <f t="shared" si="12"/>
        <v>100</v>
      </c>
      <c r="T27" s="706" t="s">
        <v>14</v>
      </c>
      <c r="U27" s="707">
        <f t="shared" si="13"/>
        <v>100</v>
      </c>
      <c r="V27" s="706" t="s">
        <v>14</v>
      </c>
      <c r="W27" s="707">
        <f t="shared" si="14"/>
        <v>100</v>
      </c>
      <c r="X27" s="708"/>
      <c r="Y27" s="3670"/>
      <c r="Z27" s="709"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0"/>
      <c r="Q28" s="1349" t="str">
        <f t="shared" si="11"/>
        <v>公共部分装修</v>
      </c>
      <c r="R28" s="703" t="s">
        <v>14</v>
      </c>
      <c r="S28" s="704">
        <f t="shared" si="12"/>
        <v>100</v>
      </c>
      <c r="T28" s="703" t="s">
        <v>14</v>
      </c>
      <c r="U28" s="704">
        <f t="shared" si="13"/>
        <v>100</v>
      </c>
      <c r="V28" s="703" t="s">
        <v>14</v>
      </c>
      <c r="W28" s="704">
        <f t="shared" si="14"/>
        <v>100</v>
      </c>
      <c r="X28" s="1352"/>
      <c r="Y28" s="3670"/>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0"/>
      <c r="Q29" s="1349" t="str">
        <f t="shared" si="11"/>
        <v>成新率</v>
      </c>
      <c r="R29" s="703" t="s">
        <v>14</v>
      </c>
      <c r="S29" s="704" t="e">
        <f t="shared" si="12"/>
        <v>#N/A</v>
      </c>
      <c r="T29" s="703" t="s">
        <v>14</v>
      </c>
      <c r="U29" s="704" t="e">
        <f t="shared" si="13"/>
        <v>#N/A</v>
      </c>
      <c r="V29" s="703" t="s">
        <v>14</v>
      </c>
      <c r="W29" s="704" t="e">
        <f t="shared" si="14"/>
        <v>#N/A</v>
      </c>
      <c r="X29" s="1352"/>
      <c r="Y29" s="3670"/>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0"/>
      <c r="Q30" s="1349" t="str">
        <f t="shared" si="11"/>
        <v>物业等级</v>
      </c>
      <c r="R30" s="703" t="s">
        <v>14</v>
      </c>
      <c r="S30" s="704">
        <f t="shared" si="12"/>
        <v>100</v>
      </c>
      <c r="T30" s="703" t="s">
        <v>14</v>
      </c>
      <c r="U30" s="704">
        <f t="shared" si="13"/>
        <v>100</v>
      </c>
      <c r="V30" s="703" t="s">
        <v>14</v>
      </c>
      <c r="W30" s="704">
        <f t="shared" si="14"/>
        <v>100</v>
      </c>
      <c r="X30" s="1352"/>
      <c r="Y30" s="3670"/>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0"/>
      <c r="Q31" s="1340" t="str">
        <f t="shared" si="11"/>
        <v>停车位面积</v>
      </c>
      <c r="R31" s="699" t="s">
        <v>14</v>
      </c>
      <c r="S31" s="700" t="e">
        <f t="shared" si="12"/>
        <v>#N/A</v>
      </c>
      <c r="T31" s="699" t="s">
        <v>14</v>
      </c>
      <c r="U31" s="700" t="e">
        <f t="shared" si="13"/>
        <v>#N/A</v>
      </c>
      <c r="V31" s="699" t="s">
        <v>14</v>
      </c>
      <c r="W31" s="700" t="e">
        <f t="shared" si="14"/>
        <v>#N/A</v>
      </c>
      <c r="X31" s="701"/>
      <c r="Y31" s="3670"/>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0" t="s">
        <v>1695</v>
      </c>
      <c r="Q32" s="1349" t="str">
        <f t="shared" si="11"/>
        <v>车位类型</v>
      </c>
      <c r="R32" s="703" t="s">
        <v>14</v>
      </c>
      <c r="S32" s="704">
        <f t="shared" si="12"/>
        <v>100</v>
      </c>
      <c r="T32" s="703" t="s">
        <v>14</v>
      </c>
      <c r="U32" s="704">
        <f t="shared" si="13"/>
        <v>100</v>
      </c>
      <c r="V32" s="703" t="s">
        <v>14</v>
      </c>
      <c r="W32" s="704">
        <f t="shared" si="14"/>
        <v>100</v>
      </c>
      <c r="X32" s="1352"/>
      <c r="Y32" s="3670"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0"/>
      <c r="Q33" s="1349" t="str">
        <f t="shared" si="11"/>
        <v>是否直接入户</v>
      </c>
      <c r="R33" s="703" t="s">
        <v>14</v>
      </c>
      <c r="S33" s="704">
        <f t="shared" si="12"/>
        <v>100</v>
      </c>
      <c r="T33" s="703" t="s">
        <v>14</v>
      </c>
      <c r="U33" s="704">
        <f t="shared" si="13"/>
        <v>100</v>
      </c>
      <c r="V33" s="703" t="s">
        <v>14</v>
      </c>
      <c r="W33" s="704">
        <f t="shared" si="14"/>
        <v>100</v>
      </c>
      <c r="X33" s="1352"/>
      <c r="Y33" s="367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0"/>
      <c r="Q34" s="1349">
        <f t="shared" si="11"/>
        <v>111</v>
      </c>
      <c r="R34" s="703" t="s">
        <v>14</v>
      </c>
      <c r="S34" s="704">
        <f t="shared" si="12"/>
        <v>100</v>
      </c>
      <c r="T34" s="703" t="s">
        <v>14</v>
      </c>
      <c r="U34" s="704">
        <f t="shared" si="13"/>
        <v>100</v>
      </c>
      <c r="V34" s="703" t="s">
        <v>14</v>
      </c>
      <c r="W34" s="704">
        <f t="shared" si="14"/>
        <v>100</v>
      </c>
      <c r="X34" s="1352"/>
      <c r="Y34" s="367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0"/>
      <c r="Q35" s="705">
        <f t="shared" si="11"/>
        <v>111</v>
      </c>
      <c r="R35" s="706" t="s">
        <v>14</v>
      </c>
      <c r="S35" s="707">
        <f t="shared" si="12"/>
        <v>100</v>
      </c>
      <c r="T35" s="706" t="s">
        <v>14</v>
      </c>
      <c r="U35" s="707">
        <f t="shared" si="13"/>
        <v>100</v>
      </c>
      <c r="V35" s="706" t="s">
        <v>14</v>
      </c>
      <c r="W35" s="707">
        <f t="shared" si="14"/>
        <v>100</v>
      </c>
      <c r="X35" s="708"/>
      <c r="Y35" s="3670"/>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0"/>
      <c r="Q36" s="1349">
        <f t="shared" si="11"/>
        <v>111</v>
      </c>
      <c r="R36" s="703" t="s">
        <v>14</v>
      </c>
      <c r="S36" s="704">
        <f t="shared" si="12"/>
        <v>100</v>
      </c>
      <c r="T36" s="703" t="s">
        <v>14</v>
      </c>
      <c r="U36" s="704">
        <f t="shared" si="13"/>
        <v>100</v>
      </c>
      <c r="V36" s="703" t="s">
        <v>14</v>
      </c>
      <c r="W36" s="704">
        <f t="shared" si="14"/>
        <v>100</v>
      </c>
      <c r="X36" s="1352"/>
      <c r="Y36" s="3670"/>
      <c r="Z36" s="1353">
        <f t="shared" si="15"/>
        <v>111</v>
      </c>
      <c r="AA36" s="1350">
        <f t="shared" si="3"/>
        <v>1</v>
      </c>
      <c r="AB36" s="1350">
        <f t="shared" si="4"/>
        <v>1</v>
      </c>
      <c r="AC36" s="1350">
        <f t="shared" si="5"/>
        <v>1</v>
      </c>
    </row>
    <row r="37" spans="1:29" ht="15">
      <c r="A37" s="430" t="s">
        <v>1843</v>
      </c>
      <c r="B37" s="1970" t="s">
        <v>3354</v>
      </c>
      <c r="C37" s="1151" t="s">
        <v>0</v>
      </c>
      <c r="D37" s="1152"/>
      <c r="E37" s="1153"/>
      <c r="F37" s="1154"/>
      <c r="G37" s="1155"/>
      <c r="H37" s="1156"/>
      <c r="I37" s="1153"/>
      <c r="J37" s="1156"/>
      <c r="K37" s="568"/>
      <c r="L37" s="2721"/>
      <c r="M37" s="2722"/>
      <c r="N37" s="2713"/>
      <c r="O37" s="2722"/>
      <c r="P37" s="3658" t="str">
        <f>A37</f>
        <v>成交单价</v>
      </c>
      <c r="Q37" s="3658"/>
      <c r="R37" s="3659">
        <f>E37</f>
        <v>0</v>
      </c>
      <c r="S37" s="3659"/>
      <c r="T37" s="3659">
        <f>G37</f>
        <v>0</v>
      </c>
      <c r="U37" s="3659"/>
      <c r="V37" s="3659">
        <f>I37</f>
        <v>0</v>
      </c>
      <c r="W37" s="3659"/>
      <c r="X37" s="688"/>
      <c r="Y37" s="710"/>
      <c r="Z37" s="688"/>
      <c r="AA37" s="688"/>
      <c r="AB37" s="688"/>
      <c r="AC37" s="688"/>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88"/>
      <c r="Y38" s="688"/>
      <c r="Z38" s="688"/>
      <c r="AA38" s="688"/>
      <c r="AB38" s="688"/>
      <c r="AC38" s="688"/>
    </row>
    <row r="39" spans="1:29" ht="15.75" thickBot="1">
      <c r="A39" s="441" t="s">
        <v>1845</v>
      </c>
      <c r="B39" s="442"/>
      <c r="C39" s="1160" t="e">
        <f>R39</f>
        <v>#DIV/0!</v>
      </c>
      <c r="D39" s="1160"/>
      <c r="E39" s="1160"/>
      <c r="F39" s="1160"/>
      <c r="G39" s="1160"/>
      <c r="H39" s="1160"/>
      <c r="I39" s="1160"/>
      <c r="J39" s="1160"/>
      <c r="K39" s="569"/>
      <c r="L39" s="2721"/>
      <c r="M39" s="2722"/>
      <c r="N39" s="2722"/>
      <c r="O39" s="2722"/>
      <c r="P39" s="3660" t="str">
        <f>A39</f>
        <v>估价对象XX用房的比较价值（楼面单价，元/平方米）</v>
      </c>
      <c r="Q39" s="3661"/>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45303</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7" t="s">
        <v>1679</v>
      </c>
      <c r="Q7" s="3699"/>
      <c r="R7" s="699" t="s">
        <v>14</v>
      </c>
      <c r="S7" s="700">
        <f t="shared" ref="S7:S14" si="0">F7</f>
        <v>0</v>
      </c>
      <c r="T7" s="699" t="s">
        <v>14</v>
      </c>
      <c r="U7" s="700">
        <f t="shared" ref="U7:U14" si="1">H7</f>
        <v>0</v>
      </c>
      <c r="V7" s="699" t="s">
        <v>14</v>
      </c>
      <c r="W7" s="700">
        <f t="shared" ref="W7:W14"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7" t="s">
        <v>1682</v>
      </c>
      <c r="Q8" s="3698"/>
      <c r="R8" s="699" t="s">
        <v>14</v>
      </c>
      <c r="S8" s="700">
        <f t="shared" si="0"/>
        <v>100</v>
      </c>
      <c r="T8" s="699" t="s">
        <v>14</v>
      </c>
      <c r="U8" s="700">
        <f t="shared" si="1"/>
        <v>100</v>
      </c>
      <c r="V8" s="699" t="s">
        <v>14</v>
      </c>
      <c r="W8" s="700">
        <f t="shared" si="2"/>
        <v>100</v>
      </c>
      <c r="X8" s="701"/>
      <c r="Y8" s="3697" t="s">
        <v>1682</v>
      </c>
      <c r="Z8" s="3698"/>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8" t="s">
        <v>1685</v>
      </c>
      <c r="Q9" s="1340" t="str">
        <f t="shared" ref="Q9:Q14" si="6">B9</f>
        <v>用途</v>
      </c>
      <c r="R9" s="699" t="s">
        <v>14</v>
      </c>
      <c r="S9" s="700">
        <f t="shared" si="0"/>
        <v>100</v>
      </c>
      <c r="T9" s="699" t="s">
        <v>14</v>
      </c>
      <c r="U9" s="700">
        <f t="shared" si="1"/>
        <v>100</v>
      </c>
      <c r="V9" s="699" t="s">
        <v>14</v>
      </c>
      <c r="W9" s="700">
        <f t="shared" si="2"/>
        <v>100</v>
      </c>
      <c r="X9" s="701"/>
      <c r="Y9" s="3565" t="s">
        <v>1686</v>
      </c>
      <c r="Z9" s="52" t="str">
        <f t="shared" ref="Z9:Z14" si="7">Q9</f>
        <v>用途</v>
      </c>
      <c r="AA9" s="702">
        <f t="shared" si="3"/>
        <v>1</v>
      </c>
      <c r="AB9" s="702">
        <f t="shared" si="4"/>
        <v>1</v>
      </c>
      <c r="AC9" s="702">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8"/>
      <c r="Q11" s="1340">
        <f t="shared" si="6"/>
        <v>111</v>
      </c>
      <c r="R11" s="699" t="s">
        <v>14</v>
      </c>
      <c r="S11" s="700">
        <f t="shared" si="0"/>
        <v>100</v>
      </c>
      <c r="T11" s="699" t="s">
        <v>14</v>
      </c>
      <c r="U11" s="700">
        <f t="shared" si="1"/>
        <v>100</v>
      </c>
      <c r="V11" s="699" t="s">
        <v>14</v>
      </c>
      <c r="W11" s="700">
        <f t="shared" si="2"/>
        <v>100</v>
      </c>
      <c r="X11" s="701"/>
      <c r="Y11" s="3565"/>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5" t="s">
        <v>1690</v>
      </c>
      <c r="Q14" s="1349" t="str">
        <f t="shared" si="6"/>
        <v>交通便捷度</v>
      </c>
      <c r="R14" s="703" t="s">
        <v>14</v>
      </c>
      <c r="S14" s="704">
        <f t="shared" si="0"/>
        <v>100</v>
      </c>
      <c r="T14" s="703" t="s">
        <v>14</v>
      </c>
      <c r="U14" s="704">
        <f t="shared" si="1"/>
        <v>100</v>
      </c>
      <c r="V14" s="703" t="s">
        <v>14</v>
      </c>
      <c r="W14" s="704">
        <f t="shared" si="2"/>
        <v>100</v>
      </c>
      <c r="X14" s="1352"/>
      <c r="Y14" s="3665"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66"/>
      <c r="Q15" s="1349"/>
      <c r="R15" s="703"/>
      <c r="S15" s="704"/>
      <c r="T15" s="703"/>
      <c r="U15" s="704"/>
      <c r="V15" s="703"/>
      <c r="W15" s="704"/>
      <c r="X15" s="1352"/>
      <c r="Y15" s="3666"/>
      <c r="Z15" s="1353"/>
      <c r="AA15" s="1350">
        <v>1</v>
      </c>
      <c r="AB15" s="1350">
        <v>1</v>
      </c>
      <c r="AC15" s="1350">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6"/>
      <c r="Q16" s="1349" t="str">
        <f>B16</f>
        <v>公共配套设施</v>
      </c>
      <c r="R16" s="703" t="s">
        <v>14</v>
      </c>
      <c r="S16" s="704">
        <f>F16</f>
        <v>100</v>
      </c>
      <c r="T16" s="703" t="s">
        <v>14</v>
      </c>
      <c r="U16" s="704">
        <f>H16</f>
        <v>100</v>
      </c>
      <c r="V16" s="703" t="s">
        <v>14</v>
      </c>
      <c r="W16" s="704">
        <f>J16</f>
        <v>100</v>
      </c>
      <c r="X16" s="1352"/>
      <c r="Y16" s="3666"/>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66"/>
      <c r="Q17" s="1349"/>
      <c r="R17" s="703"/>
      <c r="S17" s="704"/>
      <c r="T17" s="703"/>
      <c r="U17" s="704"/>
      <c r="V17" s="703"/>
      <c r="W17" s="704"/>
      <c r="X17" s="1352"/>
      <c r="Y17" s="3666"/>
      <c r="Z17" s="1353"/>
      <c r="AA17" s="1350">
        <v>1</v>
      </c>
      <c r="AB17" s="1350">
        <v>1</v>
      </c>
      <c r="AC17" s="1350">
        <v>1</v>
      </c>
    </row>
    <row r="18" spans="1:29" ht="28.5">
      <c r="A18" s="379"/>
      <c r="B18" s="1128"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6"/>
      <c r="Q18" s="1349" t="str">
        <f>B18</f>
        <v>基础设施水平</v>
      </c>
      <c r="R18" s="703" t="s">
        <v>14</v>
      </c>
      <c r="S18" s="704">
        <f>F18</f>
        <v>100</v>
      </c>
      <c r="T18" s="703" t="s">
        <v>14</v>
      </c>
      <c r="U18" s="704">
        <f>H18</f>
        <v>100</v>
      </c>
      <c r="V18" s="703" t="s">
        <v>14</v>
      </c>
      <c r="W18" s="704">
        <f>J18</f>
        <v>100</v>
      </c>
      <c r="X18" s="1352"/>
      <c r="Y18" s="3666"/>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66"/>
      <c r="Q19" s="1349"/>
      <c r="R19" s="703"/>
      <c r="S19" s="704"/>
      <c r="T19" s="703"/>
      <c r="U19" s="704"/>
      <c r="V19" s="703"/>
      <c r="W19" s="704"/>
      <c r="X19" s="1352"/>
      <c r="Y19" s="3666"/>
      <c r="Z19" s="1353"/>
      <c r="AA19" s="1350">
        <v>1</v>
      </c>
      <c r="AB19" s="1350">
        <v>1</v>
      </c>
      <c r="AC19" s="1350">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6"/>
      <c r="Q20" s="1349" t="str">
        <f>B20</f>
        <v>自然及人文环境</v>
      </c>
      <c r="R20" s="703" t="s">
        <v>14</v>
      </c>
      <c r="S20" s="704">
        <f>F20</f>
        <v>100</v>
      </c>
      <c r="T20" s="703" t="s">
        <v>14</v>
      </c>
      <c r="U20" s="704">
        <f>H20</f>
        <v>100</v>
      </c>
      <c r="V20" s="703" t="s">
        <v>14</v>
      </c>
      <c r="W20" s="704">
        <f>J20</f>
        <v>100</v>
      </c>
      <c r="X20" s="1352"/>
      <c r="Y20" s="3666"/>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66"/>
      <c r="Q21" s="1349"/>
      <c r="R21" s="703"/>
      <c r="S21" s="704"/>
      <c r="T21" s="703"/>
      <c r="U21" s="704"/>
      <c r="V21" s="703"/>
      <c r="W21" s="704"/>
      <c r="X21" s="1352"/>
      <c r="Y21" s="3666"/>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6"/>
      <c r="Q22" s="1349" t="str">
        <f>B22</f>
        <v>楼层</v>
      </c>
      <c r="R22" s="703" t="s">
        <v>14</v>
      </c>
      <c r="S22" s="704">
        <f>F22</f>
        <v>100</v>
      </c>
      <c r="T22" s="703" t="s">
        <v>14</v>
      </c>
      <c r="U22" s="704">
        <f>H22</f>
        <v>100</v>
      </c>
      <c r="V22" s="703" t="s">
        <v>14</v>
      </c>
      <c r="W22" s="704">
        <f>J22</f>
        <v>100</v>
      </c>
      <c r="X22" s="1352"/>
      <c r="Y22" s="3666"/>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6"/>
      <c r="Q23" s="1349">
        <f>B23</f>
        <v>111</v>
      </c>
      <c r="R23" s="703" t="s">
        <v>14</v>
      </c>
      <c r="S23" s="704">
        <f>F23</f>
        <v>100</v>
      </c>
      <c r="T23" s="703" t="s">
        <v>14</v>
      </c>
      <c r="U23" s="704">
        <f>H23</f>
        <v>100</v>
      </c>
      <c r="V23" s="703" t="s">
        <v>14</v>
      </c>
      <c r="W23" s="704">
        <f>J23</f>
        <v>100</v>
      </c>
      <c r="X23" s="1352"/>
      <c r="Y23" s="3666"/>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6"/>
      <c r="Q24" s="1349">
        <f t="shared" ref="Q24:Q34" si="11">B24</f>
        <v>111</v>
      </c>
      <c r="R24" s="703" t="s">
        <v>14</v>
      </c>
      <c r="S24" s="704">
        <f>F24</f>
        <v>100</v>
      </c>
      <c r="T24" s="703" t="s">
        <v>14</v>
      </c>
      <c r="U24" s="704">
        <f>H24</f>
        <v>100</v>
      </c>
      <c r="V24" s="703" t="s">
        <v>14</v>
      </c>
      <c r="W24" s="704">
        <f>J24</f>
        <v>100</v>
      </c>
      <c r="X24" s="1352"/>
      <c r="Y24" s="3666"/>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6"/>
      <c r="Q25" s="1340">
        <f t="shared" si="11"/>
        <v>111</v>
      </c>
      <c r="R25" s="699" t="s">
        <v>14</v>
      </c>
      <c r="S25" s="700">
        <f>F25</f>
        <v>100</v>
      </c>
      <c r="T25" s="699" t="s">
        <v>14</v>
      </c>
      <c r="U25" s="700">
        <f>H25</f>
        <v>100</v>
      </c>
      <c r="V25" s="699" t="s">
        <v>14</v>
      </c>
      <c r="W25" s="700">
        <f>J25</f>
        <v>100</v>
      </c>
      <c r="X25" s="701"/>
      <c r="Y25" s="3666"/>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0" t="s">
        <v>1695</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70"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0"/>
      <c r="Q27" s="705" t="str">
        <f t="shared" si="11"/>
        <v>成新率</v>
      </c>
      <c r="R27" s="706" t="s">
        <v>14</v>
      </c>
      <c r="S27" s="707" t="e">
        <f t="shared" si="12"/>
        <v>#N/A</v>
      </c>
      <c r="T27" s="706" t="s">
        <v>14</v>
      </c>
      <c r="U27" s="707" t="e">
        <f t="shared" si="13"/>
        <v>#N/A</v>
      </c>
      <c r="V27" s="706" t="s">
        <v>14</v>
      </c>
      <c r="W27" s="707" t="e">
        <f t="shared" si="14"/>
        <v>#N/A</v>
      </c>
      <c r="X27" s="708"/>
      <c r="Y27" s="3670"/>
      <c r="Z27" s="709"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0"/>
      <c r="Q28" s="1349" t="str">
        <f t="shared" si="11"/>
        <v>物业等级</v>
      </c>
      <c r="R28" s="703" t="s">
        <v>14</v>
      </c>
      <c r="S28" s="704">
        <f t="shared" si="12"/>
        <v>100</v>
      </c>
      <c r="T28" s="703" t="s">
        <v>14</v>
      </c>
      <c r="U28" s="704">
        <f t="shared" si="13"/>
        <v>100</v>
      </c>
      <c r="V28" s="703" t="s">
        <v>14</v>
      </c>
      <c r="W28" s="704">
        <f t="shared" si="14"/>
        <v>100</v>
      </c>
      <c r="X28" s="1352"/>
      <c r="Y28" s="3670"/>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0"/>
      <c r="Q29" s="1349" t="str">
        <f t="shared" si="11"/>
        <v>有无电梯</v>
      </c>
      <c r="R29" s="703" t="s">
        <v>14</v>
      </c>
      <c r="S29" s="704">
        <f t="shared" si="12"/>
        <v>100</v>
      </c>
      <c r="T29" s="703" t="s">
        <v>14</v>
      </c>
      <c r="U29" s="704">
        <f t="shared" si="13"/>
        <v>100</v>
      </c>
      <c r="V29" s="703" t="s">
        <v>14</v>
      </c>
      <c r="W29" s="704">
        <f t="shared" si="14"/>
        <v>100</v>
      </c>
      <c r="X29" s="1352"/>
      <c r="Y29" s="3670"/>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0"/>
      <c r="Q30" s="1349" t="str">
        <f t="shared" si="11"/>
        <v>建筑面积</v>
      </c>
      <c r="R30" s="703" t="s">
        <v>14</v>
      </c>
      <c r="S30" s="704" t="e">
        <f t="shared" si="12"/>
        <v>#N/A</v>
      </c>
      <c r="T30" s="703" t="s">
        <v>14</v>
      </c>
      <c r="U30" s="704" t="e">
        <f t="shared" si="13"/>
        <v>#N/A</v>
      </c>
      <c r="V30" s="703" t="s">
        <v>14</v>
      </c>
      <c r="W30" s="704" t="e">
        <f t="shared" si="14"/>
        <v>#N/A</v>
      </c>
      <c r="X30" s="1352"/>
      <c r="Y30" s="3670"/>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0"/>
      <c r="Q31" s="1340" t="str">
        <f t="shared" si="11"/>
        <v>是否封闭</v>
      </c>
      <c r="R31" s="699" t="s">
        <v>14</v>
      </c>
      <c r="S31" s="700">
        <f t="shared" si="12"/>
        <v>100</v>
      </c>
      <c r="T31" s="699" t="s">
        <v>14</v>
      </c>
      <c r="U31" s="700">
        <f t="shared" si="13"/>
        <v>100</v>
      </c>
      <c r="V31" s="699" t="s">
        <v>14</v>
      </c>
      <c r="W31" s="700">
        <f t="shared" si="14"/>
        <v>100</v>
      </c>
      <c r="X31" s="701"/>
      <c r="Y31" s="3670"/>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0" t="s">
        <v>1695</v>
      </c>
      <c r="Q32" s="1349">
        <f t="shared" si="11"/>
        <v>111</v>
      </c>
      <c r="R32" s="703" t="s">
        <v>14</v>
      </c>
      <c r="S32" s="704">
        <f t="shared" si="12"/>
        <v>100</v>
      </c>
      <c r="T32" s="703" t="s">
        <v>14</v>
      </c>
      <c r="U32" s="704">
        <f t="shared" si="13"/>
        <v>100</v>
      </c>
      <c r="V32" s="703" t="s">
        <v>14</v>
      </c>
      <c r="W32" s="704">
        <f t="shared" si="14"/>
        <v>100</v>
      </c>
      <c r="X32" s="1352"/>
      <c r="Y32" s="3670"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0"/>
      <c r="Q33" s="1349">
        <f t="shared" si="11"/>
        <v>111</v>
      </c>
      <c r="R33" s="703" t="s">
        <v>14</v>
      </c>
      <c r="S33" s="704">
        <f t="shared" si="12"/>
        <v>100</v>
      </c>
      <c r="T33" s="703" t="s">
        <v>14</v>
      </c>
      <c r="U33" s="704">
        <f t="shared" si="13"/>
        <v>100</v>
      </c>
      <c r="V33" s="703" t="s">
        <v>14</v>
      </c>
      <c r="W33" s="704">
        <f t="shared" si="14"/>
        <v>100</v>
      </c>
      <c r="X33" s="1352"/>
      <c r="Y33" s="3670"/>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70"/>
      <c r="Q34" s="1349">
        <f t="shared" si="11"/>
        <v>111</v>
      </c>
      <c r="R34" s="703" t="s">
        <v>14</v>
      </c>
      <c r="S34" s="704">
        <f t="shared" si="12"/>
        <v>100</v>
      </c>
      <c r="T34" s="703" t="s">
        <v>14</v>
      </c>
      <c r="U34" s="704">
        <f t="shared" si="13"/>
        <v>100</v>
      </c>
      <c r="V34" s="703" t="s">
        <v>14</v>
      </c>
      <c r="W34" s="704">
        <f t="shared" si="14"/>
        <v>100</v>
      </c>
      <c r="X34" s="1352"/>
      <c r="Y34" s="3670"/>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2"/>
      <c r="L35" s="2721"/>
      <c r="M35" s="2722"/>
      <c r="N35" s="2713"/>
      <c r="O35" s="2722"/>
      <c r="P35" s="3658" t="str">
        <f>A35</f>
        <v>成交单价（元/平方米）</v>
      </c>
      <c r="Q35" s="3658"/>
      <c r="R35" s="3659">
        <f>E35</f>
        <v>0</v>
      </c>
      <c r="S35" s="3659"/>
      <c r="T35" s="3659">
        <f>G35</f>
        <v>0</v>
      </c>
      <c r="U35" s="3659"/>
      <c r="V35" s="3659">
        <f>I35</f>
        <v>0</v>
      </c>
      <c r="W35" s="3659"/>
      <c r="X35" s="688"/>
      <c r="Y35" s="710"/>
      <c r="Z35" s="688"/>
      <c r="AA35" s="688"/>
      <c r="AB35" s="688"/>
      <c r="AC35" s="688"/>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88"/>
      <c r="Y36" s="688"/>
      <c r="Z36" s="688"/>
      <c r="AA36" s="688"/>
      <c r="AB36" s="688"/>
      <c r="AC36" s="688"/>
    </row>
    <row r="37" spans="1:30" ht="15.75" thickBot="1">
      <c r="A37" s="441" t="s">
        <v>1793</v>
      </c>
      <c r="B37" s="442"/>
      <c r="C37" s="1160" t="e">
        <f>R37</f>
        <v>#DIV/0!</v>
      </c>
      <c r="D37" s="1160"/>
      <c r="E37" s="1160"/>
      <c r="F37" s="1160"/>
      <c r="G37" s="1160"/>
      <c r="H37" s="1160"/>
      <c r="I37" s="1160"/>
      <c r="J37" s="1160"/>
      <c r="K37" s="713"/>
      <c r="L37" s="2721"/>
      <c r="M37" s="2722"/>
      <c r="N37" s="2722"/>
      <c r="O37" s="2722"/>
      <c r="P37" s="3660" t="str">
        <f>A37</f>
        <v>估价对象XX用房的比较价值（楼面单价，元/平方米）</v>
      </c>
      <c r="Q37" s="3661"/>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30"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30"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6"/>
      <c r="AC6" s="3676"/>
    </row>
    <row r="7" spans="1:30" s="108" customFormat="1" ht="15.75" thickBot="1">
      <c r="A7" s="362" t="s">
        <v>1678</v>
      </c>
      <c r="B7" s="363"/>
      <c r="C7" s="364">
        <f>'数据-取费表'!B2</f>
        <v>45303</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7"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7" t="s">
        <v>1682</v>
      </c>
      <c r="Q8" s="3698"/>
      <c r="R8" s="699" t="s">
        <v>14</v>
      </c>
      <c r="S8" s="700">
        <f t="shared" si="0"/>
        <v>0</v>
      </c>
      <c r="T8" s="699" t="s">
        <v>14</v>
      </c>
      <c r="U8" s="700">
        <f t="shared" si="1"/>
        <v>0</v>
      </c>
      <c r="V8" s="699" t="s">
        <v>14</v>
      </c>
      <c r="W8" s="700">
        <f t="shared" si="2"/>
        <v>0</v>
      </c>
      <c r="X8" s="701"/>
      <c r="Y8" s="3697" t="s">
        <v>1682</v>
      </c>
      <c r="Z8" s="3698"/>
      <c r="AA8" s="702" t="e">
        <f t="shared" ref="AA8:AA45" si="3">D8/F8</f>
        <v>#DIV/0!</v>
      </c>
      <c r="AB8" s="702" t="e">
        <f t="shared" ref="AB8:AB45" si="4">D8/H8</f>
        <v>#DIV/0!</v>
      </c>
      <c r="AC8" s="702"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58"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122</v>
      </c>
      <c r="G10" s="414"/>
      <c r="H10" s="127">
        <f>ROUND(100/'数据-取费表'!G16,0)</f>
        <v>122</v>
      </c>
      <c r="I10" s="414"/>
      <c r="J10" s="127">
        <f>ROUND(100/'数据-取费表'!G16,0)</f>
        <v>122</v>
      </c>
      <c r="K10" s="620"/>
      <c r="L10" s="2716"/>
      <c r="M10" s="2717"/>
      <c r="N10" s="2717"/>
      <c r="O10" s="2770"/>
      <c r="P10" s="3658"/>
      <c r="Q10" s="1340" t="str">
        <f t="shared" si="6"/>
        <v>土地使用年限（年）</v>
      </c>
      <c r="R10" s="699" t="s">
        <v>14</v>
      </c>
      <c r="S10" s="700">
        <f t="shared" si="0"/>
        <v>122</v>
      </c>
      <c r="T10" s="699" t="s">
        <v>14</v>
      </c>
      <c r="U10" s="700">
        <f t="shared" si="1"/>
        <v>122</v>
      </c>
      <c r="V10" s="699" t="s">
        <v>14</v>
      </c>
      <c r="W10" s="700">
        <f t="shared" si="2"/>
        <v>122</v>
      </c>
      <c r="X10" s="701"/>
      <c r="Y10" s="3565"/>
      <c r="Z10" s="52" t="str">
        <f t="shared" si="7"/>
        <v>土地使用年限（年）</v>
      </c>
      <c r="AA10" s="702">
        <f t="shared" si="3"/>
        <v>0.81967213114754101</v>
      </c>
      <c r="AB10" s="702">
        <f t="shared" si="4"/>
        <v>0.81967213114754101</v>
      </c>
      <c r="AC10" s="702">
        <f t="shared" si="5"/>
        <v>0.81967213114754101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8"/>
      <c r="Q11" s="1340" t="str">
        <f t="shared" si="6"/>
        <v>容积率</v>
      </c>
      <c r="R11" s="699" t="s">
        <v>14</v>
      </c>
      <c r="S11" s="700" t="e">
        <f t="shared" si="0"/>
        <v>#N/A</v>
      </c>
      <c r="T11" s="699" t="s">
        <v>14</v>
      </c>
      <c r="U11" s="700" t="e">
        <f t="shared" si="1"/>
        <v>#N/A</v>
      </c>
      <c r="V11" s="699" t="s">
        <v>14</v>
      </c>
      <c r="W11" s="700" t="e">
        <f t="shared" si="2"/>
        <v>#N/A</v>
      </c>
      <c r="X11" s="701"/>
      <c r="Y11" s="3565"/>
      <c r="Z11" s="52" t="str">
        <f t="shared" si="7"/>
        <v>容积率</v>
      </c>
      <c r="AA11" s="702" t="e">
        <f t="shared" si="3"/>
        <v>#N/A</v>
      </c>
      <c r="AB11" s="702" t="e">
        <f t="shared" si="4"/>
        <v>#N/A</v>
      </c>
      <c r="AC11" s="702"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8"/>
      <c r="Q12" s="1340" t="str">
        <f t="shared" si="6"/>
        <v>配建</v>
      </c>
      <c r="R12" s="699" t="s">
        <v>14</v>
      </c>
      <c r="S12" s="700">
        <f t="shared" si="0"/>
        <v>100</v>
      </c>
      <c r="T12" s="699" t="s">
        <v>14</v>
      </c>
      <c r="U12" s="700">
        <f t="shared" si="1"/>
        <v>100</v>
      </c>
      <c r="V12" s="699" t="s">
        <v>14</v>
      </c>
      <c r="W12" s="700">
        <f t="shared" si="2"/>
        <v>100</v>
      </c>
      <c r="X12" s="701"/>
      <c r="Y12" s="3565"/>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8"/>
      <c r="Q14" s="1340">
        <f t="shared" si="6"/>
        <v>111</v>
      </c>
      <c r="R14" s="699" t="s">
        <v>14</v>
      </c>
      <c r="S14" s="700">
        <f t="shared" si="0"/>
        <v>100</v>
      </c>
      <c r="T14" s="699" t="s">
        <v>14</v>
      </c>
      <c r="U14" s="700">
        <f t="shared" si="1"/>
        <v>100</v>
      </c>
      <c r="V14" s="699" t="s">
        <v>14</v>
      </c>
      <c r="W14" s="700">
        <f t="shared" si="2"/>
        <v>100</v>
      </c>
      <c r="X14" s="701"/>
      <c r="Y14" s="3565"/>
      <c r="Z14" s="52">
        <f t="shared" si="7"/>
        <v>111</v>
      </c>
      <c r="AA14" s="702">
        <f>D14/F14</f>
        <v>1</v>
      </c>
      <c r="AB14" s="702">
        <f>D14/H14</f>
        <v>1</v>
      </c>
      <c r="AC14" s="702">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5" t="s">
        <v>1690</v>
      </c>
      <c r="Q15" s="1349" t="str">
        <f t="shared" si="6"/>
        <v>居住社区成熟度</v>
      </c>
      <c r="R15" s="703" t="s">
        <v>14</v>
      </c>
      <c r="S15" s="704">
        <f t="shared" si="0"/>
        <v>100</v>
      </c>
      <c r="T15" s="703" t="s">
        <v>14</v>
      </c>
      <c r="U15" s="704">
        <f t="shared" si="1"/>
        <v>100</v>
      </c>
      <c r="V15" s="703" t="s">
        <v>14</v>
      </c>
      <c r="W15" s="704">
        <f t="shared" si="2"/>
        <v>100</v>
      </c>
      <c r="X15" s="1352"/>
      <c r="Y15" s="3665"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66"/>
      <c r="Q16" s="1349"/>
      <c r="R16" s="703"/>
      <c r="S16" s="704"/>
      <c r="T16" s="703"/>
      <c r="U16" s="704"/>
      <c r="V16" s="703"/>
      <c r="W16" s="704"/>
      <c r="X16" s="1352"/>
      <c r="Y16" s="3666"/>
      <c r="Z16" s="1353"/>
      <c r="AA16" s="1350">
        <v>1</v>
      </c>
      <c r="AB16" s="1350">
        <v>1</v>
      </c>
      <c r="AC16" s="1350">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6"/>
      <c r="Q17" s="1349" t="str">
        <f>B17</f>
        <v>商业繁华度</v>
      </c>
      <c r="R17" s="703" t="s">
        <v>14</v>
      </c>
      <c r="S17" s="704">
        <f>F17</f>
        <v>100</v>
      </c>
      <c r="T17" s="703" t="s">
        <v>14</v>
      </c>
      <c r="U17" s="704">
        <f>H17</f>
        <v>100</v>
      </c>
      <c r="V17" s="703" t="s">
        <v>14</v>
      </c>
      <c r="W17" s="704">
        <f>J17</f>
        <v>100</v>
      </c>
      <c r="X17" s="1352"/>
      <c r="Y17" s="366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66"/>
      <c r="Q18" s="1349"/>
      <c r="R18" s="703"/>
      <c r="S18" s="704"/>
      <c r="T18" s="703"/>
      <c r="U18" s="704"/>
      <c r="V18" s="703"/>
      <c r="W18" s="704"/>
      <c r="X18" s="1352"/>
      <c r="Y18" s="3666"/>
      <c r="Z18" s="1353"/>
      <c r="AA18" s="1350">
        <v>1</v>
      </c>
      <c r="AB18" s="1350">
        <v>1</v>
      </c>
      <c r="AC18" s="1350">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6"/>
      <c r="Q19" s="1349" t="str">
        <f>B19</f>
        <v>办公集聚程度</v>
      </c>
      <c r="R19" s="703" t="s">
        <v>14</v>
      </c>
      <c r="S19" s="704">
        <f>F19</f>
        <v>100</v>
      </c>
      <c r="T19" s="703" t="s">
        <v>14</v>
      </c>
      <c r="U19" s="704">
        <f>H19</f>
        <v>100</v>
      </c>
      <c r="V19" s="703" t="s">
        <v>14</v>
      </c>
      <c r="W19" s="704">
        <f>J19</f>
        <v>100</v>
      </c>
      <c r="X19" s="1352"/>
      <c r="Y19" s="366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66"/>
      <c r="Q20" s="1349"/>
      <c r="R20" s="703"/>
      <c r="S20" s="704"/>
      <c r="T20" s="703"/>
      <c r="U20" s="704"/>
      <c r="V20" s="703"/>
      <c r="W20" s="704"/>
      <c r="X20" s="1352"/>
      <c r="Y20" s="3666"/>
      <c r="Z20" s="1353"/>
      <c r="AA20" s="1350">
        <v>1</v>
      </c>
      <c r="AB20" s="1350">
        <v>1</v>
      </c>
      <c r="AC20" s="1350">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6"/>
      <c r="Q21" s="1349" t="str">
        <f>B21</f>
        <v>交通便捷度</v>
      </c>
      <c r="R21" s="703" t="s">
        <v>14</v>
      </c>
      <c r="S21" s="704">
        <f>F21</f>
        <v>100</v>
      </c>
      <c r="T21" s="703" t="s">
        <v>14</v>
      </c>
      <c r="U21" s="704">
        <f>H21</f>
        <v>100</v>
      </c>
      <c r="V21" s="703" t="s">
        <v>14</v>
      </c>
      <c r="W21" s="704">
        <f>J21</f>
        <v>100</v>
      </c>
      <c r="X21" s="1352"/>
      <c r="Y21" s="3666"/>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66"/>
      <c r="Q22" s="1349"/>
      <c r="R22" s="703"/>
      <c r="S22" s="704"/>
      <c r="T22" s="703"/>
      <c r="U22" s="704"/>
      <c r="V22" s="703"/>
      <c r="W22" s="704"/>
      <c r="X22" s="1352"/>
      <c r="Y22" s="3666"/>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6"/>
      <c r="Q23" s="1349" t="str">
        <f t="shared" ref="Q23:Q37" si="8">B23</f>
        <v>区域土地利用方向</v>
      </c>
      <c r="R23" s="703" t="s">
        <v>14</v>
      </c>
      <c r="S23" s="704">
        <f>F23</f>
        <v>100</v>
      </c>
      <c r="T23" s="703" t="s">
        <v>14</v>
      </c>
      <c r="U23" s="704">
        <f>H23</f>
        <v>100</v>
      </c>
      <c r="V23" s="703" t="s">
        <v>14</v>
      </c>
      <c r="W23" s="704">
        <f>J23</f>
        <v>100</v>
      </c>
      <c r="X23" s="1352"/>
      <c r="Y23" s="3666"/>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66"/>
      <c r="Q24" s="1349"/>
      <c r="R24" s="703"/>
      <c r="S24" s="704"/>
      <c r="T24" s="703"/>
      <c r="U24" s="704"/>
      <c r="V24" s="703"/>
      <c r="W24" s="704"/>
      <c r="X24" s="1352"/>
      <c r="Y24" s="3666"/>
      <c r="Z24" s="1353"/>
      <c r="AA24" s="1350"/>
      <c r="AB24" s="1350"/>
      <c r="AC24" s="1350"/>
    </row>
    <row r="25" spans="1:29" ht="57">
      <c r="A25" s="358"/>
      <c r="B25" s="1128"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6"/>
      <c r="Q25" s="1349" t="str">
        <f t="shared" si="8"/>
        <v>自然及人文环境状况</v>
      </c>
      <c r="R25" s="703" t="s">
        <v>14</v>
      </c>
      <c r="S25" s="704">
        <f>F25</f>
        <v>100</v>
      </c>
      <c r="T25" s="703" t="s">
        <v>14</v>
      </c>
      <c r="U25" s="704">
        <f>H25</f>
        <v>100</v>
      </c>
      <c r="V25" s="703" t="s">
        <v>14</v>
      </c>
      <c r="W25" s="704">
        <f>J25</f>
        <v>100</v>
      </c>
      <c r="X25" s="1352"/>
      <c r="Y25" s="366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66"/>
      <c r="Q26" s="1349"/>
      <c r="R26" s="703"/>
      <c r="S26" s="704"/>
      <c r="T26" s="703"/>
      <c r="U26" s="704"/>
      <c r="V26" s="703"/>
      <c r="W26" s="704"/>
      <c r="X26" s="1352"/>
      <c r="Y26" s="3666"/>
      <c r="Z26" s="1353"/>
      <c r="AA26" s="1350">
        <v>1</v>
      </c>
      <c r="AB26" s="1350">
        <v>1</v>
      </c>
      <c r="AC26" s="1350">
        <v>1</v>
      </c>
    </row>
    <row r="27" spans="1:29" s="108" customFormat="1" ht="42.75">
      <c r="A27" s="597"/>
      <c r="B27" s="1128"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6"/>
      <c r="Q27" s="1340" t="str">
        <f t="shared" si="8"/>
        <v>公共配套设施</v>
      </c>
      <c r="R27" s="699" t="s">
        <v>14</v>
      </c>
      <c r="S27" s="700">
        <f>F27</f>
        <v>100</v>
      </c>
      <c r="T27" s="699" t="s">
        <v>14</v>
      </c>
      <c r="U27" s="700">
        <f>H27</f>
        <v>100</v>
      </c>
      <c r="V27" s="699" t="s">
        <v>14</v>
      </c>
      <c r="W27" s="700">
        <f>J27</f>
        <v>100</v>
      </c>
      <c r="X27" s="701"/>
      <c r="Y27" s="3666"/>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66"/>
      <c r="Q28" s="1340"/>
      <c r="R28" s="699"/>
      <c r="S28" s="700"/>
      <c r="T28" s="699"/>
      <c r="U28" s="700"/>
      <c r="V28" s="699"/>
      <c r="W28" s="700"/>
      <c r="X28" s="701"/>
      <c r="Y28" s="3666"/>
      <c r="Z28" s="52"/>
      <c r="AA28" s="1350">
        <v>1</v>
      </c>
      <c r="AB28" s="1350">
        <v>1</v>
      </c>
      <c r="AC28" s="1350">
        <v>1</v>
      </c>
    </row>
    <row r="29" spans="1:29" s="108" customFormat="1" ht="28.5">
      <c r="A29" s="597"/>
      <c r="B29" s="1128"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6"/>
      <c r="Q29" s="1340" t="str">
        <f t="shared" ref="Q29" si="9">B29</f>
        <v>基础设施水平</v>
      </c>
      <c r="R29" s="699" t="s">
        <v>14</v>
      </c>
      <c r="S29" s="700">
        <f>F29</f>
        <v>100</v>
      </c>
      <c r="T29" s="699" t="s">
        <v>14</v>
      </c>
      <c r="U29" s="700">
        <f>H29</f>
        <v>100</v>
      </c>
      <c r="V29" s="699" t="s">
        <v>14</v>
      </c>
      <c r="W29" s="700">
        <f>J29</f>
        <v>100</v>
      </c>
      <c r="X29" s="701"/>
      <c r="Y29" s="3666"/>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66"/>
      <c r="Q30" s="1340"/>
      <c r="R30" s="699"/>
      <c r="S30" s="700"/>
      <c r="T30" s="699"/>
      <c r="U30" s="700"/>
      <c r="V30" s="699"/>
      <c r="W30" s="700"/>
      <c r="X30" s="701"/>
      <c r="Y30" s="3666"/>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6"/>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66"/>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6"/>
      <c r="Q32" s="1349" t="str">
        <f t="shared" si="8"/>
        <v>毗邻道路的类型与等级</v>
      </c>
      <c r="R32" s="703" t="s">
        <v>14</v>
      </c>
      <c r="S32" s="704">
        <f t="shared" si="10"/>
        <v>100</v>
      </c>
      <c r="T32" s="703" t="s">
        <v>14</v>
      </c>
      <c r="U32" s="704">
        <f t="shared" si="11"/>
        <v>100</v>
      </c>
      <c r="V32" s="703" t="s">
        <v>14</v>
      </c>
      <c r="W32" s="704">
        <f t="shared" si="12"/>
        <v>100</v>
      </c>
      <c r="X32" s="1352"/>
      <c r="Y32" s="366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66"/>
      <c r="Q33" s="1349"/>
      <c r="R33" s="703"/>
      <c r="S33" s="704"/>
      <c r="T33" s="703"/>
      <c r="U33" s="704"/>
      <c r="V33" s="703"/>
      <c r="W33" s="704"/>
      <c r="X33" s="1352"/>
      <c r="Y33" s="3666"/>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6"/>
      <c r="Q34" s="1349" t="str">
        <f t="shared" si="8"/>
        <v>土地级别</v>
      </c>
      <c r="R34" s="703" t="s">
        <v>14</v>
      </c>
      <c r="S34" s="704">
        <f t="shared" si="10"/>
        <v>100</v>
      </c>
      <c r="T34" s="703" t="s">
        <v>14</v>
      </c>
      <c r="U34" s="704">
        <f t="shared" si="11"/>
        <v>100</v>
      </c>
      <c r="V34" s="703" t="s">
        <v>14</v>
      </c>
      <c r="W34" s="704">
        <f t="shared" si="12"/>
        <v>100</v>
      </c>
      <c r="X34" s="1352"/>
      <c r="Y34" s="3666"/>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6"/>
      <c r="Q35" s="1349">
        <f t="shared" si="8"/>
        <v>111</v>
      </c>
      <c r="R35" s="703" t="s">
        <v>14</v>
      </c>
      <c r="S35" s="704">
        <f t="shared" si="10"/>
        <v>100</v>
      </c>
      <c r="T35" s="703" t="s">
        <v>14</v>
      </c>
      <c r="U35" s="704">
        <f t="shared" si="11"/>
        <v>100</v>
      </c>
      <c r="V35" s="703" t="s">
        <v>14</v>
      </c>
      <c r="W35" s="704">
        <f t="shared" si="12"/>
        <v>100</v>
      </c>
      <c r="X35" s="1352"/>
      <c r="Y35" s="3666"/>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0" t="s">
        <v>1695</v>
      </c>
      <c r="Q36" s="1349">
        <f t="shared" si="8"/>
        <v>111</v>
      </c>
      <c r="R36" s="703" t="s">
        <v>14</v>
      </c>
      <c r="S36" s="704">
        <f t="shared" si="10"/>
        <v>100</v>
      </c>
      <c r="T36" s="703" t="s">
        <v>14</v>
      </c>
      <c r="U36" s="704">
        <f t="shared" si="11"/>
        <v>100</v>
      </c>
      <c r="V36" s="703" t="s">
        <v>14</v>
      </c>
      <c r="W36" s="704">
        <f t="shared" si="12"/>
        <v>100</v>
      </c>
      <c r="X36" s="1352"/>
      <c r="Y36" s="3670"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0"/>
      <c r="Q37" s="1349">
        <f t="shared" si="8"/>
        <v>111</v>
      </c>
      <c r="R37" s="706" t="s">
        <v>14</v>
      </c>
      <c r="S37" s="707">
        <f t="shared" si="10"/>
        <v>100</v>
      </c>
      <c r="T37" s="706" t="s">
        <v>14</v>
      </c>
      <c r="U37" s="707">
        <f t="shared" si="11"/>
        <v>100</v>
      </c>
      <c r="V37" s="706" t="s">
        <v>14</v>
      </c>
      <c r="W37" s="707">
        <f t="shared" si="12"/>
        <v>100</v>
      </c>
      <c r="X37" s="708"/>
      <c r="Y37" s="3670"/>
      <c r="Z37" s="709">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0"/>
      <c r="Q38" s="1349" t="str">
        <f>B38</f>
        <v>宗地面积</v>
      </c>
      <c r="R38" s="703" t="s">
        <v>14</v>
      </c>
      <c r="S38" s="704" t="e">
        <f t="shared" si="10"/>
        <v>#N/A</v>
      </c>
      <c r="T38" s="703" t="s">
        <v>14</v>
      </c>
      <c r="U38" s="704" t="e">
        <f t="shared" si="11"/>
        <v>#N/A</v>
      </c>
      <c r="V38" s="703" t="s">
        <v>14</v>
      </c>
      <c r="W38" s="704" t="e">
        <f t="shared" si="12"/>
        <v>#N/A</v>
      </c>
      <c r="X38" s="1352"/>
      <c r="Y38" s="3670"/>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70"/>
      <c r="Q39" s="1349" t="str">
        <f t="shared" ref="Q39:Q45" si="14">B39</f>
        <v>宗地形状</v>
      </c>
      <c r="R39" s="703" t="s">
        <v>14</v>
      </c>
      <c r="S39" s="704">
        <f t="shared" si="10"/>
        <v>100</v>
      </c>
      <c r="T39" s="703" t="s">
        <v>14</v>
      </c>
      <c r="U39" s="704">
        <f t="shared" si="11"/>
        <v>100</v>
      </c>
      <c r="V39" s="703" t="s">
        <v>14</v>
      </c>
      <c r="W39" s="704">
        <f t="shared" si="12"/>
        <v>100</v>
      </c>
      <c r="X39" s="1352"/>
      <c r="Y39" s="3670"/>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70"/>
      <c r="Q40" s="1349" t="str">
        <f t="shared" si="14"/>
        <v>临街宽度及深度</v>
      </c>
      <c r="R40" s="703" t="s">
        <v>14</v>
      </c>
      <c r="S40" s="704">
        <f t="shared" si="10"/>
        <v>100</v>
      </c>
      <c r="T40" s="703" t="s">
        <v>14</v>
      </c>
      <c r="U40" s="704">
        <f t="shared" si="11"/>
        <v>100</v>
      </c>
      <c r="V40" s="703" t="s">
        <v>14</v>
      </c>
      <c r="W40" s="704">
        <f t="shared" si="12"/>
        <v>100</v>
      </c>
      <c r="X40" s="1352"/>
      <c r="Y40" s="3670"/>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70"/>
      <c r="Q41" s="1349" t="str">
        <f t="shared" si="14"/>
        <v>宗地开发程度</v>
      </c>
      <c r="R41" s="699" t="s">
        <v>14</v>
      </c>
      <c r="S41" s="700">
        <f t="shared" si="10"/>
        <v>100</v>
      </c>
      <c r="T41" s="699" t="s">
        <v>14</v>
      </c>
      <c r="U41" s="700">
        <f t="shared" si="11"/>
        <v>100</v>
      </c>
      <c r="V41" s="699" t="s">
        <v>14</v>
      </c>
      <c r="W41" s="700">
        <f t="shared" si="12"/>
        <v>100</v>
      </c>
      <c r="X41" s="701"/>
      <c r="Y41" s="3670"/>
      <c r="Z41" s="52" t="str">
        <f t="shared" si="13"/>
        <v>宗地开发程度</v>
      </c>
      <c r="AA41" s="702">
        <f t="shared" si="3"/>
        <v>1</v>
      </c>
      <c r="AB41" s="702">
        <f t="shared" si="4"/>
        <v>1</v>
      </c>
      <c r="AC41" s="702">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70" t="s">
        <v>1695</v>
      </c>
      <c r="Q42" s="1349" t="str">
        <f t="shared" si="14"/>
        <v>工程地质条件</v>
      </c>
      <c r="R42" s="703" t="s">
        <v>14</v>
      </c>
      <c r="S42" s="704">
        <f t="shared" si="10"/>
        <v>100</v>
      </c>
      <c r="T42" s="703" t="s">
        <v>14</v>
      </c>
      <c r="U42" s="704">
        <f t="shared" si="11"/>
        <v>100</v>
      </c>
      <c r="V42" s="703" t="s">
        <v>14</v>
      </c>
      <c r="W42" s="704">
        <f t="shared" si="12"/>
        <v>100</v>
      </c>
      <c r="X42" s="1352"/>
      <c r="Y42" s="3670"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0"/>
      <c r="Q43" s="1349">
        <f t="shared" si="14"/>
        <v>111</v>
      </c>
      <c r="R43" s="703" t="s">
        <v>14</v>
      </c>
      <c r="S43" s="704">
        <f t="shared" si="10"/>
        <v>100</v>
      </c>
      <c r="T43" s="703" t="s">
        <v>14</v>
      </c>
      <c r="U43" s="704">
        <f t="shared" si="11"/>
        <v>100</v>
      </c>
      <c r="V43" s="703" t="s">
        <v>14</v>
      </c>
      <c r="W43" s="704">
        <f t="shared" si="12"/>
        <v>100</v>
      </c>
      <c r="X43" s="1352"/>
      <c r="Y43" s="3670"/>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0"/>
      <c r="Q44" s="1349">
        <f t="shared" si="14"/>
        <v>111</v>
      </c>
      <c r="R44" s="703" t="s">
        <v>14</v>
      </c>
      <c r="S44" s="704">
        <f t="shared" si="10"/>
        <v>100</v>
      </c>
      <c r="T44" s="703" t="s">
        <v>14</v>
      </c>
      <c r="U44" s="704">
        <f t="shared" si="11"/>
        <v>100</v>
      </c>
      <c r="V44" s="703" t="s">
        <v>14</v>
      </c>
      <c r="W44" s="704">
        <f t="shared" si="12"/>
        <v>100</v>
      </c>
      <c r="X44" s="1352"/>
      <c r="Y44" s="3670"/>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0"/>
      <c r="Q45" s="1349">
        <f t="shared" si="14"/>
        <v>111</v>
      </c>
      <c r="R45" s="706" t="s">
        <v>14</v>
      </c>
      <c r="S45" s="707">
        <f t="shared" si="10"/>
        <v>100</v>
      </c>
      <c r="T45" s="706" t="s">
        <v>14</v>
      </c>
      <c r="U45" s="707">
        <f t="shared" si="11"/>
        <v>100</v>
      </c>
      <c r="V45" s="706" t="s">
        <v>14</v>
      </c>
      <c r="W45" s="707">
        <f t="shared" si="12"/>
        <v>100</v>
      </c>
      <c r="X45" s="708"/>
      <c r="Y45" s="3670"/>
      <c r="Z45" s="709">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2"/>
      <c r="L46" s="2721"/>
      <c r="M46" s="2722"/>
      <c r="N46" s="2713"/>
      <c r="O46" s="2722"/>
      <c r="P46" s="3658" t="str">
        <f>A46</f>
        <v>成交单价</v>
      </c>
      <c r="Q46" s="3658"/>
      <c r="R46" s="3672">
        <f>E46</f>
        <v>0</v>
      </c>
      <c r="S46" s="3672"/>
      <c r="T46" s="3672">
        <f>G46</f>
        <v>0</v>
      </c>
      <c r="U46" s="3672"/>
      <c r="V46" s="3672">
        <f>I46</f>
        <v>0</v>
      </c>
      <c r="W46" s="3672"/>
      <c r="X46" s="688"/>
      <c r="Y46" s="710"/>
      <c r="Z46" s="688"/>
      <c r="AA46" s="688"/>
      <c r="AB46" s="688"/>
      <c r="AC46" s="688"/>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58" t="str">
        <f>A47</f>
        <v>比较价值（元/平方米）</v>
      </c>
      <c r="Q47" s="3658"/>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660" t="str">
        <f>A48</f>
        <v>估价对象XX用房的比较价值（楼面单价，元/平方米）</v>
      </c>
      <c r="Q48" s="3661"/>
      <c r="R48" s="3753" t="e">
        <f>ROUND(IF(D47="简单平均",AVERAGE(R47:W47),R47*F47+T47*H47+V47*J47),0)</f>
        <v>#DIV/0!</v>
      </c>
      <c r="S48" s="3753"/>
      <c r="T48" s="3753"/>
      <c r="U48" s="3753"/>
      <c r="V48" s="3753"/>
      <c r="W48" s="375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8" t="s">
        <v>1885</v>
      </c>
      <c r="G55" s="3677" t="s">
        <v>1886</v>
      </c>
      <c r="H55" s="3754"/>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975.39</v>
      </c>
      <c r="F56" s="884" t="e">
        <f t="shared" ref="F56:F64" si="15">ROUND(B56*E56/10000,0)</f>
        <v>#DIV/0!</v>
      </c>
      <c r="G56" s="3673"/>
      <c r="H56" s="3658"/>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3">
        <v>0.25</v>
      </c>
      <c r="E57" s="642"/>
      <c r="F57" s="884" t="e">
        <f t="shared" si="15"/>
        <v>#DIV/0!</v>
      </c>
      <c r="G57" s="3003" t="s">
        <v>1891</v>
      </c>
      <c r="H57" s="885" t="str">
        <f>项目基本情况!B37</f>
        <v>五级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3">
        <v>0.25</v>
      </c>
      <c r="E58" s="642"/>
      <c r="F58" s="884" t="e">
        <f t="shared" si="15"/>
        <v>#DIV/0!</v>
      </c>
      <c r="G58" s="3004"/>
      <c r="H58" s="885" t="str">
        <f>项目基本情况!B37</f>
        <v>五级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3">
        <v>0.25</v>
      </c>
      <c r="E59" s="642"/>
      <c r="F59" s="884" t="e">
        <f t="shared" si="15"/>
        <v>#DIV/0!</v>
      </c>
      <c r="G59" s="3004"/>
      <c r="H59" s="885" t="str">
        <f>项目基本情况!B37</f>
        <v>五级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3">
        <v>0.25</v>
      </c>
      <c r="E63" s="217">
        <f>'数据-汇总表'!E14</f>
        <v>0</v>
      </c>
      <c r="F63" s="884" t="e">
        <f t="shared" si="15"/>
        <v>#DIV/0!</v>
      </c>
      <c r="G63" s="1984" t="s">
        <v>1891</v>
      </c>
      <c r="H63" s="885" t="str">
        <f>项目基本情况!B37</f>
        <v>五级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975.39</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755" t="s">
        <v>1918</v>
      </c>
      <c r="D6" s="3756"/>
      <c r="E6" s="3757" t="s">
        <v>1918</v>
      </c>
      <c r="F6" s="3758"/>
      <c r="G6" s="3755" t="s">
        <v>1918</v>
      </c>
      <c r="H6" s="3756"/>
      <c r="I6" s="3755" t="s">
        <v>1918</v>
      </c>
      <c r="J6" s="3756"/>
      <c r="K6" s="559"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45303</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7"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7" t="s">
        <v>1682</v>
      </c>
      <c r="Q8" s="3698"/>
      <c r="R8" s="699" t="s">
        <v>14</v>
      </c>
      <c r="S8" s="700">
        <f t="shared" si="0"/>
        <v>0</v>
      </c>
      <c r="T8" s="699" t="s">
        <v>14</v>
      </c>
      <c r="U8" s="700">
        <f t="shared" si="1"/>
        <v>0</v>
      </c>
      <c r="V8" s="699" t="s">
        <v>14</v>
      </c>
      <c r="W8" s="700">
        <f t="shared" si="2"/>
        <v>0</v>
      </c>
      <c r="X8" s="701"/>
      <c r="Y8" s="3697" t="s">
        <v>1682</v>
      </c>
      <c r="Z8" s="3698"/>
      <c r="AA8" s="702" t="e">
        <f t="shared" ref="AA8:AA40" si="3">D8/F8</f>
        <v>#DIV/0!</v>
      </c>
      <c r="AB8" s="702" t="e">
        <f t="shared" ref="AB8:AB40" si="4">D8/H8</f>
        <v>#DIV/0!</v>
      </c>
      <c r="AC8" s="702"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58"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122</v>
      </c>
      <c r="G10" s="383"/>
      <c r="H10" s="127">
        <f>ROUND(100/'数据-取费表'!G16,0)</f>
        <v>122</v>
      </c>
      <c r="I10" s="383"/>
      <c r="J10" s="127">
        <f>ROUND(100/'数据-取费表'!G16,0)</f>
        <v>122</v>
      </c>
      <c r="K10" s="620"/>
      <c r="L10" s="2716"/>
      <c r="M10" s="2717"/>
      <c r="N10" s="2717"/>
      <c r="O10" s="2770"/>
      <c r="P10" s="3658"/>
      <c r="Q10" s="1340" t="str">
        <f t="shared" si="6"/>
        <v>土地使用年限（年）</v>
      </c>
      <c r="R10" s="699" t="s">
        <v>14</v>
      </c>
      <c r="S10" s="700">
        <f t="shared" si="0"/>
        <v>122</v>
      </c>
      <c r="T10" s="699" t="s">
        <v>14</v>
      </c>
      <c r="U10" s="700">
        <f t="shared" si="1"/>
        <v>122</v>
      </c>
      <c r="V10" s="699" t="s">
        <v>14</v>
      </c>
      <c r="W10" s="700">
        <f t="shared" si="2"/>
        <v>122</v>
      </c>
      <c r="X10" s="701"/>
      <c r="Y10" s="3565"/>
      <c r="Z10" s="52" t="str">
        <f t="shared" si="7"/>
        <v>土地使用年限（年）</v>
      </c>
      <c r="AA10" s="702">
        <f t="shared" si="3"/>
        <v>0.81967213114754101</v>
      </c>
      <c r="AB10" s="702">
        <f t="shared" si="4"/>
        <v>0.81967213114754101</v>
      </c>
      <c r="AC10" s="702">
        <f t="shared" si="5"/>
        <v>0.81967213114754101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8"/>
      <c r="Q11" s="1340" t="str">
        <f t="shared" si="6"/>
        <v>容积率</v>
      </c>
      <c r="R11" s="699" t="s">
        <v>14</v>
      </c>
      <c r="S11" s="700" t="e">
        <f t="shared" si="0"/>
        <v>#N/A</v>
      </c>
      <c r="T11" s="699" t="s">
        <v>14</v>
      </c>
      <c r="U11" s="700" t="e">
        <f t="shared" si="1"/>
        <v>#N/A</v>
      </c>
      <c r="V11" s="699" t="s">
        <v>14</v>
      </c>
      <c r="W11" s="700" t="e">
        <f t="shared" si="2"/>
        <v>#N/A</v>
      </c>
      <c r="X11" s="701"/>
      <c r="Y11" s="3565"/>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8"/>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702">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5" t="s">
        <v>1690</v>
      </c>
      <c r="Q15" s="1349" t="str">
        <f t="shared" si="6"/>
        <v>产业集聚程度</v>
      </c>
      <c r="R15" s="703" t="s">
        <v>14</v>
      </c>
      <c r="S15" s="704">
        <f t="shared" si="0"/>
        <v>100</v>
      </c>
      <c r="T15" s="703" t="s">
        <v>14</v>
      </c>
      <c r="U15" s="704">
        <f t="shared" si="1"/>
        <v>100</v>
      </c>
      <c r="V15" s="703" t="s">
        <v>14</v>
      </c>
      <c r="W15" s="704">
        <f t="shared" si="2"/>
        <v>100</v>
      </c>
      <c r="X15" s="1352"/>
      <c r="Y15" s="3665"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66"/>
      <c r="Q16" s="1349"/>
      <c r="R16" s="703"/>
      <c r="S16" s="704"/>
      <c r="T16" s="703"/>
      <c r="U16" s="704"/>
      <c r="V16" s="703"/>
      <c r="W16" s="704"/>
      <c r="X16" s="1352"/>
      <c r="Y16" s="3666"/>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6"/>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66"/>
      <c r="Q18" s="1349"/>
      <c r="R18" s="703"/>
      <c r="S18" s="704"/>
      <c r="T18" s="703"/>
      <c r="U18" s="704"/>
      <c r="V18" s="703"/>
      <c r="W18" s="704"/>
      <c r="X18" s="1352"/>
      <c r="Y18" s="3666"/>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6"/>
      <c r="Q19" s="1349" t="str">
        <f t="shared" ref="Q19:Q33" si="8">B19</f>
        <v>区域土地利用方向</v>
      </c>
      <c r="R19" s="703" t="s">
        <v>14</v>
      </c>
      <c r="S19" s="704">
        <f>F19</f>
        <v>100</v>
      </c>
      <c r="T19" s="703" t="s">
        <v>14</v>
      </c>
      <c r="U19" s="704">
        <f>H19</f>
        <v>100</v>
      </c>
      <c r="V19" s="703" t="s">
        <v>14</v>
      </c>
      <c r="W19" s="704">
        <f>J19</f>
        <v>100</v>
      </c>
      <c r="X19" s="1352"/>
      <c r="Y19" s="3666"/>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66"/>
      <c r="Q20" s="1349"/>
      <c r="R20" s="703"/>
      <c r="S20" s="704"/>
      <c r="T20" s="703"/>
      <c r="U20" s="704"/>
      <c r="V20" s="703"/>
      <c r="W20" s="704"/>
      <c r="X20" s="1352"/>
      <c r="Y20" s="3666"/>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6"/>
      <c r="Q21" s="1349" t="str">
        <f t="shared" si="8"/>
        <v>环境状况</v>
      </c>
      <c r="R21" s="703" t="s">
        <v>14</v>
      </c>
      <c r="S21" s="704">
        <f>F21</f>
        <v>100</v>
      </c>
      <c r="T21" s="703" t="s">
        <v>14</v>
      </c>
      <c r="U21" s="704">
        <f>H21</f>
        <v>100</v>
      </c>
      <c r="V21" s="703" t="s">
        <v>14</v>
      </c>
      <c r="W21" s="704">
        <f>J21</f>
        <v>100</v>
      </c>
      <c r="X21" s="1352"/>
      <c r="Y21" s="3666"/>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66"/>
      <c r="Q22" s="1349"/>
      <c r="R22" s="703"/>
      <c r="S22" s="704"/>
      <c r="T22" s="703"/>
      <c r="U22" s="704"/>
      <c r="V22" s="703"/>
      <c r="W22" s="704"/>
      <c r="X22" s="1352"/>
      <c r="Y22" s="3666"/>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6"/>
      <c r="Q23" s="1340" t="str">
        <f t="shared" si="8"/>
        <v>公共配套设施</v>
      </c>
      <c r="R23" s="699" t="s">
        <v>14</v>
      </c>
      <c r="S23" s="700">
        <f>F23</f>
        <v>100</v>
      </c>
      <c r="T23" s="699" t="s">
        <v>14</v>
      </c>
      <c r="U23" s="700">
        <f>H23</f>
        <v>100</v>
      </c>
      <c r="V23" s="699" t="s">
        <v>14</v>
      </c>
      <c r="W23" s="700">
        <f>J23</f>
        <v>100</v>
      </c>
      <c r="X23" s="701"/>
      <c r="Y23" s="3666"/>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66"/>
      <c r="Q24" s="1340"/>
      <c r="R24" s="699"/>
      <c r="S24" s="700"/>
      <c r="T24" s="699"/>
      <c r="U24" s="700"/>
      <c r="V24" s="699"/>
      <c r="W24" s="700"/>
      <c r="X24" s="701"/>
      <c r="Y24" s="3666"/>
      <c r="Z24" s="52"/>
      <c r="AA24" s="702">
        <v>1</v>
      </c>
      <c r="AB24" s="702">
        <v>1</v>
      </c>
      <c r="AC24" s="702">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6"/>
      <c r="Q25" s="1340" t="str">
        <f t="shared" ref="Q25" si="9">B25</f>
        <v>基础设施水平</v>
      </c>
      <c r="R25" s="699" t="s">
        <v>14</v>
      </c>
      <c r="S25" s="700">
        <f>F25</f>
        <v>100</v>
      </c>
      <c r="T25" s="699" t="s">
        <v>14</v>
      </c>
      <c r="U25" s="700">
        <f>H25</f>
        <v>100</v>
      </c>
      <c r="V25" s="699" t="s">
        <v>14</v>
      </c>
      <c r="W25" s="700">
        <f>J25</f>
        <v>100</v>
      </c>
      <c r="X25" s="701"/>
      <c r="Y25" s="3666"/>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66"/>
      <c r="Q26" s="1340"/>
      <c r="R26" s="699"/>
      <c r="S26" s="700"/>
      <c r="T26" s="699"/>
      <c r="U26" s="700"/>
      <c r="V26" s="699"/>
      <c r="W26" s="700"/>
      <c r="X26" s="701"/>
      <c r="Y26" s="3666"/>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6"/>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66"/>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6"/>
      <c r="Q28" s="1349" t="str">
        <f t="shared" si="8"/>
        <v>毗邻道路的类型与等级</v>
      </c>
      <c r="R28" s="703" t="s">
        <v>14</v>
      </c>
      <c r="S28" s="704">
        <f t="shared" si="10"/>
        <v>100</v>
      </c>
      <c r="T28" s="703" t="s">
        <v>14</v>
      </c>
      <c r="U28" s="704">
        <f t="shared" si="11"/>
        <v>100</v>
      </c>
      <c r="V28" s="703" t="s">
        <v>14</v>
      </c>
      <c r="W28" s="704">
        <f t="shared" si="12"/>
        <v>100</v>
      </c>
      <c r="X28" s="1352"/>
      <c r="Y28" s="3666"/>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66"/>
      <c r="Q29" s="1349"/>
      <c r="R29" s="703"/>
      <c r="S29" s="704"/>
      <c r="T29" s="703"/>
      <c r="U29" s="704"/>
      <c r="V29" s="703"/>
      <c r="W29" s="704"/>
      <c r="X29" s="1352"/>
      <c r="Y29" s="3666"/>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6"/>
      <c r="Q30" s="1349" t="str">
        <f t="shared" si="8"/>
        <v>土地级别</v>
      </c>
      <c r="R30" s="703" t="s">
        <v>14</v>
      </c>
      <c r="S30" s="704">
        <f t="shared" si="10"/>
        <v>100</v>
      </c>
      <c r="T30" s="703" t="s">
        <v>14</v>
      </c>
      <c r="U30" s="704">
        <f t="shared" si="11"/>
        <v>100</v>
      </c>
      <c r="V30" s="703" t="s">
        <v>14</v>
      </c>
      <c r="W30" s="704">
        <f t="shared" si="12"/>
        <v>100</v>
      </c>
      <c r="X30" s="1352"/>
      <c r="Y30" s="3666"/>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6"/>
      <c r="Q31" s="1349">
        <f t="shared" si="8"/>
        <v>111</v>
      </c>
      <c r="R31" s="703" t="s">
        <v>14</v>
      </c>
      <c r="S31" s="704">
        <f t="shared" si="10"/>
        <v>100</v>
      </c>
      <c r="T31" s="703" t="s">
        <v>14</v>
      </c>
      <c r="U31" s="704">
        <f t="shared" si="11"/>
        <v>100</v>
      </c>
      <c r="V31" s="703" t="s">
        <v>14</v>
      </c>
      <c r="W31" s="704">
        <f t="shared" si="12"/>
        <v>100</v>
      </c>
      <c r="X31" s="1352"/>
      <c r="Y31" s="3666"/>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0" t="s">
        <v>1695</v>
      </c>
      <c r="Q32" s="1349">
        <f t="shared" si="8"/>
        <v>111</v>
      </c>
      <c r="R32" s="703" t="s">
        <v>14</v>
      </c>
      <c r="S32" s="704">
        <f t="shared" si="10"/>
        <v>100</v>
      </c>
      <c r="T32" s="703" t="s">
        <v>14</v>
      </c>
      <c r="U32" s="704">
        <f t="shared" si="11"/>
        <v>100</v>
      </c>
      <c r="V32" s="703" t="s">
        <v>14</v>
      </c>
      <c r="W32" s="704">
        <f t="shared" si="12"/>
        <v>100</v>
      </c>
      <c r="X32" s="1352"/>
      <c r="Y32" s="3670"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0"/>
      <c r="Q33" s="1349">
        <f t="shared" si="8"/>
        <v>111</v>
      </c>
      <c r="R33" s="706" t="s">
        <v>14</v>
      </c>
      <c r="S33" s="707">
        <f t="shared" si="10"/>
        <v>100</v>
      </c>
      <c r="T33" s="706" t="s">
        <v>14</v>
      </c>
      <c r="U33" s="707">
        <f t="shared" si="11"/>
        <v>100</v>
      </c>
      <c r="V33" s="706" t="s">
        <v>14</v>
      </c>
      <c r="W33" s="707">
        <f t="shared" si="12"/>
        <v>100</v>
      </c>
      <c r="X33" s="708"/>
      <c r="Y33" s="3670"/>
      <c r="Z33" s="709">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0"/>
      <c r="Q34" s="1349" t="str">
        <f>B34</f>
        <v>宗地面积</v>
      </c>
      <c r="R34" s="703" t="s">
        <v>14</v>
      </c>
      <c r="S34" s="704" t="e">
        <f t="shared" si="10"/>
        <v>#N/A</v>
      </c>
      <c r="T34" s="703" t="s">
        <v>14</v>
      </c>
      <c r="U34" s="704" t="e">
        <f t="shared" si="11"/>
        <v>#N/A</v>
      </c>
      <c r="V34" s="703" t="s">
        <v>14</v>
      </c>
      <c r="W34" s="704" t="e">
        <f t="shared" si="12"/>
        <v>#N/A</v>
      </c>
      <c r="X34" s="1352"/>
      <c r="Y34" s="3670"/>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70"/>
      <c r="Q35" s="1349" t="str">
        <f t="shared" ref="Q35:Q40" si="14">B35</f>
        <v>宗地形状</v>
      </c>
      <c r="R35" s="703" t="s">
        <v>14</v>
      </c>
      <c r="S35" s="704">
        <f t="shared" si="10"/>
        <v>100</v>
      </c>
      <c r="T35" s="703" t="s">
        <v>14</v>
      </c>
      <c r="U35" s="704">
        <f t="shared" si="11"/>
        <v>100</v>
      </c>
      <c r="V35" s="703" t="s">
        <v>14</v>
      </c>
      <c r="W35" s="704">
        <f t="shared" si="12"/>
        <v>100</v>
      </c>
      <c r="X35" s="1352"/>
      <c r="Y35" s="3670"/>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70"/>
      <c r="Q36" s="1349" t="str">
        <f t="shared" si="14"/>
        <v>宗地开发程度</v>
      </c>
      <c r="R36" s="699" t="s">
        <v>14</v>
      </c>
      <c r="S36" s="700">
        <f t="shared" si="10"/>
        <v>100</v>
      </c>
      <c r="T36" s="699" t="s">
        <v>14</v>
      </c>
      <c r="U36" s="700">
        <f t="shared" si="11"/>
        <v>100</v>
      </c>
      <c r="V36" s="699" t="s">
        <v>14</v>
      </c>
      <c r="W36" s="700">
        <f t="shared" si="12"/>
        <v>100</v>
      </c>
      <c r="X36" s="701"/>
      <c r="Y36" s="3670"/>
      <c r="Z36" s="52" t="str">
        <f t="shared" si="13"/>
        <v>宗地开发程度</v>
      </c>
      <c r="AA36" s="702">
        <f t="shared" si="3"/>
        <v>1</v>
      </c>
      <c r="AB36" s="702">
        <f t="shared" si="4"/>
        <v>1</v>
      </c>
      <c r="AC36" s="702">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70" t="s">
        <v>1695</v>
      </c>
      <c r="Q37" s="1349" t="str">
        <f t="shared" si="14"/>
        <v>工程地质条件</v>
      </c>
      <c r="R37" s="703" t="s">
        <v>14</v>
      </c>
      <c r="S37" s="704">
        <f t="shared" si="10"/>
        <v>100</v>
      </c>
      <c r="T37" s="703" t="s">
        <v>14</v>
      </c>
      <c r="U37" s="704">
        <f t="shared" si="11"/>
        <v>100</v>
      </c>
      <c r="V37" s="703" t="s">
        <v>14</v>
      </c>
      <c r="W37" s="704">
        <f t="shared" si="12"/>
        <v>100</v>
      </c>
      <c r="X37" s="1352"/>
      <c r="Y37" s="3670"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0"/>
      <c r="Q38" s="1349">
        <f t="shared" si="14"/>
        <v>111</v>
      </c>
      <c r="R38" s="703" t="s">
        <v>14</v>
      </c>
      <c r="S38" s="704">
        <f t="shared" si="10"/>
        <v>100</v>
      </c>
      <c r="T38" s="703" t="s">
        <v>14</v>
      </c>
      <c r="U38" s="704">
        <f t="shared" si="11"/>
        <v>100</v>
      </c>
      <c r="V38" s="703" t="s">
        <v>14</v>
      </c>
      <c r="W38" s="704">
        <f t="shared" si="12"/>
        <v>100</v>
      </c>
      <c r="X38" s="1352"/>
      <c r="Y38" s="3670"/>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0"/>
      <c r="Q39" s="1349">
        <f t="shared" si="14"/>
        <v>111</v>
      </c>
      <c r="R39" s="703" t="s">
        <v>14</v>
      </c>
      <c r="S39" s="704">
        <f t="shared" si="10"/>
        <v>100</v>
      </c>
      <c r="T39" s="703" t="s">
        <v>14</v>
      </c>
      <c r="U39" s="704">
        <f t="shared" si="11"/>
        <v>100</v>
      </c>
      <c r="V39" s="703" t="s">
        <v>14</v>
      </c>
      <c r="W39" s="704">
        <f t="shared" si="12"/>
        <v>100</v>
      </c>
      <c r="X39" s="1352"/>
      <c r="Y39" s="3670"/>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0"/>
      <c r="Q40" s="1349">
        <f t="shared" si="14"/>
        <v>111</v>
      </c>
      <c r="R40" s="706" t="s">
        <v>14</v>
      </c>
      <c r="S40" s="707">
        <f t="shared" si="10"/>
        <v>100</v>
      </c>
      <c r="T40" s="706" t="s">
        <v>14</v>
      </c>
      <c r="U40" s="707">
        <f t="shared" si="11"/>
        <v>100</v>
      </c>
      <c r="V40" s="706" t="s">
        <v>14</v>
      </c>
      <c r="W40" s="707">
        <f t="shared" si="12"/>
        <v>100</v>
      </c>
      <c r="X40" s="708"/>
      <c r="Y40" s="3670"/>
      <c r="Z40" s="709">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2"/>
      <c r="L41" s="2721"/>
      <c r="M41" s="2713"/>
      <c r="N41" s="2713"/>
      <c r="O41" s="2722"/>
      <c r="P41" s="3658" t="str">
        <f>A41</f>
        <v>成交单价</v>
      </c>
      <c r="Q41" s="3658"/>
      <c r="R41" s="3672">
        <f>E41</f>
        <v>0</v>
      </c>
      <c r="S41" s="3672"/>
      <c r="T41" s="3672">
        <f>G41</f>
        <v>0</v>
      </c>
      <c r="U41" s="3672"/>
      <c r="V41" s="3672">
        <f>I41</f>
        <v>0</v>
      </c>
      <c r="W41" s="3672"/>
      <c r="X41" s="688"/>
      <c r="Y41" s="710"/>
      <c r="Z41" s="688"/>
      <c r="AA41" s="688"/>
      <c r="AB41" s="688"/>
      <c r="AC41" s="688"/>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58" t="str">
        <f>A42</f>
        <v>比较价值（元/平方米）</v>
      </c>
      <c r="Q42" s="3658"/>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660" t="str">
        <f>A43</f>
        <v>估价对象XX用房的比较价值（楼面单价，元/平方米）</v>
      </c>
      <c r="Q43" s="3661"/>
      <c r="R43" s="3753" t="e">
        <f>ROUND(IF(D42="简单平均",AVERAGE(R42:W42),R42*F42+T42*H42+V42*J42),0)</f>
        <v>#DIV/0!</v>
      </c>
      <c r="S43" s="3753"/>
      <c r="T43" s="3753"/>
      <c r="U43" s="3753"/>
      <c r="V43" s="3753"/>
      <c r="W43" s="375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677" t="s">
        <v>1886</v>
      </c>
      <c r="H50" s="3754"/>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975.39</v>
      </c>
      <c r="F51" s="639" t="e">
        <f t="shared" ref="F51:F60" si="15">ROUND(B51*E51/10000,0)</f>
        <v>#DIV/0!</v>
      </c>
      <c r="G51" s="3673"/>
      <c r="H51" s="3658"/>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3">
        <v>0.25</v>
      </c>
      <c r="E52" s="642"/>
      <c r="F52" s="639" t="e">
        <f t="shared" si="15"/>
        <v>#DIV/0!</v>
      </c>
      <c r="G52" s="3003" t="s">
        <v>1891</v>
      </c>
      <c r="H52" s="885" t="str">
        <f>项目基本情况!B37</f>
        <v>五级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3">
        <v>0.25</v>
      </c>
      <c r="E53" s="642"/>
      <c r="F53" s="639" t="e">
        <f t="shared" si="15"/>
        <v>#DIV/0!</v>
      </c>
      <c r="G53" s="3004"/>
      <c r="H53" s="885" t="str">
        <f>项目基本情况!B37</f>
        <v>五级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3">
        <v>0.25</v>
      </c>
      <c r="E54" s="642"/>
      <c r="F54" s="639" t="e">
        <f t="shared" si="15"/>
        <v>#DIV/0!</v>
      </c>
      <c r="G54" s="3004"/>
      <c r="H54" s="885" t="str">
        <f>项目基本情况!B37</f>
        <v>五级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3">
        <v>0.25</v>
      </c>
      <c r="E59" s="217">
        <f>'数据-汇总表'!E14</f>
        <v>0</v>
      </c>
      <c r="F59" s="639" t="e">
        <f t="shared" si="15"/>
        <v>#DIV/0!</v>
      </c>
      <c r="G59" s="1984" t="s">
        <v>1891</v>
      </c>
      <c r="H59" s="885" t="str">
        <f>项目基本情况!B37</f>
        <v>五级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25</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2923.1781999999998</v>
      </c>
      <c r="C2" s="1384" t="s">
        <v>879</v>
      </c>
      <c r="D2" s="1468">
        <f ca="1">C40+J29+L46</f>
        <v>29231782</v>
      </c>
      <c r="E2" s="1385" t="s">
        <v>880</v>
      </c>
      <c r="F2" s="1386"/>
      <c r="G2" s="2703"/>
      <c r="H2" s="2692"/>
      <c r="I2" s="2692"/>
      <c r="J2" s="2692"/>
      <c r="K2" s="2693"/>
      <c r="L2" s="2692"/>
      <c r="M2" s="2692"/>
    </row>
    <row r="3" spans="1:37" ht="18" customHeight="1" thickBot="1">
      <c r="A3" s="1387" t="s">
        <v>881</v>
      </c>
      <c r="B3" s="1388">
        <f ca="1">IF(ISERROR(D2/F43),0,ROUND(D2/F43,0))</f>
        <v>29969</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2053223</v>
      </c>
      <c r="D5" s="1361" t="s">
        <v>889</v>
      </c>
      <c r="E5" s="1068"/>
      <c r="F5" s="1069"/>
      <c r="G5" s="1381"/>
      <c r="H5" s="299">
        <v>1</v>
      </c>
      <c r="I5" s="300" t="s">
        <v>888</v>
      </c>
      <c r="J5" s="1067">
        <f ca="1">J6+J10+J12</f>
        <v>0</v>
      </c>
      <c r="K5" s="1361" t="s">
        <v>889</v>
      </c>
      <c r="L5" s="1068"/>
      <c r="M5" s="1069"/>
    </row>
    <row r="6" spans="1:37" ht="18" customHeight="1">
      <c r="A6" s="1066" t="s">
        <v>398</v>
      </c>
      <c r="B6" s="3711" t="s">
        <v>694</v>
      </c>
      <c r="C6" s="1071">
        <f ca="1">ROUND(F6*F8*F7*(1-F9),0)</f>
        <v>2050660</v>
      </c>
      <c r="D6" s="155" t="s">
        <v>2104</v>
      </c>
      <c r="E6" s="302" t="s">
        <v>696</v>
      </c>
      <c r="F6" s="303">
        <f ca="1">INDIRECT("'数据-取费表'!u"&amp;$G$1)</f>
        <v>6.4</v>
      </c>
      <c r="G6" s="1381"/>
      <c r="H6" s="1066" t="s">
        <v>398</v>
      </c>
      <c r="I6" s="3711" t="s">
        <v>694</v>
      </c>
      <c r="J6" s="301">
        <f ca="1">ROUND(M6*M8*M7*(1-M9),0)</f>
        <v>0</v>
      </c>
      <c r="K6" s="1373" t="s">
        <v>2105</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975.39</v>
      </c>
      <c r="G7" s="1381"/>
      <c r="H7" s="304"/>
      <c r="I7" s="3712"/>
      <c r="J7" s="306"/>
      <c r="K7" s="307"/>
      <c r="L7" s="302" t="s">
        <v>697</v>
      </c>
      <c r="M7" s="303">
        <f ca="1">F7</f>
        <v>975.39</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2563</v>
      </c>
      <c r="D10" s="1363" t="s">
        <v>2114</v>
      </c>
      <c r="E10" s="313" t="s">
        <v>701</v>
      </c>
      <c r="F10" s="1113" t="s">
        <v>3394</v>
      </c>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5616357</v>
      </c>
      <c r="D13" s="1078" t="s">
        <v>705</v>
      </c>
      <c r="E13" s="1078" t="s">
        <v>706</v>
      </c>
      <c r="F13" s="1079">
        <f ca="1">INDIRECT("'数据-取费表'!y"&amp;$G$1)</f>
        <v>0.86</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4389255</v>
      </c>
      <c r="D14" s="1342" t="s">
        <v>708</v>
      </c>
      <c r="E14" s="1339"/>
      <c r="F14" s="319"/>
      <c r="G14" s="1381"/>
      <c r="H14" s="980" t="s">
        <v>398</v>
      </c>
      <c r="I14" s="302" t="s">
        <v>709</v>
      </c>
      <c r="J14" s="21">
        <f ca="1">C29</f>
        <v>6530648</v>
      </c>
      <c r="K14" s="12"/>
      <c r="L14" s="805"/>
      <c r="M14" s="806"/>
    </row>
    <row r="15" spans="1:37" s="1394" customFormat="1" ht="18" customHeight="1" thickBot="1">
      <c r="A15" s="980" t="s">
        <v>399</v>
      </c>
      <c r="B15" s="302" t="s">
        <v>710</v>
      </c>
      <c r="C15" s="21">
        <f ca="1">ROUND(C14*F15,0)</f>
        <v>131678</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97960</v>
      </c>
      <c r="K16" s="1084" t="s">
        <v>715</v>
      </c>
      <c r="L16" s="1085"/>
      <c r="M16" s="1069"/>
    </row>
    <row r="17" spans="1:37" s="1394" customFormat="1" ht="18" customHeight="1">
      <c r="A17" s="980" t="s">
        <v>681</v>
      </c>
      <c r="B17" s="302" t="s">
        <v>716</v>
      </c>
      <c r="C17" s="21">
        <f ca="1">ROUND(F17*(F43+INDIRECT("'数据-取费表'!S"&amp;$G$1)),0)</f>
        <v>195078</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65839</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4781850</v>
      </c>
      <c r="D19" s="131" t="s">
        <v>726</v>
      </c>
      <c r="E19" s="1357"/>
      <c r="F19" s="23"/>
      <c r="G19" s="1381"/>
      <c r="H19" s="980" t="s">
        <v>399</v>
      </c>
      <c r="I19" s="302" t="s">
        <v>727</v>
      </c>
      <c r="J19" s="21">
        <f ca="1">IF(K19="按租金收入计税",ROUND(J6*M19/(1+'数据-取费表'!C42),0),ROUND(C29*M19*0.7,0))</f>
        <v>0</v>
      </c>
      <c r="K19" s="1367" t="s">
        <v>3336</v>
      </c>
      <c r="L19" s="302" t="s">
        <v>712</v>
      </c>
      <c r="M19" s="322">
        <f>IF(K19="按租金收入计税",'数据-取费表'!B51,'数据-取费表'!B50)</f>
        <v>0.12</v>
      </c>
    </row>
    <row r="20" spans="1:37" s="1394" customFormat="1" ht="18" customHeight="1">
      <c r="A20" s="980" t="s">
        <v>402</v>
      </c>
      <c r="B20" s="302" t="s">
        <v>728</v>
      </c>
      <c r="C20" s="21">
        <f ca="1">ROUND(C19*F20,0)</f>
        <v>95637</v>
      </c>
      <c r="D20" s="323" t="s">
        <v>729</v>
      </c>
      <c r="E20" s="302" t="s">
        <v>712</v>
      </c>
      <c r="F20" s="322">
        <f>'数据-取费表'!B37</f>
        <v>0.02</v>
      </c>
      <c r="G20" s="1393"/>
      <c r="H20" s="980"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97960</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168273</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-97960</v>
      </c>
      <c r="K25" s="1092" t="s">
        <v>753</v>
      </c>
      <c r="L25" s="1093"/>
      <c r="M25" s="1094"/>
    </row>
    <row r="26" spans="1:37" ht="18" customHeight="1">
      <c r="A26" s="980" t="s">
        <v>397</v>
      </c>
      <c r="B26" s="302" t="s">
        <v>754</v>
      </c>
      <c r="C26" s="21">
        <f ca="1">ROUND((C19+C20)*F26,0)</f>
        <v>975497</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6530648</v>
      </c>
      <c r="D29" s="1089"/>
      <c r="E29" s="1087"/>
      <c r="F29" s="1090"/>
      <c r="G29" s="1393"/>
      <c r="H29" s="334" t="s">
        <v>396</v>
      </c>
      <c r="I29" s="335" t="s">
        <v>768</v>
      </c>
      <c r="J29" s="336">
        <f ca="1">ROUND(J26/(1+F40)^F41,0)</f>
        <v>0</v>
      </c>
      <c r="K29" s="337" t="s">
        <v>769</v>
      </c>
      <c r="L29" s="338"/>
      <c r="M29" s="339">
        <f ca="1">INDIRECT("'数据-取费表'!k"&amp;$G$1)</f>
        <v>975.39</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371544</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234361</v>
      </c>
      <c r="D31" s="1342" t="s">
        <v>720</v>
      </c>
      <c r="E31" s="1341" t="s">
        <v>770</v>
      </c>
      <c r="F31" s="2312">
        <f ca="1">IF(项目基本情况!B11="企业","——",IF(M47="住宅",IF(F6*F7*F8/12/(1+'数据-取费表'!F30)&gt;100000,4%,2.5%),IF(F6*F7*F8/12/(1+'数据-取费表'!F30)&gt;100000,12%,7%)))</f>
        <v>0.12</v>
      </c>
      <c r="G31" s="1381"/>
      <c r="H31" s="2805" t="s">
        <v>2308</v>
      </c>
      <c r="I31" s="1395"/>
      <c r="J31" s="1396"/>
      <c r="K31" s="2472"/>
      <c r="L31" s="2695"/>
      <c r="M31" s="2696"/>
    </row>
    <row r="32" spans="1:37" ht="18" customHeight="1">
      <c r="A32" s="980" t="s">
        <v>397</v>
      </c>
      <c r="B32" s="302" t="s">
        <v>723</v>
      </c>
      <c r="C32" s="21" t="str">
        <f>IF(项目基本情况!B11="自然人","——",ROUND(C6*F32/(1+'数据-取费表'!C42),0))</f>
        <v>——</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str">
        <f>IF(项目基本情况!B11="自然人","——",ROUND(F34*F35,0))</f>
        <v>——</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97960</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ROUND(C13*F37,0)</f>
        <v>8425</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ROUND(C5*F38,0)</f>
        <v>30798</v>
      </c>
      <c r="D38" s="1089" t="s">
        <v>748</v>
      </c>
      <c r="E38" s="1087" t="s">
        <v>744</v>
      </c>
      <c r="F38" s="1083">
        <f ca="1">INDIRECT("'数据-取费表'!Am"&amp;$G$1)</f>
        <v>1.4999999999999999E-2</v>
      </c>
      <c r="G38" s="1381"/>
      <c r="H38" s="2697"/>
      <c r="I38" s="1395">
        <f ca="1">C39/C5</f>
        <v>0.81904352328022823</v>
      </c>
      <c r="J38" s="1396"/>
      <c r="K38" s="2701"/>
      <c r="L38" s="2697"/>
      <c r="M38" s="2697"/>
    </row>
    <row r="39" spans="1:18" ht="24.6" customHeight="1" thickTop="1">
      <c r="A39" s="1076" t="s">
        <v>394</v>
      </c>
      <c r="B39" s="1091" t="s">
        <v>772</v>
      </c>
      <c r="C39" s="310">
        <f ca="1">C5-C30</f>
        <v>1681679</v>
      </c>
      <c r="D39" s="1092" t="s">
        <v>773</v>
      </c>
      <c r="E39" s="1093"/>
      <c r="F39" s="1094"/>
      <c r="G39" s="1381"/>
      <c r="H39" s="2697"/>
      <c r="I39" s="1395"/>
      <c r="J39" s="1396"/>
      <c r="K39" s="2701"/>
      <c r="L39" s="2697"/>
      <c r="M39" s="2697"/>
    </row>
    <row r="40" spans="1:18" ht="18" customHeight="1">
      <c r="A40" s="299" t="s">
        <v>395</v>
      </c>
      <c r="B40" s="300" t="s">
        <v>774</v>
      </c>
      <c r="C40" s="301">
        <f ca="1">ROUND(C39*(1-((1+F42)/(1+F40))^F41)/(F40-F42),0)</f>
        <v>28803426</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25</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29530</v>
      </c>
      <c r="D43" s="337" t="s">
        <v>777</v>
      </c>
      <c r="E43" s="338" t="s">
        <v>778</v>
      </c>
      <c r="F43" s="339">
        <f ca="1">INDIRECT("'数据-取费表'!k"&amp;$G$1)</f>
        <v>975.39</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3352</v>
      </c>
      <c r="B45" s="1397"/>
      <c r="C45" s="1469">
        <f ca="1">ROUND((C68-C40)/10000,4)</f>
        <v>-3023.0466999999999</v>
      </c>
      <c r="D45" s="3429" t="s">
        <v>3353</v>
      </c>
      <c r="E45" s="1397"/>
      <c r="F45" s="1397"/>
      <c r="O45" s="1400" t="s">
        <v>808</v>
      </c>
      <c r="P45" s="1458"/>
      <c r="Q45" s="1458"/>
      <c r="R45" s="1458"/>
    </row>
    <row r="46" spans="1:18" s="1381" customFormat="1" ht="13.5" thickBot="1">
      <c r="A46" s="1401" t="s">
        <v>809</v>
      </c>
      <c r="C46" s="1402">
        <f ca="1">ROUND(C45,0)</f>
        <v>-3023</v>
      </c>
      <c r="D46" s="1403" t="str">
        <f>C2</f>
        <v>万元</v>
      </c>
      <c r="I46" s="1404" t="s">
        <v>810</v>
      </c>
      <c r="J46" s="1405"/>
      <c r="K46" s="1406"/>
      <c r="L46" s="1407">
        <f ca="1">IF(M47="住宅",0,IF(L48&gt;J51,L60,J60))</f>
        <v>428356</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28803426</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25</v>
      </c>
      <c r="O48" s="1415" t="s">
        <v>404</v>
      </c>
      <c r="P48" s="1416" t="s">
        <v>821</v>
      </c>
      <c r="Q48" s="1417">
        <f ca="1">J60</f>
        <v>428356</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v>2010</v>
      </c>
      <c r="K49" s="1420" t="s">
        <v>824</v>
      </c>
      <c r="L49" s="1424"/>
      <c r="O49" s="1425" t="s">
        <v>405</v>
      </c>
      <c r="P49" s="1416" t="s">
        <v>825</v>
      </c>
      <c r="Q49" s="1417">
        <f ca="1">C29</f>
        <v>6530648</v>
      </c>
      <c r="R49" s="1417" t="s">
        <v>818</v>
      </c>
    </row>
    <row r="50" spans="1:18" s="1381" customFormat="1" ht="13.5" thickBot="1">
      <c r="A50" s="974"/>
      <c r="B50" s="977"/>
      <c r="C50" s="978"/>
      <c r="D50" s="951"/>
      <c r="E50" s="1053" t="s">
        <v>697</v>
      </c>
      <c r="F50" s="1054">
        <f ca="1">F7</f>
        <v>975.39</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46</v>
      </c>
      <c r="K51" s="1431" t="s">
        <v>830</v>
      </c>
      <c r="L51" s="1432">
        <f ca="1">ROUND(-PV(INDIRECT("'数据-取费表'!h"&amp;$G$1),J51,(C39-C13*C76),0),0)</f>
        <v>23039074</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25</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25</v>
      </c>
      <c r="K53" s="3709" t="s">
        <v>837</v>
      </c>
      <c r="L53" s="3710"/>
      <c r="O53" s="1415" t="s">
        <v>409</v>
      </c>
      <c r="P53" s="1416" t="s">
        <v>838</v>
      </c>
      <c r="Q53" s="1417">
        <f ca="1">Q47+Q48</f>
        <v>29231782</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0.35</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5616357</v>
      </c>
      <c r="D56" s="1444"/>
      <c r="E56" s="1445"/>
      <c r="F56" s="1437"/>
      <c r="I56" s="1446" t="s">
        <v>842</v>
      </c>
      <c r="J56" s="1447" t="s">
        <v>3383</v>
      </c>
      <c r="K56" s="1418" t="s">
        <v>843</v>
      </c>
      <c r="L56" s="1421" t="str">
        <f ca="1">IF(L48&lt;J51,"——",L48-J51)</f>
        <v>——</v>
      </c>
      <c r="O56" s="1415" t="s">
        <v>403</v>
      </c>
      <c r="P56" s="1416" t="s">
        <v>817</v>
      </c>
      <c r="Q56" s="1417">
        <f ca="1">C40+J29</f>
        <v>28803426</v>
      </c>
      <c r="R56" s="1417" t="s">
        <v>818</v>
      </c>
    </row>
    <row r="57" spans="1:18" s="1381" customFormat="1" ht="24.75" thickBot="1">
      <c r="A57" s="1448"/>
      <c r="B57" s="948" t="s">
        <v>767</v>
      </c>
      <c r="C57" s="238">
        <f ca="1">C29</f>
        <v>6530648</v>
      </c>
      <c r="D57" s="1449"/>
      <c r="E57" s="1450"/>
      <c r="F57" s="1451"/>
      <c r="I57" s="1452" t="s">
        <v>844</v>
      </c>
      <c r="J57" s="1453">
        <f ca="1">IF(OR(M47="住宅",J51&lt;L48,J56="是"),"——",J51-L48)</f>
        <v>21</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106385</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2612259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5" t="s">
        <v>853</v>
      </c>
      <c r="J60" s="1456">
        <f ca="1">IF(OR(M47="住宅",J51&lt;L48,J56="是"),"0",ROUND(J59/(1+J52)^J53,0))</f>
        <v>428356</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t="str">
        <f ca="1">IF(项目基本情况!B11="自然人","——",IF(D61="按租金收入计税",ROUND(C49*F61/(1+'数据-取费表'!C42),0),IF(D61="按房产原值计税",ROUND(C57*F61*0.7,0),INDIRECT("'数据-取费表'!Aj"&amp;$G$1))))</f>
        <v>——</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t="str">
        <f>IF(项目基本情况!B11="自然人","——",ROUND(F62*F63,0))</f>
        <v>——</v>
      </c>
      <c r="D62" s="963" t="s">
        <v>786</v>
      </c>
      <c r="E62" s="948" t="s">
        <v>787</v>
      </c>
      <c r="F62" s="325">
        <f t="shared" si="0"/>
        <v>0</v>
      </c>
      <c r="I62" s="1459" t="s">
        <v>858</v>
      </c>
      <c r="J62" s="1460" t="s">
        <v>859</v>
      </c>
      <c r="K62" s="1460" t="s">
        <v>860</v>
      </c>
      <c r="L62" s="1460" t="s">
        <v>861</v>
      </c>
      <c r="M62" s="1461" t="s">
        <v>862</v>
      </c>
      <c r="O62" s="1415" t="s">
        <v>409</v>
      </c>
      <c r="P62" s="1416" t="s">
        <v>863</v>
      </c>
      <c r="Q62" s="1417">
        <f ca="1">Q56+Q57</f>
        <v>28803426</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97960</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8425</v>
      </c>
      <c r="D65" s="962" t="s">
        <v>743</v>
      </c>
      <c r="E65" s="948" t="s">
        <v>744</v>
      </c>
      <c r="F65" s="330">
        <f t="shared" ca="1" si="0"/>
        <v>1.5E-3</v>
      </c>
      <c r="I65" s="1459" t="s">
        <v>867</v>
      </c>
      <c r="J65" s="1460">
        <v>40</v>
      </c>
      <c r="K65" s="1460">
        <v>30</v>
      </c>
      <c r="L65" s="1460">
        <v>50</v>
      </c>
      <c r="M65" s="1462">
        <v>0.02</v>
      </c>
      <c r="O65" s="1415" t="s">
        <v>403</v>
      </c>
      <c r="P65" s="1416" t="s">
        <v>868</v>
      </c>
      <c r="Q65" s="1417">
        <f ca="1">C40+J29</f>
        <v>28803426</v>
      </c>
      <c r="R65" s="1417" t="s">
        <v>818</v>
      </c>
    </row>
    <row r="66" spans="1:18" s="1381" customFormat="1" ht="16.5" thickBot="1">
      <c r="A66" s="980" t="s">
        <v>793</v>
      </c>
      <c r="B66" s="948" t="s">
        <v>728</v>
      </c>
      <c r="C66" s="21">
        <f ca="1">ROUND(C48*F66,0)</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-106385</v>
      </c>
      <c r="D67" s="961" t="s">
        <v>753</v>
      </c>
      <c r="E67" s="966"/>
      <c r="F67" s="967"/>
      <c r="O67" s="1425" t="s">
        <v>405</v>
      </c>
      <c r="P67" s="1416" t="s">
        <v>850</v>
      </c>
      <c r="Q67" s="1463">
        <f ca="1">L51</f>
        <v>23039074</v>
      </c>
      <c r="R67" s="1417" t="s">
        <v>870</v>
      </c>
    </row>
    <row r="68" spans="1:18" s="1381" customFormat="1" ht="16.5" thickBot="1">
      <c r="A68" s="945" t="s">
        <v>395</v>
      </c>
      <c r="B68" s="946" t="s">
        <v>774</v>
      </c>
      <c r="C68" s="301">
        <f ca="1">ROUND(C67*(1-((1+F70)/(1+F68))^F69)/(F68-F70),0)</f>
        <v>-1427041</v>
      </c>
      <c r="D68" s="963" t="s">
        <v>758</v>
      </c>
      <c r="E68" s="948" t="s">
        <v>759</v>
      </c>
      <c r="F68" s="312">
        <f ca="1">F40</f>
        <v>5.5E-2</v>
      </c>
      <c r="O68" s="1425" t="s">
        <v>406</v>
      </c>
      <c r="P68" s="1464" t="s">
        <v>871</v>
      </c>
      <c r="Q68" s="1417">
        <f ca="1">ROUND(Q69-Q70*Q71,0)</f>
        <v>1288534</v>
      </c>
      <c r="R68" s="1417" t="s">
        <v>414</v>
      </c>
    </row>
    <row r="69" spans="1:18" s="1381" customFormat="1" ht="13.5" thickBot="1">
      <c r="A69" s="949"/>
      <c r="B69" s="950"/>
      <c r="C69" s="306"/>
      <c r="D69" s="968" t="s">
        <v>762</v>
      </c>
      <c r="E69" s="948" t="s">
        <v>763</v>
      </c>
      <c r="F69" s="333">
        <f ca="1">F41</f>
        <v>25</v>
      </c>
      <c r="O69" s="1425" t="s">
        <v>411</v>
      </c>
      <c r="P69" s="1464" t="s">
        <v>872</v>
      </c>
      <c r="Q69" s="1417">
        <f ca="1">C39</f>
        <v>1681679</v>
      </c>
      <c r="R69" s="1417" t="s">
        <v>818</v>
      </c>
    </row>
    <row r="70" spans="1:18" s="1381" customFormat="1" ht="13.5" thickBot="1">
      <c r="A70" s="952"/>
      <c r="B70" s="953"/>
      <c r="C70" s="310"/>
      <c r="D70" s="964"/>
      <c r="E70" s="948" t="s">
        <v>766</v>
      </c>
      <c r="F70" s="1051"/>
      <c r="O70" s="1425" t="s">
        <v>412</v>
      </c>
      <c r="P70" s="1464" t="s">
        <v>873</v>
      </c>
      <c r="Q70" s="1417">
        <f ca="1">C13</f>
        <v>5616357</v>
      </c>
      <c r="R70" s="1417" t="s">
        <v>818</v>
      </c>
    </row>
    <row r="71" spans="1:18" s="1381" customFormat="1" ht="13.5" thickBot="1">
      <c r="A71" s="969" t="s">
        <v>396</v>
      </c>
      <c r="B71" s="970" t="s">
        <v>776</v>
      </c>
      <c r="C71" s="336">
        <f ca="1">ROUND(C68/F71,0)</f>
        <v>-1463</v>
      </c>
      <c r="D71" s="971" t="s">
        <v>777</v>
      </c>
      <c r="E71" s="972" t="s">
        <v>778</v>
      </c>
      <c r="F71" s="339">
        <f ca="1">F43</f>
        <v>975.39</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393145</v>
      </c>
      <c r="D75" s="1381"/>
      <c r="E75" s="1381"/>
      <c r="F75" s="1381"/>
      <c r="K75" s="1399"/>
      <c r="L75" s="1381"/>
      <c r="O75" s="1415" t="s">
        <v>409</v>
      </c>
      <c r="P75" s="1416" t="s">
        <v>838</v>
      </c>
      <c r="Q75" s="1417">
        <f ca="1">Q65+Q66</f>
        <v>28803426</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0.76600000000000001</v>
      </c>
    </row>
    <row r="80" spans="1:18">
      <c r="B80" s="340" t="s">
        <v>800</v>
      </c>
      <c r="C80" s="274">
        <f ca="1">ROUND(C75/C39,3)</f>
        <v>0.23400000000000001</v>
      </c>
    </row>
    <row r="81" spans="2:3">
      <c r="B81" s="270" t="s">
        <v>801</v>
      </c>
      <c r="C81" s="238"/>
    </row>
    <row r="82" spans="2:3">
      <c r="B82" s="273" t="s">
        <v>802</v>
      </c>
      <c r="C82" s="275">
        <f ca="1">1-C83</f>
        <v>0.80499999999999994</v>
      </c>
    </row>
    <row r="83" spans="2:3">
      <c r="B83" s="273" t="s">
        <v>803</v>
      </c>
      <c r="C83" s="274">
        <f ca="1">ROUND(C13/C40,3)</f>
        <v>0.19500000000000001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4" sqref="M44"/>
      <selection pane="bottomLeft" activeCell="M44" sqref="M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62" t="s">
        <v>2083</v>
      </c>
      <c r="D1" s="3763"/>
      <c r="E1" s="3763"/>
      <c r="F1" s="3763"/>
      <c r="G1" s="3763"/>
      <c r="H1" s="3763"/>
      <c r="I1" s="3763"/>
      <c r="J1" s="3763"/>
      <c r="K1" s="3763"/>
      <c r="L1" s="3763"/>
      <c r="M1" s="3763"/>
      <c r="N1" s="3763"/>
      <c r="O1" s="3763"/>
      <c r="P1" s="3763"/>
      <c r="Q1" s="3763"/>
      <c r="R1" s="3763"/>
      <c r="S1" s="3764"/>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98</v>
      </c>
      <c r="E4" s="485">
        <v>96</v>
      </c>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2092</v>
      </c>
      <c r="B17" s="2146" t="s">
        <v>2093</v>
      </c>
      <c r="C17" s="3471" t="s">
        <v>3479</v>
      </c>
      <c r="D17" s="3472" t="s">
        <v>3480</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2094</v>
      </c>
      <c r="E19" s="1337"/>
      <c r="F19" s="1337"/>
      <c r="G19" s="1337"/>
      <c r="H19" s="1056"/>
      <c r="I19" s="159"/>
      <c r="J19" s="159"/>
      <c r="K19" s="159"/>
      <c r="L19" s="159"/>
      <c r="M19" s="159"/>
      <c r="N19" s="159"/>
      <c r="O19" s="159"/>
      <c r="P19" s="159"/>
      <c r="Q19" s="159"/>
      <c r="R19" s="716"/>
      <c r="S19" s="129"/>
    </row>
    <row r="20" spans="1:45" ht="16.5" thickBot="1">
      <c r="A20" s="660" t="s">
        <v>2095</v>
      </c>
      <c r="B20" s="294">
        <f ca="1">IF(D20="——",S22,S22-F20)</f>
        <v>3084</v>
      </c>
      <c r="C20" s="159"/>
      <c r="D20" s="2148" t="s">
        <v>43</v>
      </c>
      <c r="E20" s="1338"/>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75">
      <c r="A21" s="660" t="s">
        <v>2097</v>
      </c>
      <c r="B21" s="294">
        <f ca="1">ROUND(B20*10000/B22,0)</f>
        <v>31618</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975.39</v>
      </c>
      <c r="C22" s="3759" t="s">
        <v>27</v>
      </c>
      <c r="D22" s="3760"/>
      <c r="E22" s="3760"/>
      <c r="F22" s="3760"/>
      <c r="G22" s="3760"/>
      <c r="H22" s="3760"/>
      <c r="I22" s="3760"/>
      <c r="J22" s="3760"/>
      <c r="K22" s="3760"/>
      <c r="L22" s="3760"/>
      <c r="M22" s="3760"/>
      <c r="N22" s="3760"/>
      <c r="O22" s="3760"/>
      <c r="P22" s="3760"/>
      <c r="Q22" s="3761"/>
      <c r="R22" s="661">
        <f ca="1">ROUND(S22*10000/B22,0)</f>
        <v>31618</v>
      </c>
      <c r="S22" s="21">
        <f ca="1">SUM(S24:S10000)</f>
        <v>3084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69" t="s">
        <v>3477</v>
      </c>
      <c r="B24" s="663">
        <f>Sheet1!N6</f>
        <v>487.7</v>
      </c>
      <c r="C24" s="2807">
        <v>1</v>
      </c>
      <c r="D24" s="2808"/>
      <c r="E24" s="2807">
        <v>1</v>
      </c>
      <c r="F24" s="2808"/>
      <c r="G24" s="2807">
        <v>1</v>
      </c>
      <c r="H24" s="2808"/>
      <c r="I24" s="2807">
        <v>1</v>
      </c>
      <c r="J24" s="2808"/>
      <c r="K24" s="2807">
        <v>1</v>
      </c>
      <c r="L24" s="2808"/>
      <c r="M24" s="2807">
        <v>1</v>
      </c>
      <c r="N24" s="2808"/>
      <c r="O24" s="2807">
        <v>1</v>
      </c>
      <c r="P24" s="2808"/>
      <c r="Q24" s="2807">
        <v>1</v>
      </c>
      <c r="R24" s="666">
        <f ca="1">结果表!C32</f>
        <v>31622</v>
      </c>
      <c r="S24" s="664">
        <f t="shared" ref="S24:S54" ca="1" si="11">ROUND(R24*B24/10000,0)</f>
        <v>1542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70" t="s">
        <v>3478</v>
      </c>
      <c r="B25" s="54">
        <f>Sheet1!N7</f>
        <v>487.69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31622</v>
      </c>
      <c r="S25" s="316">
        <f t="shared" ca="1" si="11"/>
        <v>1542</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1835</v>
      </c>
      <c r="C2" s="2142" t="s">
        <v>2073</v>
      </c>
      <c r="D2" s="2142" t="s">
        <v>2074</v>
      </c>
      <c r="E2" s="2609">
        <f ca="1">SUMIF(E6:E13,"&lt;&gt;#ref!",E6:E13)</f>
        <v>0</v>
      </c>
      <c r="F2" s="2790"/>
      <c r="G2" s="2790"/>
      <c r="H2" s="2790"/>
      <c r="I2" s="2790"/>
      <c r="J2" s="2790"/>
      <c r="K2" s="2790"/>
      <c r="L2" s="2790"/>
      <c r="M2" s="2790"/>
      <c r="N2" s="2790"/>
      <c r="O2" s="2790"/>
      <c r="P2" s="2790"/>
    </row>
    <row r="3" spans="1:16" ht="15.75">
      <c r="A3" s="2142" t="s">
        <v>2075</v>
      </c>
      <c r="B3" s="2599" t="e">
        <f ca="1">ROUND(B2*10000/E2,0)</f>
        <v>#DIV/0!</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1835</v>
      </c>
      <c r="C6" s="2142" t="s">
        <v>2073</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3448</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1" t="s">
        <v>694</v>
      </c>
      <c r="C6" s="1071" t="e">
        <f ca="1">ROUND(F6*F8*F7*(1-F9)/10000,0)</f>
        <v>#N/A</v>
      </c>
      <c r="D6" s="155" t="s">
        <v>2107</v>
      </c>
      <c r="E6" s="302" t="s">
        <v>696</v>
      </c>
      <c r="F6" s="303" t="e">
        <f ca="1">INDIRECT("'数据-取费表'!u"&amp;$G$1)</f>
        <v>#N/A</v>
      </c>
      <c r="G6" s="1381"/>
      <c r="H6" s="1066" t="s">
        <v>398</v>
      </c>
      <c r="I6" s="3711" t="s">
        <v>694</v>
      </c>
      <c r="J6" s="301" t="e">
        <f ca="1">ROUND(M6*M8*M7*(1-M9)/10000,0)</f>
        <v>#N/A</v>
      </c>
      <c r="K6" s="155" t="s">
        <v>2106</v>
      </c>
      <c r="L6" s="302" t="s">
        <v>696</v>
      </c>
      <c r="M6" s="303" t="e">
        <f ca="1">INDIRECT("'数据-取费表'!z"&amp;$G$1)</f>
        <v>#N/A</v>
      </c>
    </row>
    <row r="7" spans="1:37" ht="18" customHeight="1">
      <c r="A7" s="1070"/>
      <c r="B7" s="3712"/>
      <c r="C7" s="1072"/>
      <c r="D7" s="307"/>
      <c r="E7" s="3461" t="s">
        <v>697</v>
      </c>
      <c r="F7" s="303" t="e">
        <f ca="1">IF(INDIRECT("'数据-取费表'!ah"&amp;$G$1)="",INDIRECT("'数据-取费表'!k"&amp;$G$1),INDIRECT("'数据-取费表'!ah"&amp;$G$1))</f>
        <v>#N/A</v>
      </c>
      <c r="G7" s="1381"/>
      <c r="H7" s="304"/>
      <c r="I7" s="3712"/>
      <c r="J7" s="306"/>
      <c r="K7" s="307"/>
      <c r="L7" s="302" t="s">
        <v>697</v>
      </c>
      <c r="M7" s="303" t="e">
        <f ca="1">F7</f>
        <v>#N/A</v>
      </c>
    </row>
    <row r="8" spans="1:37" ht="18" customHeight="1">
      <c r="A8" s="304"/>
      <c r="B8" s="3712"/>
      <c r="C8" s="306"/>
      <c r="D8" s="307"/>
      <c r="E8" s="302" t="s">
        <v>698</v>
      </c>
      <c r="F8" s="303" t="e">
        <f ca="1">INDIRECT("'数据-取费表'!ai"&amp;$G$1)</f>
        <v>#N/A</v>
      </c>
      <c r="G8" s="1381"/>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1"/>
      <c r="H9" s="304"/>
      <c r="I9" s="3713"/>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2114</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3457" t="s">
        <v>708</v>
      </c>
      <c r="E14" s="3455"/>
      <c r="F14" s="319"/>
      <c r="G14" s="1381"/>
      <c r="H14" s="980" t="s">
        <v>398</v>
      </c>
      <c r="I14" s="302" t="s">
        <v>709</v>
      </c>
      <c r="J14" s="21" t="e">
        <f ca="1">C29</f>
        <v>#N/A</v>
      </c>
      <c r="K14" s="3460"/>
      <c r="L14" s="805"/>
      <c r="M14" s="806"/>
    </row>
    <row r="15" spans="1:37" s="1394" customFormat="1" ht="18" customHeight="1" thickBot="1">
      <c r="A15" s="980" t="s">
        <v>399</v>
      </c>
      <c r="B15" s="302" t="s">
        <v>710</v>
      </c>
      <c r="C15" s="21" t="e">
        <f ca="1">ROUND(C14*F15,0)</f>
        <v>#N/A</v>
      </c>
      <c r="D15" s="3454" t="s">
        <v>711</v>
      </c>
      <c r="E15" s="3454"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3458"/>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3457" t="s">
        <v>720</v>
      </c>
      <c r="L17" s="3456" t="s">
        <v>721</v>
      </c>
      <c r="M17" s="2312" t="e">
        <f ca="1">IF(项目基本情况!B11="企业","",IF('数据-取费表'!B10="住宅",IF(M6*M7*M8/12/(1+'数据-取费表'!F30)&gt;100000,4%,2.5%),IF(M6*M7*M8/12/(1+'数据-取费表'!F30)&gt;100000,12%,7%)))</f>
        <v>#N/A</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3463"/>
      <c r="F19" s="23"/>
      <c r="G19" s="1381"/>
      <c r="H19" s="980" t="s">
        <v>399</v>
      </c>
      <c r="I19" s="302" t="s">
        <v>727</v>
      </c>
      <c r="J19" s="21" t="e">
        <f ca="1">IF(K19="按租金收入计税",ROUND(J6*M19/(1+'数据-取费表'!C42),2),ROUND(C29*M19*0.7,2))</f>
        <v>#N/A</v>
      </c>
      <c r="K19" s="1367" t="s">
        <v>3336</v>
      </c>
      <c r="L19" s="302" t="s">
        <v>712</v>
      </c>
      <c r="M19" s="322">
        <f>IF(K19="按租金收入计税",'数据-取费表'!B51,'数据-取费表'!B50)</f>
        <v>0.12</v>
      </c>
    </row>
    <row r="20" spans="1:37" s="1394" customFormat="1" ht="18" customHeight="1">
      <c r="A20" s="980" t="s">
        <v>402</v>
      </c>
      <c r="B20" s="302" t="s">
        <v>728</v>
      </c>
      <c r="C20" s="21" t="e">
        <f ca="1">ROUND(C19*F20,0)</f>
        <v>#N/A</v>
      </c>
      <c r="D20" s="2425" t="s">
        <v>729</v>
      </c>
      <c r="E20" s="302" t="s">
        <v>712</v>
      </c>
      <c r="F20" s="322">
        <f>'数据-取费表'!B37</f>
        <v>0.02</v>
      </c>
      <c r="G20" s="1393"/>
      <c r="H20" s="980" t="s">
        <v>680</v>
      </c>
      <c r="I20" s="155" t="s">
        <v>730</v>
      </c>
      <c r="J20" s="22" t="e">
        <f ca="1">ROUND(M20*M21/10000,2)</f>
        <v>#N/A</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3"/>
      <c r="F22" s="23"/>
      <c r="G22" s="1381"/>
      <c r="H22" s="980" t="s">
        <v>402</v>
      </c>
      <c r="I22" s="302" t="s">
        <v>738</v>
      </c>
      <c r="J22" s="21" t="e">
        <f ca="1">ROUND(J14*M22,2)</f>
        <v>#N/A</v>
      </c>
      <c r="K22" s="3456"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3456" t="s">
        <v>743</v>
      </c>
      <c r="L23" s="302" t="s">
        <v>712</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t="e">
        <f ca="1">ROUND(J5*M24,2)</f>
        <v>#N/A</v>
      </c>
      <c r="K24" s="1089" t="s">
        <v>748</v>
      </c>
      <c r="L24" s="1087" t="s">
        <v>712</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3"/>
      <c r="F25" s="23"/>
      <c r="G25" s="1381"/>
      <c r="H25" s="1076" t="s">
        <v>394</v>
      </c>
      <c r="I25" s="1091" t="s">
        <v>752</v>
      </c>
      <c r="J25" s="310" t="e">
        <f ca="1">J5-J16</f>
        <v>#N/A</v>
      </c>
      <c r="K25" s="1092" t="s">
        <v>753</v>
      </c>
      <c r="L25" s="1093"/>
      <c r="M25" s="1094"/>
    </row>
    <row r="26" spans="1:37">
      <c r="A26" s="980" t="s">
        <v>397</v>
      </c>
      <c r="B26" s="302" t="s">
        <v>754</v>
      </c>
      <c r="C26" s="21" t="e">
        <f ca="1">ROUND((C19+C20)*F26,0)</f>
        <v>#N/A</v>
      </c>
      <c r="D26" s="2425"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5" t="s">
        <v>761</v>
      </c>
      <c r="E27" s="3454"/>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3458"/>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3457" t="s">
        <v>720</v>
      </c>
      <c r="E31" s="3456" t="s">
        <v>770</v>
      </c>
      <c r="F31" s="2312" t="e">
        <f ca="1">IF(项目基本情况!B11="企业","——",IF(M47="住宅",IF(F6*F7*F8/12/(1+'数据-取费表'!F30)&gt;100000,4%,2.5%),IF(F6*F7*F8/12/(1+'数据-取费表'!F30)&gt;100000,12%,7%)))</f>
        <v>#N/A</v>
      </c>
      <c r="G31" s="1381"/>
      <c r="H31" s="2805" t="s">
        <v>2308</v>
      </c>
      <c r="I31" s="1395"/>
      <c r="J31" s="1396"/>
      <c r="K31" s="2472"/>
      <c r="L31" s="2695"/>
      <c r="M31" s="2696"/>
    </row>
    <row r="32" spans="1:37" ht="18" customHeight="1">
      <c r="A32" s="980" t="s">
        <v>397</v>
      </c>
      <c r="B32" s="302" t="s">
        <v>723</v>
      </c>
      <c r="C32" s="21" t="str">
        <f>IF(项目基本情况!B11="自然人","——",ROUND(C6*F32/(1+'数据-取费表'!C42),2))</f>
        <v>——</v>
      </c>
      <c r="D32" s="3456"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str">
        <f>IF(项目基本情况!B11="自然人","——",ROUND(F34*F35/10000,2))</f>
        <v>——</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3456"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3456" t="s">
        <v>743</v>
      </c>
      <c r="E37" s="302" t="s">
        <v>712</v>
      </c>
      <c r="F37" s="330" t="e">
        <f ca="1">INDIRECT("'数据-取费表'!Al"&amp;$G$1)</f>
        <v>#N/A</v>
      </c>
      <c r="G37" s="1381"/>
      <c r="H37" s="2697"/>
      <c r="I37" s="1395" t="e">
        <f ca="1">C39/C5</f>
        <v>#N/A</v>
      </c>
      <c r="J37" s="1396"/>
      <c r="K37" s="2541"/>
      <c r="L37" s="2697"/>
      <c r="M37" s="2697"/>
    </row>
    <row r="38" spans="1:18" ht="18" customHeight="1" thickBot="1">
      <c r="A38" s="1086" t="s">
        <v>683</v>
      </c>
      <c r="B38" s="1087" t="s">
        <v>728</v>
      </c>
      <c r="C38" s="1088" t="e">
        <f ca="1">ROUND(C5*F38,2)</f>
        <v>#N/A</v>
      </c>
      <c r="D38" s="1089" t="s">
        <v>748</v>
      </c>
      <c r="E38" s="1087" t="s">
        <v>712</v>
      </c>
      <c r="F38" s="1083" t="e">
        <f ca="1">INDIRECT("'数据-取费表'!Am"&amp;$G$1)</f>
        <v>#N/A</v>
      </c>
      <c r="G38" s="1381"/>
      <c r="H38" s="2697"/>
      <c r="I38" s="1395"/>
      <c r="J38" s="1396"/>
      <c r="K38" s="2701"/>
      <c r="L38" s="2697"/>
      <c r="M38" s="2697"/>
    </row>
    <row r="39" spans="1:18" ht="24.6" customHeight="1" thickTop="1">
      <c r="A39" s="1076" t="s">
        <v>394</v>
      </c>
      <c r="B39" s="1091" t="s">
        <v>752</v>
      </c>
      <c r="C39" s="310" t="e">
        <f ca="1">C5-C30</f>
        <v>#N/A</v>
      </c>
      <c r="D39" s="1092" t="s">
        <v>753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3462" t="e">
        <f ca="1">C49+C53+C55</f>
        <v>#N/A</v>
      </c>
      <c r="D48" s="1109"/>
      <c r="E48" s="1110"/>
      <c r="F48" s="960"/>
      <c r="G48" s="720"/>
      <c r="H48" s="721"/>
      <c r="I48" s="1418" t="s">
        <v>819</v>
      </c>
      <c r="J48" s="1419" t="s">
        <v>3396</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2106</v>
      </c>
      <c r="E49" s="1369" t="s">
        <v>780</v>
      </c>
      <c r="F49" s="1057"/>
      <c r="G49" s="1422"/>
      <c r="H49" s="721"/>
      <c r="I49" s="1418" t="s">
        <v>823</v>
      </c>
      <c r="J49" s="1423">
        <f>'数据-取费表'!N18</f>
        <v>2010</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46</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09" t="s">
        <v>837</v>
      </c>
      <c r="L53" s="3710"/>
      <c r="O53" s="1415" t="s">
        <v>409</v>
      </c>
      <c r="P53" s="1416" t="s">
        <v>838</v>
      </c>
      <c r="Q53" s="1417" t="e">
        <f ca="1">Q47+Q48</f>
        <v>#N/A</v>
      </c>
      <c r="R53" s="1417" t="s">
        <v>410</v>
      </c>
    </row>
    <row r="54" spans="1:18" s="1381" customFormat="1" ht="13.5" thickBot="1">
      <c r="A54" s="1150"/>
      <c r="B54" s="1364" t="s">
        <v>679</v>
      </c>
      <c r="C54" s="957"/>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9"/>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3383</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e">
        <f ca="1">IF(项目基本情况!B11="企业","——",IF('数据-取费表'!B10="住宅",IF(F49*F50*F51/12/(1+'数据-取费表'!F30)&gt;100000,4%,2.5%),IF(F49*F50*F51/12/(1+'数据-取费表'!F30)&gt;100000,12%,7%)))</f>
        <v>#N/A</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727</v>
      </c>
      <c r="C61" s="21" t="str">
        <f ca="1">IF(项目基本情况!B11="自然人","——",IF(D61="按租金收入计税",ROUND(C49*F61/(1+'数据-取费表'!C42),2),IF(D61="按房产原值计税",ROUND(C57*F61*0.7,2),INDIRECT("'数据-取费表'!Aj"&amp;$G$1))))</f>
        <v>——</v>
      </c>
      <c r="D61" s="1367" t="s">
        <v>3336</v>
      </c>
      <c r="E61" s="948" t="s">
        <v>712</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730</v>
      </c>
      <c r="C62" s="22" t="str">
        <f>IF(项目基本情况!B11="自然人","——",ROUND(F62*F63/10000,2))</f>
        <v>——</v>
      </c>
      <c r="D62" s="963" t="s">
        <v>731</v>
      </c>
      <c r="E62" s="948" t="s">
        <v>732</v>
      </c>
      <c r="F62" s="325">
        <f t="shared" si="0"/>
        <v>0</v>
      </c>
      <c r="I62" s="1459" t="s">
        <v>858</v>
      </c>
      <c r="J62" s="1460" t="s">
        <v>859</v>
      </c>
      <c r="K62" s="1460" t="s">
        <v>860</v>
      </c>
      <c r="L62" s="1460" t="s">
        <v>861</v>
      </c>
      <c r="M62" s="1461" t="s">
        <v>862</v>
      </c>
      <c r="O62" s="1415" t="s">
        <v>409</v>
      </c>
      <c r="P62" s="1416" t="s">
        <v>838</v>
      </c>
      <c r="Q62" s="1417" t="e">
        <f ca="1">Q56+Q57</f>
        <v>#N/A</v>
      </c>
      <c r="R62" s="1417" t="s">
        <v>410</v>
      </c>
    </row>
    <row r="63" spans="1:18" s="1381" customFormat="1" ht="13.5" thickBot="1">
      <c r="A63" s="326"/>
      <c r="B63" s="954"/>
      <c r="C63" s="26"/>
      <c r="D63" s="964"/>
      <c r="E63" s="948" t="s">
        <v>736</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402</v>
      </c>
      <c r="B64" s="948" t="s">
        <v>738</v>
      </c>
      <c r="C64" s="21" t="e">
        <f ca="1">ROUND(C57*F64,2)</f>
        <v>#N/A</v>
      </c>
      <c r="D64" s="962" t="s">
        <v>771</v>
      </c>
      <c r="E64" s="948" t="s">
        <v>712</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712</v>
      </c>
      <c r="F65" s="330" t="e">
        <f t="shared" ca="1" si="0"/>
        <v>#N/A</v>
      </c>
      <c r="I65" s="1459" t="s">
        <v>867</v>
      </c>
      <c r="J65" s="1460">
        <v>40</v>
      </c>
      <c r="K65" s="1460">
        <v>30</v>
      </c>
      <c r="L65" s="1460">
        <v>50</v>
      </c>
      <c r="M65" s="1462">
        <v>0.02</v>
      </c>
      <c r="O65" s="1415" t="s">
        <v>403</v>
      </c>
      <c r="P65" s="1416" t="s">
        <v>817</v>
      </c>
      <c r="Q65" s="1417" t="e">
        <f ca="1">C40+J29</f>
        <v>#N/A</v>
      </c>
      <c r="R65" s="1417" t="s">
        <v>818</v>
      </c>
    </row>
    <row r="66" spans="1:18" s="1381" customFormat="1" ht="16.5" thickBot="1">
      <c r="A66" s="980" t="s">
        <v>793</v>
      </c>
      <c r="B66" s="948" t="s">
        <v>728</v>
      </c>
      <c r="C66" s="21" t="e">
        <f ca="1">ROUND(C48*F66,2)</f>
        <v>#N/A</v>
      </c>
      <c r="D66" s="962" t="s">
        <v>748</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J1" zoomScale="85" zoomScaleNormal="80" zoomScaleSheetLayoutView="85" workbookViewId="0">
      <selection activeCell="K62" sqref="K6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0</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1835</v>
      </c>
      <c r="C2" s="1996" t="s">
        <v>1934</v>
      </c>
      <c r="D2" s="1997" t="s">
        <v>1935</v>
      </c>
      <c r="E2" s="3419" t="s">
        <v>673</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Ⅴ-14</v>
      </c>
      <c r="J2" s="1999"/>
      <c r="K2" s="1116"/>
      <c r="L2" s="2000" t="s">
        <v>1938</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1.5019</v>
      </c>
      <c r="T2" s="3358">
        <f t="shared" ref="T2:T16" si="0">ROUND($C$5*$C$22*$C$23*$C$24*S2*$C$28,0)</f>
        <v>21047</v>
      </c>
      <c r="U2" s="1210">
        <f>ROUND('数据-基础表'!I13/2,2)</f>
        <v>487.7</v>
      </c>
      <c r="V2" s="3358">
        <f>ROUND(T2*U2/10000,0)</f>
        <v>1026</v>
      </c>
      <c r="W2" s="1213"/>
      <c r="X2" s="1213"/>
      <c r="Y2" s="1213"/>
      <c r="Z2" s="1213"/>
      <c r="AA2" s="1213"/>
      <c r="AB2" s="1213"/>
      <c r="AC2" s="1214"/>
      <c r="AD2" s="1215"/>
      <c r="AE2" s="1215"/>
      <c r="AF2" s="1215"/>
      <c r="AG2" s="1215"/>
      <c r="AH2" s="1215"/>
      <c r="AI2" s="1215"/>
      <c r="AJ2" s="1216"/>
    </row>
    <row r="3" spans="1:36" ht="15.75">
      <c r="A3" s="203" t="s">
        <v>1939</v>
      </c>
      <c r="B3" s="204" t="e">
        <f>ROUND(B2*10000/D1,0)</f>
        <v>#DIV/0!</v>
      </c>
      <c r="C3" s="1996" t="s">
        <v>1940</v>
      </c>
      <c r="D3" s="1997" t="s">
        <v>1941</v>
      </c>
      <c r="E3" s="3417" t="s">
        <v>2441</v>
      </c>
      <c r="F3" s="2001" t="s">
        <v>3452</v>
      </c>
      <c r="G3" s="750">
        <f>IF(F3="宗地容积率",'数据-汇总表'!I4,IF(F3="估价对象容积率",'数据-汇总表'!I6,'数据-汇总表'!I7))</f>
        <v>2.5</v>
      </c>
      <c r="H3" s="170" t="s">
        <v>1942</v>
      </c>
      <c r="I3" s="773">
        <v>1</v>
      </c>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1.1838</v>
      </c>
      <c r="T3" s="3358">
        <f t="shared" si="0"/>
        <v>16589</v>
      </c>
      <c r="U3" s="1210">
        <f>'数据-汇总表'!F19-基准地价修正!U2</f>
        <v>487.69</v>
      </c>
      <c r="V3" s="3358">
        <f t="shared" ref="V3:V16" si="1">ROUND(T3*U3/10000,0)</f>
        <v>809</v>
      </c>
      <c r="W3" s="1213"/>
      <c r="X3" s="1213"/>
      <c r="Y3" s="1213"/>
      <c r="Z3" s="1213"/>
      <c r="AA3" s="1213"/>
      <c r="AB3" s="1213"/>
      <c r="AC3" s="1214"/>
      <c r="AD3" s="1215"/>
      <c r="AE3" s="1215"/>
      <c r="AF3" s="1215"/>
      <c r="AG3" s="1215"/>
      <c r="AH3" s="1215"/>
      <c r="AI3" s="1215"/>
      <c r="AJ3" s="1216"/>
    </row>
    <row r="4" spans="1:36" ht="15.75">
      <c r="A4" s="3772"/>
      <c r="B4" s="3773"/>
      <c r="C4" s="3773"/>
      <c r="D4" s="3774"/>
      <c r="E4" s="3774"/>
      <c r="F4" s="3774"/>
      <c r="G4" s="3774"/>
      <c r="H4" s="3774"/>
      <c r="I4" s="3774"/>
      <c r="J4" s="3775"/>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1.0004999999999999</v>
      </c>
      <c r="T4" s="3358">
        <f t="shared" si="0"/>
        <v>14021</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15340</v>
      </c>
      <c r="D5" s="1336">
        <f>ROUND(C6*C17+C20,0)</f>
        <v>15340</v>
      </c>
      <c r="E5" s="1336"/>
      <c r="F5" s="2004"/>
      <c r="G5" s="2005"/>
      <c r="H5" s="2005"/>
      <c r="I5" s="2005"/>
      <c r="J5" s="2006"/>
      <c r="K5" s="2007"/>
      <c r="L5" s="2000" t="s">
        <v>1947</v>
      </c>
      <c r="M5" s="862">
        <f>SUMPRODUCT((区片价!B87:B126=I2)*(区片价!C3:G3=E2)*(区片价!C87:G126))</f>
        <v>15340</v>
      </c>
      <c r="N5" s="864">
        <f>SUMPRODUCT((因素修正幅度!B87:B126=I2)*(因素修正幅度!C3:G3=E2)*(因素修正幅度!C87:G126))</f>
        <v>0.1</v>
      </c>
      <c r="O5" s="1116"/>
      <c r="P5" s="1116"/>
      <c r="Q5" s="1116"/>
      <c r="R5" s="1209">
        <v>4</v>
      </c>
      <c r="S5" s="3358">
        <f>ROUND(SUMPRODUCT((B106:B110=R5)*(C105:N105=G2)*(C106:N110)),4)</f>
        <v>0.88239999999999996</v>
      </c>
      <c r="T5" s="3358">
        <f t="shared" si="0"/>
        <v>12366</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15340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0.84799999999999998</v>
      </c>
      <c r="T6" s="3358">
        <f t="shared" si="0"/>
        <v>11884</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3239</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1954</v>
      </c>
      <c r="X7" s="1211" t="str">
        <f>G2</f>
        <v>五级</v>
      </c>
      <c r="Y7" s="1211" t="s">
        <v>1955</v>
      </c>
      <c r="Z7" s="1212">
        <f>G3</f>
        <v>2.5</v>
      </c>
      <c r="AA7" s="1213"/>
      <c r="AB7" s="1213"/>
      <c r="AC7" s="1214"/>
      <c r="AD7" s="1215"/>
      <c r="AE7" s="1215"/>
      <c r="AF7" s="1215"/>
      <c r="AG7" s="1215"/>
      <c r="AH7" s="1215"/>
      <c r="AI7" s="1215"/>
      <c r="AJ7" s="1216"/>
    </row>
    <row r="8" spans="1:36" ht="25.5">
      <c r="A8" s="3296"/>
      <c r="B8" s="170" t="s">
        <v>1956</v>
      </c>
      <c r="C8" s="2023" t="s">
        <v>3445</v>
      </c>
      <c r="D8" s="754" t="s">
        <v>112</v>
      </c>
      <c r="E8" s="755" t="e">
        <f>ROUND(C11/E7,4)</f>
        <v>#DIV/0!</v>
      </c>
      <c r="F8" s="2024" t="s">
        <v>1957</v>
      </c>
      <c r="G8" s="2025"/>
      <c r="H8" s="2025"/>
      <c r="I8" s="2025"/>
      <c r="J8" s="2026"/>
      <c r="K8" s="1116"/>
      <c r="L8" s="2000" t="s">
        <v>1958</v>
      </c>
      <c r="M8" s="862">
        <f>SUMPRODUCT((区片价!B234:B276=I2)*(区片价!C3:G3=E2)*(区片价!C234:G276))</f>
        <v>0</v>
      </c>
      <c r="N8" s="864">
        <f>SUMPRODUCT((因素修正幅度!B234:B276=I2)*(因素修正幅度!C3:G3=E2)*(因素修正幅度!C234:G276))</f>
        <v>0</v>
      </c>
      <c r="O8" s="1116"/>
      <c r="P8" s="1116"/>
      <c r="Q8" s="1116"/>
      <c r="R8" s="1209">
        <v>7</v>
      </c>
      <c r="S8" s="1210"/>
      <c r="T8" s="3358">
        <f t="shared" si="0"/>
        <v>0</v>
      </c>
      <c r="U8" s="1210"/>
      <c r="V8" s="3358">
        <f t="shared" si="1"/>
        <v>0</v>
      </c>
      <c r="W8" s="3769" t="s">
        <v>1959</v>
      </c>
      <c r="X8" s="377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70" t="s">
        <v>1972</v>
      </c>
      <c r="C9" s="756">
        <f>SUMIF(修正!C71:C138,C8,修正!E71:E138)</f>
        <v>0</v>
      </c>
      <c r="D9" s="171" t="s">
        <v>113</v>
      </c>
      <c r="E9" s="171" t="e">
        <f>ROUND(C11/E7,4)</f>
        <v>#DIV/0!</v>
      </c>
      <c r="F9" s="2024" t="s">
        <v>1973</v>
      </c>
      <c r="G9" s="2025"/>
      <c r="H9" s="2025"/>
      <c r="I9" s="2025"/>
      <c r="J9" s="2026"/>
      <c r="K9" s="1116"/>
      <c r="L9" s="2000" t="s">
        <v>1974</v>
      </c>
      <c r="M9" s="862">
        <f>SUMPRODUCT((区片价!B277:B326=I2)*(区片价!C3:G3=E2)*(区片价!C277:G326))</f>
        <v>0</v>
      </c>
      <c r="N9" s="864">
        <f>SUMPRODUCT((因素修正幅度!B277:B326=I2)*(因素修正幅度!C3:G3=E2)*(因素修正幅度!C277:G326))</f>
        <v>0</v>
      </c>
      <c r="O9" s="1116"/>
      <c r="P9" s="1116"/>
      <c r="Q9" s="1116"/>
      <c r="R9" s="1209">
        <v>8</v>
      </c>
      <c r="S9" s="1210"/>
      <c r="T9" s="3358">
        <f t="shared" si="0"/>
        <v>0</v>
      </c>
      <c r="U9" s="1210"/>
      <c r="V9" s="3358">
        <f t="shared" si="1"/>
        <v>0</v>
      </c>
      <c r="W9" s="3771"/>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7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3244</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1984</v>
      </c>
      <c r="C14" s="2038" t="s">
        <v>1985</v>
      </c>
      <c r="D14" s="1347" t="s">
        <v>1986</v>
      </c>
      <c r="E14" s="27" t="s">
        <v>1987</v>
      </c>
      <c r="F14" s="3309" t="s">
        <v>3245</v>
      </c>
      <c r="G14" s="3309" t="s">
        <v>3245</v>
      </c>
      <c r="H14" s="3309" t="s">
        <v>3245</v>
      </c>
      <c r="I14" s="3309" t="s">
        <v>3245</v>
      </c>
      <c r="J14" s="3309" t="s">
        <v>3245</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3246</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3250</v>
      </c>
      <c r="E18" s="3326"/>
      <c r="F18" s="3321" t="s">
        <v>3253</v>
      </c>
      <c r="G18" s="3325">
        <f>ROUND(1-(1/(POWER(1+G24,E18))),4)</f>
        <v>0</v>
      </c>
      <c r="H18" s="3321" t="s">
        <v>3255</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3251</v>
      </c>
      <c r="E19" s="3335"/>
      <c r="F19" s="3336" t="s">
        <v>3254</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6" t="s">
        <v>3256</v>
      </c>
      <c r="B20" s="167" t="s">
        <v>1993</v>
      </c>
      <c r="C20" s="3322">
        <f>ROUND(IF(F21="与级别开发程度一致",0,(G21-E21)/C21),0)</f>
        <v>0</v>
      </c>
      <c r="D20" s="3338" t="s">
        <v>1997</v>
      </c>
      <c r="E20" s="3339"/>
      <c r="F20" s="3782" t="s">
        <v>1994</v>
      </c>
      <c r="G20" s="3783"/>
      <c r="H20" s="3323" t="s">
        <v>3385</v>
      </c>
      <c r="I20" s="3323" t="s">
        <v>3386</v>
      </c>
      <c r="J20" s="3324" t="s">
        <v>3387</v>
      </c>
      <c r="K20" s="2044" t="s">
        <v>3388</v>
      </c>
      <c r="L20" s="2044" t="s">
        <v>3389</v>
      </c>
      <c r="M20" s="2044" t="s">
        <v>3390</v>
      </c>
      <c r="N20" s="2044" t="s">
        <v>43</v>
      </c>
      <c r="O20" s="2045" t="s">
        <v>43</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7"/>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3454</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1999</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2001</v>
      </c>
      <c r="E23" s="759">
        <v>44197</v>
      </c>
      <c r="F23" s="2051" t="s">
        <v>2002</v>
      </c>
      <c r="G23" s="760">
        <f>'数据-取费表'!B2</f>
        <v>45303</v>
      </c>
      <c r="H23" s="3340" t="s">
        <v>3257</v>
      </c>
      <c r="I23" s="3341" t="str">
        <f>IF(H23="季度增幅（自定义）",SUMIF(N25:N28,E2,O25:O28),"")</f>
        <v/>
      </c>
      <c r="J23" s="3443" t="s">
        <v>3459</v>
      </c>
      <c r="K23" s="1122"/>
      <c r="L23" s="2052" t="s">
        <v>2003</v>
      </c>
      <c r="M23" s="1325">
        <f>ROUND(SUMIF(地价!B2:G2,E2,地价!B16:G16),0)</f>
        <v>350</v>
      </c>
      <c r="N23" s="2053" t="s">
        <v>2004</v>
      </c>
      <c r="O23" s="761">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2">
        <f>ROUND(POWER(1+G24,J24-I24)*(POWER(1+G24,I24)-1)/(POWER(1+G24,J24)-1),4)</f>
        <v>0.83599999999999997</v>
      </c>
      <c r="D24" s="2057" t="s">
        <v>2006</v>
      </c>
      <c r="E24" s="1332">
        <f>存贷款利率!E24/100</f>
        <v>4.3499999999999997E-2</v>
      </c>
      <c r="F24" s="2057" t="s">
        <v>1998</v>
      </c>
      <c r="G24" s="766">
        <f>SUMIF(M30:Q30,E2,M33:Q33)</f>
        <v>5.5E-2</v>
      </c>
      <c r="H24" s="2057" t="s">
        <v>2007</v>
      </c>
      <c r="I24" s="767">
        <f>SUMIF('数据-取费表'!C6:C15,E2,'数据-取费表'!F6:F15)/COUNTIF('数据-取费表'!C6:C15,E2)</f>
        <v>25</v>
      </c>
      <c r="J24" s="768">
        <f>IF(E2="住宅",70,IF(E2="商业",40,50))</f>
        <v>40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3458</v>
      </c>
      <c r="C25" s="769">
        <f>IF(B25="容积率修正",IF(G3&lt;10,D26,J26),C27)</f>
        <v>1.5019</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2" t="s">
        <v>3258</v>
      </c>
      <c r="D26" s="1349">
        <f>IF(E26=G26,F26,IF(G3&lt;10,ROUND(F26+(H26-F26)*(G3-E26)/(G26-E26),4),"——"))</f>
        <v>1</v>
      </c>
      <c r="E26" s="750">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3259</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9">
        <f>ROUND(IF(I3&lt;6,SUMPRODUCT((B106:B110=I3)*(C105:N105=G2)*(C106:N110)),SUMIF(C105:N105,G2,C112:N112)),4)</f>
        <v>1.5019</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8">
        <f>SUMIF(A47:A101,E2,B47:B101)</f>
        <v>1.046</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1835</v>
      </c>
      <c r="D30" s="2080"/>
      <c r="E30" s="2043"/>
      <c r="F30" s="2081"/>
      <c r="G30" s="2043"/>
      <c r="H30" s="2043"/>
      <c r="I30" s="2043"/>
      <c r="J30" s="2082"/>
      <c r="K30" s="1116"/>
      <c r="L30" s="3348" t="s">
        <v>1935</v>
      </c>
      <c r="M30" s="3349" t="s">
        <v>1989</v>
      </c>
      <c r="N30" s="3349" t="s">
        <v>1990</v>
      </c>
      <c r="O30" s="3349" t="s">
        <v>1991</v>
      </c>
      <c r="P30" s="3349" t="s">
        <v>1992</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4">
        <f>E34+SUM(I37:I42)</f>
        <v>0</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21047</v>
      </c>
      <c r="D33" s="2095"/>
      <c r="E33" s="771">
        <f>ROUND(C33*D33/10000,0)</f>
        <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t="e">
        <f>ROUND(IF(E2="工业",C33*M42,IF(B25="楼层修正",SUM(V2:V16)*M41*10000/D34,C33*M41)),0)</f>
        <v>#DIV/0!</v>
      </c>
      <c r="D34" s="2100"/>
      <c r="E34" s="771">
        <f>ROUND(IF(B25="楼层修正",SUM(V2:V16)*M40,C34*D34/10000),0)</f>
        <v>0</v>
      </c>
      <c r="F34" s="2101" t="s">
        <v>2031</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3262</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80"/>
      <c r="B37" s="2110" t="s">
        <v>2035</v>
      </c>
      <c r="C37" s="175">
        <f>ROUND(D5*C22*C23*C24*C28*F37,0)</f>
        <v>8408</v>
      </c>
      <c r="D37" s="2095"/>
      <c r="E37" s="171">
        <f>ROUND(C37*D37/10000,0)</f>
        <v>0</v>
      </c>
      <c r="F37" s="171">
        <f>SUMIF(修正!A57:A68,G2,修正!B57:B68)</f>
        <v>0.6</v>
      </c>
      <c r="G37" s="171">
        <f>ROUND(IF(E2="工业",C37*$M$42,C37*$M$41),0)</f>
        <v>2102</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81"/>
      <c r="B38" s="2038" t="s">
        <v>2036</v>
      </c>
      <c r="C38" s="175">
        <f>ROUND(D5*C22*C23*C24*C28*F38,0)</f>
        <v>4204</v>
      </c>
      <c r="D38" s="2095"/>
      <c r="E38" s="171">
        <f t="shared" ref="E38:E42" si="4">ROUND(C38*D38/10000,0)</f>
        <v>0</v>
      </c>
      <c r="F38" s="171">
        <f>SUMIF(修正!A57:A68,G2,修正!C57:C68)</f>
        <v>0.3</v>
      </c>
      <c r="G38" s="171">
        <f>ROUND(IF(E2="工业",C38*$M$42,C38*$M$41),0)</f>
        <v>1051</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81"/>
      <c r="B39" s="2038" t="s">
        <v>3260</v>
      </c>
      <c r="C39" s="175">
        <f>ROUND(D5*C22*C23*C24*C28*F39,0)</f>
        <v>3503</v>
      </c>
      <c r="D39" s="2095"/>
      <c r="E39" s="171">
        <f t="shared" si="4"/>
        <v>0</v>
      </c>
      <c r="F39" s="171">
        <f>SUMIF(修正!A57:A68,G2,修正!D57:D68)</f>
        <v>0.25</v>
      </c>
      <c r="G39" s="171">
        <f>ROUND(IF(E2="工业",C39*$M$42,C39*$M$41),0)</f>
        <v>876</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3503</v>
      </c>
      <c r="D40" s="2095"/>
      <c r="E40" s="171">
        <f t="shared" si="4"/>
        <v>0</v>
      </c>
      <c r="F40" s="175">
        <f>SUMIF(修正!A57:A68,G2,修正!E57:E68)</f>
        <v>0.25</v>
      </c>
      <c r="G40" s="171">
        <f>ROUND(IF(E2="工业",C40*$M$42,C40*$M$41),0)</f>
        <v>876</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5">
        <f>SUMIF(修正!A57:A68,G2,修正!G57:G68)</f>
        <v>0.15</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1.046</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1"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估价对象位于XX商圈，周边商业氛围成熟，人流量大，商业繁华度好</v>
      </c>
      <c r="C50" s="2041" t="s">
        <v>3427</v>
      </c>
      <c r="D50" s="1062">
        <f t="shared" ref="D50:D58" si="7">SUMIF($J$49:$N$49,C50,J50:N50)</f>
        <v>1.4999999999999999E-2</v>
      </c>
      <c r="E50" s="742">
        <f>ROUND(SUM(D50:D58),4)</f>
        <v>4.5999999999999999E-2</v>
      </c>
      <c r="F50" s="1811">
        <f>IF(E2="商业",SUMIF(L1:L12,G2,N1:N12),"——")</f>
        <v>0.1</v>
      </c>
      <c r="G50" s="1060">
        <v>1.4999999999999999E-2</v>
      </c>
      <c r="H50" s="1063">
        <f t="shared" ref="H50:H58" si="8">IFERROR(ROUNDDOWN($F$50*I50/2,4),"——")</f>
        <v>1.4999999999999999E-2</v>
      </c>
      <c r="I50" s="3364">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估价对象周边道路状况、公共交通通达情况、停车便捷程度，综合评价交通便捷度较好</v>
      </c>
      <c r="C51" s="2041" t="s">
        <v>3427</v>
      </c>
      <c r="D51" s="1062">
        <f t="shared" si="7"/>
        <v>1.0999999999999999E-2</v>
      </c>
      <c r="E51" s="743"/>
      <c r="F51" s="1811"/>
      <c r="G51" s="1060">
        <v>1.0999999999999999E-2</v>
      </c>
      <c r="H51" s="1063">
        <f t="shared" si="8"/>
        <v>1.0999999999999999E-2</v>
      </c>
      <c r="I51" s="3364">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3427</v>
      </c>
      <c r="D52" s="1062">
        <f t="shared" si="7"/>
        <v>6.0000000000000001E-3</v>
      </c>
      <c r="E52" s="743"/>
      <c r="F52" s="1811"/>
      <c r="G52" s="1060">
        <v>6.0000000000000001E-3</v>
      </c>
      <c r="H52" s="1063">
        <f t="shared" si="8"/>
        <v>6.0000000000000001E-3</v>
      </c>
      <c r="I52" s="3364">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2053</v>
      </c>
      <c r="B53" s="2132" t="s">
        <v>2054</v>
      </c>
      <c r="C53" s="2041" t="s">
        <v>3427</v>
      </c>
      <c r="D53" s="1062">
        <f t="shared" si="7"/>
        <v>2.5000000000000001E-3</v>
      </c>
      <c r="E53" s="743"/>
      <c r="F53" s="1811"/>
      <c r="G53" s="1060">
        <v>2.5000000000000001E-3</v>
      </c>
      <c r="H53" s="1063">
        <f t="shared" si="8"/>
        <v>2.5000000000000001E-3</v>
      </c>
      <c r="I53" s="3364">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3441</v>
      </c>
      <c r="D54" s="1062">
        <f t="shared" si="7"/>
        <v>-4.0000000000000001E-3</v>
      </c>
      <c r="E54" s="743"/>
      <c r="F54" s="1811"/>
      <c r="G54" s="1060">
        <v>4.0000000000000001E-3</v>
      </c>
      <c r="H54" s="1063">
        <f t="shared" si="8"/>
        <v>4.0000000000000001E-3</v>
      </c>
      <c r="I54" s="3364">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2056</v>
      </c>
      <c r="B55" s="2133" t="s">
        <v>2057</v>
      </c>
      <c r="C55" s="2041" t="s">
        <v>3427</v>
      </c>
      <c r="D55" s="1062">
        <f t="shared" si="7"/>
        <v>2.5000000000000001E-3</v>
      </c>
      <c r="E55" s="743"/>
      <c r="F55" s="1811"/>
      <c r="G55" s="1060">
        <v>2.5000000000000001E-3</v>
      </c>
      <c r="H55" s="1063">
        <f t="shared" si="8"/>
        <v>2.5000000000000001E-3</v>
      </c>
      <c r="I55" s="3364">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2058</v>
      </c>
      <c r="B56" s="1323" t="str">
        <f>估价对象房地状况!C21</f>
        <v>估价对象所在区域公共配套设施齐备情况</v>
      </c>
      <c r="C56" s="2041" t="s">
        <v>3427</v>
      </c>
      <c r="D56" s="1062">
        <f t="shared" si="7"/>
        <v>2.5000000000000001E-3</v>
      </c>
      <c r="E56" s="743"/>
      <c r="F56" s="1811"/>
      <c r="G56" s="1060">
        <v>2.5000000000000001E-3</v>
      </c>
      <c r="H56" s="1063">
        <f t="shared" si="8"/>
        <v>2.5000000000000001E-3</v>
      </c>
      <c r="I56" s="3364">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估价对象所在区域基础设施水平</v>
      </c>
      <c r="C57" s="2041" t="s">
        <v>3433</v>
      </c>
      <c r="D57" s="1062">
        <f t="shared" si="7"/>
        <v>8.0000000000000002E-3</v>
      </c>
      <c r="E57" s="743"/>
      <c r="F57" s="1811"/>
      <c r="G57" s="1060">
        <v>4.0000000000000001E-3</v>
      </c>
      <c r="H57" s="1063">
        <f t="shared" si="8"/>
        <v>4.0000000000000001E-3</v>
      </c>
      <c r="I57" s="3364">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区域自然环境：；人文环境；综合评价环境状况一般</v>
      </c>
      <c r="C58" s="2041" t="s">
        <v>3427</v>
      </c>
      <c r="D58" s="1062">
        <f t="shared" si="7"/>
        <v>2.5000000000000001E-3</v>
      </c>
      <c r="E58" s="744"/>
      <c r="F58" s="1811"/>
      <c r="G58" s="1060">
        <v>2.5000000000000001E-3</v>
      </c>
      <c r="H58" s="1063">
        <f t="shared" si="8"/>
        <v>2.5000000000000001E-3</v>
      </c>
      <c r="I58" s="3365">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1"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38.25">
      <c r="A61" s="2127" t="s">
        <v>2063</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2052</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2058</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2059</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2060</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1"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估价对象所在区域公共配套设施齐备情况</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估价对象所在区域基础设施水平</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区域自然环境：；人文环境；综合评价环境状况一般</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1.0115000000000001</v>
      </c>
      <c r="C81" s="739"/>
      <c r="D81" s="739"/>
      <c r="E81" s="740"/>
      <c r="F81" s="2126"/>
      <c r="G81" s="3"/>
      <c r="H81" s="3"/>
      <c r="I81" s="3"/>
      <c r="J81" s="4"/>
      <c r="K81" s="4"/>
      <c r="L81" s="4"/>
      <c r="M81" s="4"/>
      <c r="N81" s="4"/>
      <c r="Z81" s="1995"/>
      <c r="AA81" s="2050"/>
      <c r="AG81" s="1118"/>
      <c r="AK81" s="2050"/>
    </row>
    <row r="82" spans="1:37" ht="24.75">
      <c r="A82" s="2127" t="s">
        <v>2043</v>
      </c>
      <c r="B82" s="1348"/>
      <c r="C82" s="1348" t="s">
        <v>2045</v>
      </c>
      <c r="D82" s="1348" t="s">
        <v>2046</v>
      </c>
      <c r="E82" s="741"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t="s">
        <v>3440</v>
      </c>
      <c r="D83" s="1062">
        <f t="shared" ref="D83:D90" si="22">SUMIF($J$82:$N$82,C83,J83:N83)</f>
        <v>0</v>
      </c>
      <c r="E83" s="742">
        <f>ROUND(SUM(D83:D90),4)</f>
        <v>1.15E-2</v>
      </c>
      <c r="F83" s="1811" t="str">
        <f>IF(E2="工业",SUMIF(L1:L12,G2,N1:N12),"——")</f>
        <v>——</v>
      </c>
      <c r="G83" s="1060">
        <v>6.4999999999999997E-3</v>
      </c>
      <c r="H83" s="1063" t="str">
        <f t="shared" ref="H83:H90" si="23">IFERROR(ROUNDDOWN($F$83*I83/2,4),"——")</f>
        <v>——</v>
      </c>
      <c r="I83" s="3364">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t="s">
        <v>3440</v>
      </c>
      <c r="D84" s="1062">
        <f t="shared" si="22"/>
        <v>0</v>
      </c>
      <c r="E84" s="745"/>
      <c r="F84" s="1811"/>
      <c r="G84" s="1060">
        <v>7.4999999999999997E-3</v>
      </c>
      <c r="H84" s="1063" t="str">
        <f t="shared" si="23"/>
        <v>——</v>
      </c>
      <c r="I84" s="3364">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6" t="s">
        <v>3271</v>
      </c>
      <c r="B85" s="2131">
        <f>估价对象房地状况!G17</f>
        <v>0</v>
      </c>
      <c r="C85" s="2041" t="s">
        <v>3427</v>
      </c>
      <c r="D85" s="1062">
        <f t="shared" si="22"/>
        <v>2.5000000000000001E-3</v>
      </c>
      <c r="E85" s="745"/>
      <c r="F85" s="1811"/>
      <c r="G85" s="1060">
        <v>2.5000000000000001E-3</v>
      </c>
      <c r="H85" s="1063" t="str">
        <f t="shared" si="23"/>
        <v>——</v>
      </c>
      <c r="I85" s="3364">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2066</v>
      </c>
      <c r="B86" s="2131">
        <f>估价对象房地状况!G22</f>
        <v>0</v>
      </c>
      <c r="C86" s="2041" t="s">
        <v>3441</v>
      </c>
      <c r="D86" s="1062">
        <f t="shared" si="22"/>
        <v>-1.1999999999999999E-3</v>
      </c>
      <c r="E86" s="745"/>
      <c r="F86" s="1811"/>
      <c r="G86" s="1060">
        <v>1.1999999999999999E-3</v>
      </c>
      <c r="H86" s="1063" t="str">
        <f t="shared" si="23"/>
        <v>——</v>
      </c>
      <c r="I86" s="3364">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2058</v>
      </c>
      <c r="B87" s="1323" t="str">
        <f>估价对象房地状况!G19</f>
        <v>估价对象所在区域公共配套设施齐备情况</v>
      </c>
      <c r="C87" s="2041" t="s">
        <v>3427</v>
      </c>
      <c r="D87" s="1062">
        <f t="shared" si="22"/>
        <v>1.5E-3</v>
      </c>
      <c r="E87" s="745"/>
      <c r="F87" s="1811"/>
      <c r="G87" s="1060">
        <v>1.5E-3</v>
      </c>
      <c r="H87" s="1063" t="str">
        <f t="shared" si="23"/>
        <v>——</v>
      </c>
      <c r="I87" s="3364">
        <v>0.06</v>
      </c>
      <c r="J87" s="1061">
        <f t="shared" si="24"/>
        <v>3.0000000000000001E-3</v>
      </c>
      <c r="K87" s="1061">
        <f t="shared" si="25"/>
        <v>1.5E-3</v>
      </c>
      <c r="L87" s="1061">
        <v>0</v>
      </c>
      <c r="M87" s="1061">
        <f t="shared" si="26"/>
        <v>-1.5E-3</v>
      </c>
      <c r="N87" s="1061">
        <f t="shared" si="26"/>
        <v>-3.0000000000000001E-3</v>
      </c>
    </row>
    <row r="88" spans="1:37" ht="25.5">
      <c r="A88" s="2127" t="s">
        <v>2059</v>
      </c>
      <c r="B88" s="1323" t="str">
        <f>估价对象房地状况!G20</f>
        <v>估价对象所在区域基础设施水平</v>
      </c>
      <c r="C88" s="2041" t="s">
        <v>3433</v>
      </c>
      <c r="D88" s="1062">
        <f t="shared" si="22"/>
        <v>6.0000000000000001E-3</v>
      </c>
      <c r="E88" s="745"/>
      <c r="F88" s="1811"/>
      <c r="G88" s="1060">
        <v>3.0000000000000001E-3</v>
      </c>
      <c r="H88" s="1063" t="str">
        <f t="shared" si="23"/>
        <v>——</v>
      </c>
      <c r="I88" s="3364">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2056</v>
      </c>
      <c r="B89" s="2133" t="s">
        <v>2070</v>
      </c>
      <c r="C89" s="2041" t="s">
        <v>3427</v>
      </c>
      <c r="D89" s="1062">
        <f t="shared" si="22"/>
        <v>1.5E-3</v>
      </c>
      <c r="E89" s="745"/>
      <c r="F89" s="1811"/>
      <c r="G89" s="1060">
        <v>1.5E-3</v>
      </c>
      <c r="H89" s="1063" t="str">
        <f t="shared" si="23"/>
        <v>——</v>
      </c>
      <c r="I89" s="3364">
        <v>0.06</v>
      </c>
      <c r="J89" s="1061">
        <f t="shared" si="24"/>
        <v>3.0000000000000001E-3</v>
      </c>
      <c r="K89" s="1061">
        <f t="shared" si="25"/>
        <v>1.5E-3</v>
      </c>
      <c r="L89" s="1061">
        <v>0</v>
      </c>
      <c r="M89" s="1061">
        <f t="shared" si="26"/>
        <v>-1.5E-3</v>
      </c>
      <c r="N89" s="1061">
        <f t="shared" si="26"/>
        <v>-3.0000000000000001E-3</v>
      </c>
    </row>
    <row r="90" spans="1:37" ht="39" thickBot="1">
      <c r="A90" s="2135" t="s">
        <v>2071</v>
      </c>
      <c r="B90" s="2140" t="str">
        <f>估价对象房地状况!G18</f>
        <v>该园区内是否有污染型企业，绿化情况，卫生条件，整体环境状况判断</v>
      </c>
      <c r="C90" s="2041" t="s">
        <v>3427</v>
      </c>
      <c r="D90" s="1062">
        <f t="shared" si="22"/>
        <v>1.1999999999999999E-3</v>
      </c>
      <c r="E90" s="746"/>
      <c r="F90" s="1811"/>
      <c r="G90" s="1060">
        <v>1.1999999999999999E-3</v>
      </c>
      <c r="H90" s="1063" t="str">
        <f t="shared" si="23"/>
        <v>——</v>
      </c>
      <c r="I90" s="3365">
        <v>0.05</v>
      </c>
      <c r="J90" s="1061">
        <f t="shared" si="24"/>
        <v>2.3999999999999998E-3</v>
      </c>
      <c r="K90" s="1061">
        <f t="shared" si="25"/>
        <v>1.1999999999999999E-3</v>
      </c>
      <c r="L90" s="1061">
        <v>0</v>
      </c>
      <c r="M90" s="1061">
        <f t="shared" si="26"/>
        <v>-1.1999999999999999E-3</v>
      </c>
      <c r="N90" s="1061">
        <f t="shared" si="26"/>
        <v>-2.3999999999999998E-3</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8" t="s">
        <v>3295</v>
      </c>
      <c r="B103" s="3778"/>
      <c r="C103" s="3778"/>
      <c r="D103" s="3778"/>
      <c r="E103" s="3778"/>
      <c r="F103" s="3778"/>
      <c r="G103" s="3778"/>
      <c r="H103" s="3778"/>
      <c r="I103" s="3778"/>
      <c r="J103" s="3778"/>
      <c r="K103" s="3387"/>
      <c r="L103" s="3387"/>
      <c r="M103" s="3387"/>
      <c r="N103" s="3387"/>
    </row>
    <row r="104" spans="1:14">
      <c r="A104" s="3779" t="s">
        <v>3296</v>
      </c>
      <c r="B104" s="3779" t="s">
        <v>3297</v>
      </c>
      <c r="C104" s="3388" t="s">
        <v>3298</v>
      </c>
      <c r="D104" s="3389"/>
      <c r="E104" s="3389"/>
      <c r="F104" s="3389"/>
      <c r="G104" s="3389"/>
      <c r="H104" s="3389"/>
      <c r="I104" s="3389"/>
      <c r="J104" s="3390"/>
      <c r="K104" s="3391"/>
      <c r="L104" s="3391"/>
      <c r="M104" s="3391"/>
      <c r="N104" s="3391"/>
    </row>
    <row r="105" spans="1:14">
      <c r="A105" s="3779"/>
      <c r="B105" s="3779"/>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5"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6"/>
      <c r="B111" s="3392" t="s">
        <v>3269</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7"/>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8" t="s">
        <v>3312</v>
      </c>
      <c r="B113" s="3768"/>
      <c r="C113" s="3768"/>
      <c r="D113" s="3768"/>
      <c r="E113" s="3768"/>
      <c r="F113" s="3768"/>
      <c r="G113" s="3768"/>
      <c r="H113" s="3768"/>
      <c r="I113" s="3768"/>
      <c r="J113" s="376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2.5</v>
      </c>
      <c r="C116" s="3397" t="s">
        <v>3314</v>
      </c>
      <c r="D116" s="3398">
        <f>SUMPRODUCT((A118:A122=F116)*(B117:M117=H116)*B118:M122)</f>
        <v>0.91400000000000003</v>
      </c>
      <c r="E116" s="1997" t="s">
        <v>3315</v>
      </c>
      <c r="F116" s="3399" t="str">
        <f>E2</f>
        <v>商业</v>
      </c>
      <c r="G116" s="1997" t="s">
        <v>3316</v>
      </c>
      <c r="H116" s="3399" t="str">
        <f>G2</f>
        <v>五级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3330</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3331</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3332</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2614</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93" t="s">
        <v>2609</v>
      </c>
      <c r="B20" s="3788" t="s">
        <v>2630</v>
      </c>
      <c r="C20" s="3100" t="s">
        <v>2441</v>
      </c>
      <c r="D20" s="3101"/>
      <c r="E20" s="3102">
        <v>1</v>
      </c>
      <c r="F20" s="3103" t="s">
        <v>2442</v>
      </c>
      <c r="G20" s="3103"/>
    </row>
    <row r="21" spans="1:13" ht="19.5" customHeight="1">
      <c r="A21" s="3794"/>
      <c r="B21" s="3787"/>
      <c r="C21" s="3104" t="s">
        <v>2443</v>
      </c>
      <c r="D21" s="3105"/>
      <c r="E21" s="3106">
        <v>1</v>
      </c>
      <c r="F21" s="3103" t="s">
        <v>2444</v>
      </c>
      <c r="G21" s="3103"/>
    </row>
    <row r="22" spans="1:13" ht="19.5" customHeight="1">
      <c r="A22" s="3794"/>
      <c r="B22" s="3787"/>
      <c r="C22" s="3104" t="s">
        <v>2445</v>
      </c>
      <c r="D22" s="3105"/>
      <c r="E22" s="3106">
        <v>0.9</v>
      </c>
      <c r="F22" s="3103" t="s">
        <v>2446</v>
      </c>
      <c r="G22" s="3103"/>
    </row>
    <row r="23" spans="1:13" ht="19.5" customHeight="1">
      <c r="A23" s="3794"/>
      <c r="B23" s="3787"/>
      <c r="C23" s="3104" t="s">
        <v>2447</v>
      </c>
      <c r="D23" s="3105"/>
      <c r="E23" s="3106">
        <v>0.9</v>
      </c>
      <c r="F23" s="3103" t="s">
        <v>2448</v>
      </c>
      <c r="G23" s="3103"/>
    </row>
    <row r="24" spans="1:13" ht="19.5" customHeight="1">
      <c r="A24" s="3794"/>
      <c r="B24" s="3787"/>
      <c r="C24" s="3104" t="s">
        <v>2449</v>
      </c>
      <c r="D24" s="3105"/>
      <c r="E24" s="3106">
        <v>0.8</v>
      </c>
      <c r="F24" s="3103" t="s">
        <v>2450</v>
      </c>
      <c r="G24" s="3103"/>
    </row>
    <row r="25" spans="1:13" ht="19.5" customHeight="1" thickBot="1">
      <c r="A25" s="3795"/>
      <c r="B25" s="3789"/>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90" t="s">
        <v>2633</v>
      </c>
      <c r="B27" s="3788" t="s">
        <v>2614</v>
      </c>
      <c r="C27" s="3100" t="s">
        <v>2454</v>
      </c>
      <c r="D27" s="3101"/>
      <c r="E27" s="3102">
        <v>1</v>
      </c>
      <c r="F27" s="3103" t="s">
        <v>2455</v>
      </c>
      <c r="G27" s="3103"/>
    </row>
    <row r="28" spans="1:13" ht="19.5" customHeight="1">
      <c r="A28" s="3791"/>
      <c r="B28" s="3787"/>
      <c r="C28" s="3104" t="s">
        <v>2456</v>
      </c>
      <c r="D28" s="3105"/>
      <c r="E28" s="3106">
        <v>1</v>
      </c>
      <c r="F28" s="3103" t="s">
        <v>2457</v>
      </c>
      <c r="G28" s="3103"/>
    </row>
    <row r="29" spans="1:13" ht="19.5" customHeight="1">
      <c r="A29" s="3791"/>
      <c r="B29" s="3787"/>
      <c r="C29" s="3104" t="s">
        <v>2458</v>
      </c>
      <c r="D29" s="3105"/>
      <c r="E29" s="3106">
        <v>0.8</v>
      </c>
      <c r="F29" s="3103" t="s">
        <v>2459</v>
      </c>
      <c r="G29" s="3103"/>
    </row>
    <row r="30" spans="1:13" ht="19.5" customHeight="1">
      <c r="A30" s="3791"/>
      <c r="B30" s="3787"/>
      <c r="C30" s="3104" t="s">
        <v>2460</v>
      </c>
      <c r="D30" s="3105"/>
      <c r="E30" s="3106">
        <v>0.8</v>
      </c>
      <c r="F30" s="3103" t="s">
        <v>2461</v>
      </c>
      <c r="G30" s="3103"/>
    </row>
    <row r="31" spans="1:13" ht="19.5" customHeight="1">
      <c r="A31" s="3791"/>
      <c r="B31" s="3787"/>
      <c r="C31" s="3104" t="s">
        <v>2462</v>
      </c>
      <c r="D31" s="3105"/>
      <c r="E31" s="3106">
        <v>0.8</v>
      </c>
      <c r="F31" s="3103" t="s">
        <v>2463</v>
      </c>
      <c r="G31" s="3103"/>
    </row>
    <row r="32" spans="1:13" ht="19.5" customHeight="1">
      <c r="A32" s="3791"/>
      <c r="B32" s="3787"/>
      <c r="C32" s="3104" t="s">
        <v>2464</v>
      </c>
      <c r="D32" s="3105"/>
      <c r="E32" s="3106">
        <v>0.7</v>
      </c>
      <c r="F32" s="3103" t="s">
        <v>2465</v>
      </c>
      <c r="G32" s="3103"/>
    </row>
    <row r="33" spans="1:7" ht="19.5" customHeight="1">
      <c r="A33" s="3791"/>
      <c r="B33" s="3787"/>
      <c r="C33" s="3104" t="s">
        <v>2466</v>
      </c>
      <c r="D33" s="3105"/>
      <c r="E33" s="3106">
        <v>0.8</v>
      </c>
      <c r="F33" s="3103" t="s">
        <v>2467</v>
      </c>
      <c r="G33" s="3103"/>
    </row>
    <row r="34" spans="1:7" ht="19.5" customHeight="1">
      <c r="A34" s="3791"/>
      <c r="B34" s="3787"/>
      <c r="C34" s="3104" t="s">
        <v>2468</v>
      </c>
      <c r="D34" s="3105"/>
      <c r="E34" s="3106">
        <v>0.6</v>
      </c>
      <c r="F34" s="3103" t="s">
        <v>2469</v>
      </c>
      <c r="G34" s="3103"/>
    </row>
    <row r="35" spans="1:7" ht="19.5" customHeight="1">
      <c r="A35" s="3791"/>
      <c r="B35" s="3787"/>
      <c r="C35" s="3104" t="s">
        <v>2470</v>
      </c>
      <c r="D35" s="3105"/>
      <c r="E35" s="3106">
        <v>0.2</v>
      </c>
      <c r="F35" s="3103" t="s">
        <v>2471</v>
      </c>
      <c r="G35" s="3103"/>
    </row>
    <row r="36" spans="1:7" ht="19.5" customHeight="1">
      <c r="A36" s="3791"/>
      <c r="B36" s="3787"/>
      <c r="C36" s="3104" t="s">
        <v>2472</v>
      </c>
      <c r="D36" s="3105"/>
      <c r="E36" s="3106">
        <v>0.2</v>
      </c>
      <c r="F36" s="3103" t="s">
        <v>2473</v>
      </c>
      <c r="G36" s="3103"/>
    </row>
    <row r="37" spans="1:7" ht="19.5" customHeight="1">
      <c r="A37" s="3791"/>
      <c r="B37" s="3785" t="s">
        <v>2634</v>
      </c>
      <c r="C37" s="3104" t="s">
        <v>2474</v>
      </c>
      <c r="D37" s="3105"/>
      <c r="E37" s="3106">
        <v>0.6</v>
      </c>
      <c r="F37" s="3103" t="s">
        <v>2475</v>
      </c>
      <c r="G37" s="3103"/>
    </row>
    <row r="38" spans="1:7" ht="19.5" customHeight="1">
      <c r="A38" s="3791"/>
      <c r="B38" s="3787"/>
      <c r="C38" s="3104" t="s">
        <v>2476</v>
      </c>
      <c r="D38" s="3105"/>
      <c r="E38" s="3106">
        <v>0.6</v>
      </c>
      <c r="F38" s="3103" t="s">
        <v>2477</v>
      </c>
      <c r="G38" s="3103"/>
    </row>
    <row r="39" spans="1:7" ht="19.5" customHeight="1" thickBot="1">
      <c r="A39" s="3792"/>
      <c r="B39" s="3789"/>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93" t="s">
        <v>2612</v>
      </c>
      <c r="B41" s="3788" t="s">
        <v>2636</v>
      </c>
      <c r="C41" s="3100" t="s">
        <v>2481</v>
      </c>
      <c r="D41" s="3101"/>
      <c r="E41" s="3102">
        <v>1</v>
      </c>
      <c r="F41" s="3103" t="s">
        <v>2482</v>
      </c>
      <c r="G41" s="3103"/>
    </row>
    <row r="42" spans="1:7" ht="19.5" customHeight="1">
      <c r="A42" s="3794"/>
      <c r="B42" s="3787"/>
      <c r="C42" s="3104" t="s">
        <v>2483</v>
      </c>
      <c r="D42" s="3105"/>
      <c r="E42" s="3106">
        <v>1</v>
      </c>
      <c r="F42" s="3103" t="s">
        <v>2484</v>
      </c>
      <c r="G42" s="3103"/>
    </row>
    <row r="43" spans="1:7" ht="19.5" customHeight="1">
      <c r="A43" s="3794"/>
      <c r="B43" s="3786"/>
      <c r="C43" s="3104" t="s">
        <v>2485</v>
      </c>
      <c r="D43" s="3105"/>
      <c r="E43" s="3106">
        <v>1.5</v>
      </c>
      <c r="F43" s="3103" t="s">
        <v>2486</v>
      </c>
      <c r="G43" s="3103"/>
    </row>
    <row r="44" spans="1:7" ht="19.5" customHeight="1">
      <c r="A44" s="3794"/>
      <c r="B44" s="3115" t="s">
        <v>2637</v>
      </c>
      <c r="C44" s="3104" t="s">
        <v>2638</v>
      </c>
      <c r="D44" s="3105"/>
      <c r="E44" s="3106">
        <v>2</v>
      </c>
      <c r="F44" s="3103" t="s">
        <v>2487</v>
      </c>
      <c r="G44" s="3103"/>
    </row>
    <row r="45" spans="1:7" ht="19.5" customHeight="1">
      <c r="A45" s="3794"/>
      <c r="B45" s="3785" t="s">
        <v>2639</v>
      </c>
      <c r="C45" s="3104" t="s">
        <v>2488</v>
      </c>
      <c r="D45" s="3105"/>
      <c r="E45" s="3106">
        <v>1</v>
      </c>
      <c r="F45" s="3103" t="s">
        <v>2489</v>
      </c>
      <c r="G45" s="3103"/>
    </row>
    <row r="46" spans="1:7" ht="19.5" customHeight="1">
      <c r="A46" s="3794"/>
      <c r="B46" s="3787"/>
      <c r="C46" s="3104" t="s">
        <v>2490</v>
      </c>
      <c r="D46" s="3105"/>
      <c r="E46" s="3106">
        <v>1</v>
      </c>
      <c r="F46" s="3103" t="s">
        <v>2491</v>
      </c>
      <c r="G46" s="3103"/>
    </row>
    <row r="47" spans="1:7" ht="19.5" customHeight="1">
      <c r="A47" s="3794"/>
      <c r="B47" s="3787"/>
      <c r="C47" s="3104" t="s">
        <v>2492</v>
      </c>
      <c r="D47" s="3105"/>
      <c r="E47" s="3106">
        <v>1</v>
      </c>
      <c r="F47" s="3103" t="s">
        <v>2493</v>
      </c>
      <c r="G47" s="3103"/>
    </row>
    <row r="48" spans="1:7" ht="19.5" customHeight="1">
      <c r="A48" s="3794"/>
      <c r="B48" s="3787"/>
      <c r="C48" s="3104" t="s">
        <v>2494</v>
      </c>
      <c r="D48" s="3105"/>
      <c r="E48" s="3106">
        <v>1</v>
      </c>
      <c r="F48" s="3103" t="s">
        <v>2495</v>
      </c>
      <c r="G48" s="3103"/>
    </row>
    <row r="49" spans="1:7" ht="19.5" customHeight="1">
      <c r="A49" s="3794"/>
      <c r="B49" s="3787"/>
      <c r="C49" s="3104" t="s">
        <v>2496</v>
      </c>
      <c r="D49" s="3105"/>
      <c r="E49" s="3106">
        <v>1</v>
      </c>
      <c r="F49" s="3103" t="s">
        <v>2497</v>
      </c>
      <c r="G49" s="3103"/>
    </row>
    <row r="50" spans="1:7" ht="19.5" customHeight="1">
      <c r="A50" s="3794"/>
      <c r="B50" s="3787"/>
      <c r="C50" s="3104" t="s">
        <v>2498</v>
      </c>
      <c r="D50" s="3105"/>
      <c r="E50" s="3106">
        <v>1</v>
      </c>
      <c r="F50" s="3103" t="s">
        <v>2499</v>
      </c>
      <c r="G50" s="3103"/>
    </row>
    <row r="51" spans="1:7" ht="19.5" customHeight="1" thickBot="1">
      <c r="A51" s="3795"/>
      <c r="B51" s="3789"/>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85" t="s">
        <v>2653</v>
      </c>
      <c r="C73" s="3089" t="s">
        <v>2654</v>
      </c>
      <c r="D73" s="3089" t="s">
        <v>2655</v>
      </c>
      <c r="E73" s="3115">
        <v>0.2</v>
      </c>
      <c r="F73" s="3115">
        <v>25</v>
      </c>
    </row>
    <row r="74" spans="1:7" ht="24">
      <c r="A74" s="3115">
        <v>2</v>
      </c>
      <c r="B74" s="3787"/>
      <c r="C74" s="3089" t="s">
        <v>2656</v>
      </c>
      <c r="D74" s="3089" t="s">
        <v>2657</v>
      </c>
      <c r="E74" s="3115">
        <v>0.2</v>
      </c>
      <c r="F74" s="3115">
        <v>25</v>
      </c>
    </row>
    <row r="75" spans="1:7" ht="24">
      <c r="A75" s="3115">
        <v>3</v>
      </c>
      <c r="B75" s="3787"/>
      <c r="C75" s="3089" t="s">
        <v>2658</v>
      </c>
      <c r="D75" s="3089" t="s">
        <v>2659</v>
      </c>
      <c r="E75" s="3115">
        <v>0.2</v>
      </c>
      <c r="F75" s="3115">
        <v>25</v>
      </c>
    </row>
    <row r="76" spans="1:7" ht="13.5">
      <c r="A76" s="3115">
        <v>4</v>
      </c>
      <c r="B76" s="3787"/>
      <c r="C76" s="3089" t="s">
        <v>2660</v>
      </c>
      <c r="D76" s="3089" t="s">
        <v>2661</v>
      </c>
      <c r="E76" s="3115">
        <v>0.15</v>
      </c>
      <c r="F76" s="3115">
        <v>20</v>
      </c>
    </row>
    <row r="77" spans="1:7" ht="24">
      <c r="A77" s="3115">
        <v>5</v>
      </c>
      <c r="B77" s="3787"/>
      <c r="C77" s="3089" t="s">
        <v>2662</v>
      </c>
      <c r="D77" s="3089" t="s">
        <v>2663</v>
      </c>
      <c r="E77" s="3115">
        <v>0.15</v>
      </c>
      <c r="F77" s="3115">
        <v>20</v>
      </c>
    </row>
    <row r="78" spans="1:7" ht="24">
      <c r="A78" s="3115">
        <v>6</v>
      </c>
      <c r="B78" s="3787"/>
      <c r="C78" s="3089" t="s">
        <v>2664</v>
      </c>
      <c r="D78" s="3089" t="s">
        <v>2665</v>
      </c>
      <c r="E78" s="3115">
        <v>0.15</v>
      </c>
      <c r="F78" s="3115">
        <v>20</v>
      </c>
    </row>
    <row r="79" spans="1:7" ht="24">
      <c r="A79" s="3115">
        <v>7</v>
      </c>
      <c r="B79" s="3787"/>
      <c r="C79" s="3089" t="s">
        <v>2666</v>
      </c>
      <c r="D79" s="3089" t="s">
        <v>2667</v>
      </c>
      <c r="E79" s="3115">
        <v>0.15</v>
      </c>
      <c r="F79" s="3115">
        <v>20</v>
      </c>
    </row>
    <row r="80" spans="1:7" ht="24">
      <c r="A80" s="3115">
        <v>8</v>
      </c>
      <c r="B80" s="3787"/>
      <c r="C80" s="3089" t="s">
        <v>2668</v>
      </c>
      <c r="D80" s="3089" t="s">
        <v>2669</v>
      </c>
      <c r="E80" s="3115">
        <v>0.1</v>
      </c>
      <c r="F80" s="3115">
        <v>15</v>
      </c>
    </row>
    <row r="81" spans="1:6" ht="24">
      <c r="A81" s="3115">
        <v>9</v>
      </c>
      <c r="B81" s="3787"/>
      <c r="C81" s="3089" t="s">
        <v>2670</v>
      </c>
      <c r="D81" s="3089" t="s">
        <v>2671</v>
      </c>
      <c r="E81" s="3115">
        <v>0.1</v>
      </c>
      <c r="F81" s="3115">
        <v>15</v>
      </c>
    </row>
    <row r="82" spans="1:6" ht="24">
      <c r="A82" s="3115">
        <v>10</v>
      </c>
      <c r="B82" s="3787"/>
      <c r="C82" s="3089" t="s">
        <v>2672</v>
      </c>
      <c r="D82" s="3089" t="s">
        <v>2673</v>
      </c>
      <c r="E82" s="3115">
        <v>0.1</v>
      </c>
      <c r="F82" s="3115">
        <v>15</v>
      </c>
    </row>
    <row r="83" spans="1:6" ht="24">
      <c r="A83" s="3115">
        <v>11</v>
      </c>
      <c r="B83" s="3787"/>
      <c r="C83" s="3089" t="s">
        <v>2674</v>
      </c>
      <c r="D83" s="3089" t="s">
        <v>2675</v>
      </c>
      <c r="E83" s="3115">
        <v>0.1</v>
      </c>
      <c r="F83" s="3115">
        <v>15</v>
      </c>
    </row>
    <row r="84" spans="1:6" ht="24">
      <c r="A84" s="3115">
        <v>12</v>
      </c>
      <c r="B84" s="3787"/>
      <c r="C84" s="3089" t="s">
        <v>2676</v>
      </c>
      <c r="D84" s="3089" t="s">
        <v>2677</v>
      </c>
      <c r="E84" s="3115">
        <v>0.1</v>
      </c>
      <c r="F84" s="3115">
        <v>15</v>
      </c>
    </row>
    <row r="85" spans="1:6" ht="13.5">
      <c r="A85" s="3115">
        <v>13</v>
      </c>
      <c r="B85" s="3787"/>
      <c r="C85" s="3089" t="s">
        <v>2678</v>
      </c>
      <c r="D85" s="3089" t="s">
        <v>2679</v>
      </c>
      <c r="E85" s="3115">
        <v>0.1</v>
      </c>
      <c r="F85" s="3115">
        <v>15</v>
      </c>
    </row>
    <row r="86" spans="1:6" ht="13.5">
      <c r="A86" s="3115">
        <v>14</v>
      </c>
      <c r="B86" s="3787"/>
      <c r="C86" s="3089" t="s">
        <v>2680</v>
      </c>
      <c r="D86" s="3089" t="s">
        <v>2681</v>
      </c>
      <c r="E86" s="3115">
        <v>0.1</v>
      </c>
      <c r="F86" s="3115">
        <v>15</v>
      </c>
    </row>
    <row r="87" spans="1:6" ht="13.5">
      <c r="A87" s="3115">
        <v>15</v>
      </c>
      <c r="B87" s="3787"/>
      <c r="C87" s="3089" t="s">
        <v>2682</v>
      </c>
      <c r="D87" s="3089" t="s">
        <v>2683</v>
      </c>
      <c r="E87" s="3115">
        <v>0.1</v>
      </c>
      <c r="F87" s="3115">
        <v>15</v>
      </c>
    </row>
    <row r="88" spans="1:6" ht="24">
      <c r="A88" s="3115">
        <v>16</v>
      </c>
      <c r="B88" s="3787"/>
      <c r="C88" s="3089" t="s">
        <v>2684</v>
      </c>
      <c r="D88" s="3089" t="s">
        <v>2685</v>
      </c>
      <c r="E88" s="3115">
        <v>0.1</v>
      </c>
      <c r="F88" s="3115">
        <v>15</v>
      </c>
    </row>
    <row r="89" spans="1:6" ht="24">
      <c r="A89" s="3115">
        <v>17</v>
      </c>
      <c r="B89" s="3786"/>
      <c r="C89" s="3089" t="s">
        <v>2686</v>
      </c>
      <c r="D89" s="3089" t="s">
        <v>2687</v>
      </c>
      <c r="E89" s="3115">
        <v>0.1</v>
      </c>
      <c r="F89" s="3115">
        <v>15</v>
      </c>
    </row>
    <row r="90" spans="1:6" ht="13.5">
      <c r="A90" s="3115">
        <v>18</v>
      </c>
      <c r="B90" s="3785" t="s">
        <v>2688</v>
      </c>
      <c r="C90" s="3089" t="s">
        <v>2689</v>
      </c>
      <c r="D90" s="3089" t="s">
        <v>2690</v>
      </c>
      <c r="E90" s="3115">
        <v>0.2</v>
      </c>
      <c r="F90" s="3115">
        <v>25</v>
      </c>
    </row>
    <row r="91" spans="1:6" ht="24">
      <c r="A91" s="3115">
        <v>19</v>
      </c>
      <c r="B91" s="3787"/>
      <c r="C91" s="3089" t="s">
        <v>2691</v>
      </c>
      <c r="D91" s="3089" t="s">
        <v>2692</v>
      </c>
      <c r="E91" s="3115">
        <v>0.2</v>
      </c>
      <c r="F91" s="3115">
        <v>25</v>
      </c>
    </row>
    <row r="92" spans="1:6" ht="13.5">
      <c r="A92" s="3115">
        <v>20</v>
      </c>
      <c r="B92" s="3787"/>
      <c r="C92" s="3089" t="s">
        <v>2693</v>
      </c>
      <c r="D92" s="3089" t="s">
        <v>2694</v>
      </c>
      <c r="E92" s="3115">
        <v>0.15</v>
      </c>
      <c r="F92" s="3115">
        <v>20</v>
      </c>
    </row>
    <row r="93" spans="1:6" ht="13.5">
      <c r="A93" s="3115">
        <v>21</v>
      </c>
      <c r="B93" s="3787"/>
      <c r="C93" s="3089" t="s">
        <v>2695</v>
      </c>
      <c r="D93" s="3089" t="s">
        <v>2696</v>
      </c>
      <c r="E93" s="3115">
        <v>0.15</v>
      </c>
      <c r="F93" s="3115">
        <v>20</v>
      </c>
    </row>
    <row r="94" spans="1:6" ht="13.5">
      <c r="A94" s="3115">
        <v>22</v>
      </c>
      <c r="B94" s="3787"/>
      <c r="C94" s="3089" t="s">
        <v>2697</v>
      </c>
      <c r="D94" s="3089" t="s">
        <v>2698</v>
      </c>
      <c r="E94" s="3115">
        <v>0.15</v>
      </c>
      <c r="F94" s="3115">
        <v>20</v>
      </c>
    </row>
    <row r="95" spans="1:6" ht="36">
      <c r="A95" s="3115">
        <v>23</v>
      </c>
      <c r="B95" s="3787"/>
      <c r="C95" s="3089" t="s">
        <v>2699</v>
      </c>
      <c r="D95" s="3089" t="s">
        <v>2700</v>
      </c>
      <c r="E95" s="3115">
        <v>0.15</v>
      </c>
      <c r="F95" s="3115">
        <v>20</v>
      </c>
    </row>
    <row r="96" spans="1:6" ht="13.5">
      <c r="A96" s="3115">
        <v>24</v>
      </c>
      <c r="B96" s="3787"/>
      <c r="C96" s="3089" t="s">
        <v>2701</v>
      </c>
      <c r="D96" s="3089" t="s">
        <v>2702</v>
      </c>
      <c r="E96" s="3115">
        <v>0.1</v>
      </c>
      <c r="F96" s="3115">
        <v>15</v>
      </c>
    </row>
    <row r="97" spans="1:6" ht="13.5">
      <c r="A97" s="3115">
        <v>25</v>
      </c>
      <c r="B97" s="3787"/>
      <c r="C97" s="3089" t="s">
        <v>2703</v>
      </c>
      <c r="D97" s="3089" t="s">
        <v>2704</v>
      </c>
      <c r="E97" s="3115">
        <v>0.1</v>
      </c>
      <c r="F97" s="3115">
        <v>15</v>
      </c>
    </row>
    <row r="98" spans="1:6" ht="24">
      <c r="A98" s="3115">
        <v>26</v>
      </c>
      <c r="B98" s="3787"/>
      <c r="C98" s="3089" t="s">
        <v>2705</v>
      </c>
      <c r="D98" s="3089" t="s">
        <v>2706</v>
      </c>
      <c r="E98" s="3115">
        <v>0.1</v>
      </c>
      <c r="F98" s="3115">
        <v>15</v>
      </c>
    </row>
    <row r="99" spans="1:6" ht="24">
      <c r="A99" s="3115">
        <v>27</v>
      </c>
      <c r="B99" s="3787"/>
      <c r="C99" s="3089" t="s">
        <v>2707</v>
      </c>
      <c r="D99" s="3089" t="s">
        <v>2708</v>
      </c>
      <c r="E99" s="3115">
        <v>0.1</v>
      </c>
      <c r="F99" s="3115">
        <v>15</v>
      </c>
    </row>
    <row r="100" spans="1:6" ht="13.5">
      <c r="A100" s="3115">
        <v>28</v>
      </c>
      <c r="B100" s="3787"/>
      <c r="C100" s="3089" t="s">
        <v>2709</v>
      </c>
      <c r="D100" s="3089" t="s">
        <v>2710</v>
      </c>
      <c r="E100" s="3115">
        <v>0.1</v>
      </c>
      <c r="F100" s="3115">
        <v>15</v>
      </c>
    </row>
    <row r="101" spans="1:6" ht="13.5">
      <c r="A101" s="3115">
        <v>29</v>
      </c>
      <c r="B101" s="3787"/>
      <c r="C101" s="3089" t="s">
        <v>2711</v>
      </c>
      <c r="D101" s="3089" t="s">
        <v>2712</v>
      </c>
      <c r="E101" s="3115">
        <v>0.1</v>
      </c>
      <c r="F101" s="3115">
        <v>15</v>
      </c>
    </row>
    <row r="102" spans="1:6" ht="13.5">
      <c r="A102" s="3115">
        <v>30</v>
      </c>
      <c r="B102" s="3787"/>
      <c r="C102" s="3089" t="s">
        <v>2713</v>
      </c>
      <c r="D102" s="3089" t="s">
        <v>2714</v>
      </c>
      <c r="E102" s="3115">
        <v>0.1</v>
      </c>
      <c r="F102" s="3115">
        <v>15</v>
      </c>
    </row>
    <row r="103" spans="1:6" ht="24">
      <c r="A103" s="3115">
        <v>31</v>
      </c>
      <c r="B103" s="3787"/>
      <c r="C103" s="3089" t="s">
        <v>2715</v>
      </c>
      <c r="D103" s="3089" t="s">
        <v>2716</v>
      </c>
      <c r="E103" s="3115">
        <v>0.1</v>
      </c>
      <c r="F103" s="3115">
        <v>15</v>
      </c>
    </row>
    <row r="104" spans="1:6" ht="24">
      <c r="A104" s="3115">
        <v>32</v>
      </c>
      <c r="B104" s="3787"/>
      <c r="C104" s="3089" t="s">
        <v>2717</v>
      </c>
      <c r="D104" s="3089" t="s">
        <v>2718</v>
      </c>
      <c r="E104" s="3115">
        <v>0.1</v>
      </c>
      <c r="F104" s="3115">
        <v>15</v>
      </c>
    </row>
    <row r="105" spans="1:6" ht="24">
      <c r="A105" s="3115">
        <v>33</v>
      </c>
      <c r="B105" s="3787"/>
      <c r="C105" s="3089" t="s">
        <v>2719</v>
      </c>
      <c r="D105" s="3089" t="s">
        <v>2720</v>
      </c>
      <c r="E105" s="3115">
        <v>0.1</v>
      </c>
      <c r="F105" s="3115">
        <v>15</v>
      </c>
    </row>
    <row r="106" spans="1:6" ht="24">
      <c r="A106" s="3115">
        <v>34</v>
      </c>
      <c r="B106" s="3786"/>
      <c r="C106" s="3089" t="s">
        <v>2721</v>
      </c>
      <c r="D106" s="3089" t="s">
        <v>2722</v>
      </c>
      <c r="E106" s="3115">
        <v>0.1</v>
      </c>
      <c r="F106" s="3115">
        <v>15</v>
      </c>
    </row>
    <row r="107" spans="1:6" ht="24">
      <c r="A107" s="3115">
        <v>35</v>
      </c>
      <c r="B107" s="3785" t="s">
        <v>2723</v>
      </c>
      <c r="C107" s="3115" t="s">
        <v>2724</v>
      </c>
      <c r="D107" s="3089" t="s">
        <v>2725</v>
      </c>
      <c r="E107" s="3115">
        <v>0.15</v>
      </c>
      <c r="F107" s="3115">
        <v>20</v>
      </c>
    </row>
    <row r="108" spans="1:6" ht="13.5">
      <c r="A108" s="3115">
        <v>36</v>
      </c>
      <c r="B108" s="3787"/>
      <c r="C108" s="3115" t="s">
        <v>2726</v>
      </c>
      <c r="D108" s="3089" t="s">
        <v>2727</v>
      </c>
      <c r="E108" s="3115">
        <v>0.15</v>
      </c>
      <c r="F108" s="3115">
        <v>20</v>
      </c>
    </row>
    <row r="109" spans="1:6" ht="13.5">
      <c r="A109" s="3115">
        <v>37</v>
      </c>
      <c r="B109" s="3787"/>
      <c r="C109" s="3115" t="s">
        <v>2728</v>
      </c>
      <c r="D109" s="3089" t="s">
        <v>2729</v>
      </c>
      <c r="E109" s="3115">
        <v>0.15</v>
      </c>
      <c r="F109" s="3115">
        <v>20</v>
      </c>
    </row>
    <row r="110" spans="1:6" ht="13.5">
      <c r="A110" s="3115">
        <v>38</v>
      </c>
      <c r="B110" s="3787"/>
      <c r="C110" s="3115" t="s">
        <v>2730</v>
      </c>
      <c r="D110" s="3089" t="s">
        <v>2731</v>
      </c>
      <c r="E110" s="3115">
        <v>0.1</v>
      </c>
      <c r="F110" s="3115">
        <v>15</v>
      </c>
    </row>
    <row r="111" spans="1:6" ht="24">
      <c r="A111" s="3115">
        <v>39</v>
      </c>
      <c r="B111" s="3787"/>
      <c r="C111" s="3115" t="s">
        <v>2732</v>
      </c>
      <c r="D111" s="3089" t="s">
        <v>2733</v>
      </c>
      <c r="E111" s="3115">
        <v>0.1</v>
      </c>
      <c r="F111" s="3115">
        <v>15</v>
      </c>
    </row>
    <row r="112" spans="1:6" ht="24">
      <c r="A112" s="3115">
        <v>40</v>
      </c>
      <c r="B112" s="3786"/>
      <c r="C112" s="3115" t="s">
        <v>2734</v>
      </c>
      <c r="D112" s="3089" t="s">
        <v>2735</v>
      </c>
      <c r="E112" s="3115">
        <v>0.1</v>
      </c>
      <c r="F112" s="3115">
        <v>15</v>
      </c>
    </row>
    <row r="113" spans="1:6" ht="13.5">
      <c r="A113" s="3115">
        <v>41</v>
      </c>
      <c r="B113" s="3784" t="s">
        <v>2736</v>
      </c>
      <c r="C113" s="3115" t="s">
        <v>2737</v>
      </c>
      <c r="D113" s="3089" t="s">
        <v>2738</v>
      </c>
      <c r="E113" s="3115">
        <v>0.1</v>
      </c>
      <c r="F113" s="3115">
        <v>15</v>
      </c>
    </row>
    <row r="114" spans="1:6" ht="13.5">
      <c r="A114" s="3115">
        <v>42</v>
      </c>
      <c r="B114" s="3784"/>
      <c r="C114" s="3115" t="s">
        <v>2739</v>
      </c>
      <c r="D114" s="3089" t="s">
        <v>2740</v>
      </c>
      <c r="E114" s="3115">
        <v>0.1</v>
      </c>
      <c r="F114" s="3115">
        <v>15</v>
      </c>
    </row>
    <row r="115" spans="1:6" ht="24">
      <c r="A115" s="3115">
        <v>43</v>
      </c>
      <c r="B115" s="3784"/>
      <c r="C115" s="3115" t="s">
        <v>2741</v>
      </c>
      <c r="D115" s="3089" t="s">
        <v>2742</v>
      </c>
      <c r="E115" s="3115">
        <v>0.1</v>
      </c>
      <c r="F115" s="3115">
        <v>15</v>
      </c>
    </row>
    <row r="116" spans="1:6" ht="13.5">
      <c r="A116" s="3115">
        <v>44</v>
      </c>
      <c r="B116" s="3785" t="s">
        <v>2743</v>
      </c>
      <c r="C116" s="3115" t="s">
        <v>2744</v>
      </c>
      <c r="D116" s="3089" t="s">
        <v>2745</v>
      </c>
      <c r="E116" s="3115">
        <v>0.1</v>
      </c>
      <c r="F116" s="3115">
        <v>15</v>
      </c>
    </row>
    <row r="117" spans="1:6" ht="24">
      <c r="A117" s="3115">
        <v>45</v>
      </c>
      <c r="B117" s="3786"/>
      <c r="C117" s="3089" t="s">
        <v>2746</v>
      </c>
      <c r="D117" s="3089" t="s">
        <v>2747</v>
      </c>
      <c r="E117" s="3115">
        <v>0.1</v>
      </c>
      <c r="F117" s="3115">
        <v>15</v>
      </c>
    </row>
    <row r="118" spans="1:6" ht="24">
      <c r="A118" s="3115">
        <v>46</v>
      </c>
      <c r="B118" s="3785" t="s">
        <v>2748</v>
      </c>
      <c r="C118" s="3115" t="s">
        <v>2749</v>
      </c>
      <c r="D118" s="3089" t="s">
        <v>2750</v>
      </c>
      <c r="E118" s="3115">
        <v>0.1</v>
      </c>
      <c r="F118" s="3115">
        <v>15</v>
      </c>
    </row>
    <row r="119" spans="1:6" ht="24">
      <c r="A119" s="3115">
        <v>47</v>
      </c>
      <c r="B119" s="3786"/>
      <c r="C119" s="3115" t="s">
        <v>2751</v>
      </c>
      <c r="D119" s="3089" t="s">
        <v>2752</v>
      </c>
      <c r="E119" s="3115">
        <v>0.1</v>
      </c>
      <c r="F119" s="3115">
        <v>15</v>
      </c>
    </row>
    <row r="120" spans="1:6" ht="13.5">
      <c r="A120" s="3115">
        <v>48</v>
      </c>
      <c r="B120" s="3785" t="s">
        <v>2753</v>
      </c>
      <c r="C120" s="3115" t="s">
        <v>2754</v>
      </c>
      <c r="D120" s="3089" t="s">
        <v>2755</v>
      </c>
      <c r="E120" s="3115">
        <v>0.1</v>
      </c>
      <c r="F120" s="3115">
        <v>15</v>
      </c>
    </row>
    <row r="121" spans="1:6" ht="13.5">
      <c r="A121" s="3115">
        <v>49</v>
      </c>
      <c r="B121" s="3786"/>
      <c r="C121" s="3115" t="s">
        <v>2756</v>
      </c>
      <c r="D121" s="3089" t="s">
        <v>2757</v>
      </c>
      <c r="E121" s="3115">
        <v>0.1</v>
      </c>
      <c r="F121" s="3115">
        <v>15</v>
      </c>
    </row>
    <row r="122" spans="1:6" ht="24">
      <c r="A122" s="3115">
        <v>50</v>
      </c>
      <c r="B122" s="3784" t="s">
        <v>2758</v>
      </c>
      <c r="C122" s="3115" t="s">
        <v>2759</v>
      </c>
      <c r="D122" s="3089" t="s">
        <v>2760</v>
      </c>
      <c r="E122" s="3115">
        <v>0.1</v>
      </c>
      <c r="F122" s="3115">
        <v>15</v>
      </c>
    </row>
    <row r="123" spans="1:6" ht="24">
      <c r="A123" s="3115">
        <v>51</v>
      </c>
      <c r="B123" s="3784"/>
      <c r="C123" s="3115" t="s">
        <v>2761</v>
      </c>
      <c r="D123" s="3089" t="s">
        <v>2762</v>
      </c>
      <c r="E123" s="3115">
        <v>0.1</v>
      </c>
      <c r="F123" s="3115">
        <v>15</v>
      </c>
    </row>
    <row r="124" spans="1:6" ht="24">
      <c r="A124" s="3115">
        <v>52</v>
      </c>
      <c r="B124" s="3784" t="s">
        <v>2763</v>
      </c>
      <c r="C124" s="3115" t="s">
        <v>2764</v>
      </c>
      <c r="D124" s="3089" t="s">
        <v>2765</v>
      </c>
      <c r="E124" s="3115">
        <v>0.1</v>
      </c>
      <c r="F124" s="3115">
        <v>15</v>
      </c>
    </row>
    <row r="125" spans="1:6" ht="24">
      <c r="A125" s="3115">
        <v>53</v>
      </c>
      <c r="B125" s="3784"/>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84" t="s">
        <v>2771</v>
      </c>
      <c r="C127" s="3115" t="s">
        <v>2772</v>
      </c>
      <c r="D127" s="3089" t="s">
        <v>2773</v>
      </c>
      <c r="E127" s="3115">
        <v>0.1</v>
      </c>
      <c r="F127" s="3115">
        <v>15</v>
      </c>
    </row>
    <row r="128" spans="1:6" ht="13.5">
      <c r="A128" s="3115">
        <v>56</v>
      </c>
      <c r="B128" s="3784"/>
      <c r="C128" s="3115" t="s">
        <v>2774</v>
      </c>
      <c r="D128" s="3089" t="s">
        <v>2775</v>
      </c>
      <c r="E128" s="3115">
        <v>0.1</v>
      </c>
      <c r="F128" s="3115">
        <v>15</v>
      </c>
    </row>
    <row r="129" spans="1:6" ht="24">
      <c r="A129" s="3115">
        <v>57</v>
      </c>
      <c r="B129" s="3784"/>
      <c r="C129" s="3115" t="s">
        <v>2776</v>
      </c>
      <c r="D129" s="3089" t="s">
        <v>2777</v>
      </c>
      <c r="E129" s="3115">
        <v>0.1</v>
      </c>
      <c r="F129" s="3115">
        <v>15</v>
      </c>
    </row>
    <row r="130" spans="1:6" ht="24">
      <c r="A130" s="3115">
        <v>58</v>
      </c>
      <c r="B130" s="3784" t="s">
        <v>2778</v>
      </c>
      <c r="C130" s="3115" t="s">
        <v>2779</v>
      </c>
      <c r="D130" s="3089" t="s">
        <v>2780</v>
      </c>
      <c r="E130" s="3115">
        <v>0.1</v>
      </c>
      <c r="F130" s="3115">
        <v>15</v>
      </c>
    </row>
    <row r="131" spans="1:6" ht="13.5">
      <c r="A131" s="3115">
        <v>59</v>
      </c>
      <c r="B131" s="3784"/>
      <c r="C131" s="3115" t="s">
        <v>2781</v>
      </c>
      <c r="D131" s="3089" t="s">
        <v>2782</v>
      </c>
      <c r="E131" s="3115">
        <v>0.1</v>
      </c>
      <c r="F131" s="3115">
        <v>15</v>
      </c>
    </row>
    <row r="132" spans="1:6" ht="13.5">
      <c r="A132" s="3115">
        <v>60</v>
      </c>
      <c r="B132" s="3785" t="s">
        <v>2783</v>
      </c>
      <c r="C132" s="3115" t="s">
        <v>2784</v>
      </c>
      <c r="D132" s="3089" t="s">
        <v>2785</v>
      </c>
      <c r="E132" s="3115">
        <v>0.1</v>
      </c>
      <c r="F132" s="3115">
        <v>15</v>
      </c>
    </row>
    <row r="133" spans="1:6" ht="13.5">
      <c r="A133" s="3115">
        <v>61</v>
      </c>
      <c r="B133" s="3786"/>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84" t="s">
        <v>2791</v>
      </c>
      <c r="C135" s="3115" t="s">
        <v>2792</v>
      </c>
      <c r="D135" s="3089" t="s">
        <v>2793</v>
      </c>
      <c r="E135" s="3115">
        <v>0.1</v>
      </c>
      <c r="F135" s="3115">
        <v>15</v>
      </c>
    </row>
    <row r="136" spans="1:6" ht="13.5">
      <c r="A136" s="3115">
        <v>64</v>
      </c>
      <c r="B136" s="3784"/>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8">
        <f ca="1">结果表!H101</f>
        <v>3084</v>
      </c>
      <c r="E5" s="1488"/>
    </row>
    <row r="6" spans="1:5" ht="15.75">
      <c r="A6" s="1488"/>
      <c r="B6" s="3477"/>
      <c r="C6" s="1491" t="s">
        <v>911</v>
      </c>
      <c r="D6" s="848" t="str">
        <f ca="1">NUMBERSTRING(INT(D5*10000),2)&amp;"元整"</f>
        <v>叁仟零捌拾肆万元整</v>
      </c>
      <c r="E6" s="1488"/>
    </row>
    <row r="7" spans="1:5" ht="15.75">
      <c r="A7" s="1488"/>
      <c r="B7" s="3482"/>
      <c r="C7" s="1492" t="s">
        <v>912</v>
      </c>
      <c r="D7" s="849">
        <f ca="1">结果表!H102</f>
        <v>31622</v>
      </c>
      <c r="E7" s="1488"/>
    </row>
    <row r="8" spans="1:5" ht="15.75">
      <c r="A8" s="1488"/>
      <c r="B8" s="3483" t="str">
        <f>结果表!E103</f>
        <v>2.估价师知悉的法定优先受偿款</v>
      </c>
      <c r="C8" s="1493" t="s">
        <v>913</v>
      </c>
      <c r="D8" s="849">
        <f>结果表!H103</f>
        <v>0</v>
      </c>
      <c r="E8" s="1488"/>
    </row>
    <row r="9" spans="1:5" ht="15.75">
      <c r="A9" s="1488"/>
      <c r="B9" s="3485"/>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6" t="str">
        <f>结果表!E107</f>
        <v>3.房地产抵押价值</v>
      </c>
      <c r="C13" s="1496" t="s">
        <v>910</v>
      </c>
      <c r="D13" s="851">
        <f ca="1">结果表!H107</f>
        <v>3084</v>
      </c>
      <c r="E13" s="1488"/>
    </row>
    <row r="14" spans="1:5" ht="15.75">
      <c r="A14" s="1488"/>
      <c r="B14" s="3477"/>
      <c r="C14" s="1491" t="s">
        <v>911</v>
      </c>
      <c r="D14" s="848" t="str">
        <f ca="1">NUMBERSTRING(INT(D13*10000),2)&amp;"元整"</f>
        <v>叁仟零捌拾肆万元整</v>
      </c>
      <c r="E14" s="1488"/>
    </row>
    <row r="15" spans="1:5" ht="15">
      <c r="A15" s="1488"/>
      <c r="B15" s="3482"/>
      <c r="C15" s="1492" t="s">
        <v>921</v>
      </c>
      <c r="D15" s="857">
        <f ca="1">结果表!H108</f>
        <v>31622</v>
      </c>
      <c r="E15" s="1488"/>
    </row>
    <row r="16" spans="1:5" ht="15">
      <c r="A16" s="1488"/>
      <c r="B16" s="3483" t="str">
        <f>结果表!E109</f>
        <v>——</v>
      </c>
      <c r="C16" s="1496" t="s">
        <v>922</v>
      </c>
      <c r="D16" s="1497" t="str">
        <f>结果表!H109</f>
        <v>——</v>
      </c>
      <c r="E16" s="1488"/>
    </row>
    <row r="17" spans="1:5" ht="15.75">
      <c r="A17" s="1488"/>
      <c r="B17" s="3484"/>
      <c r="C17" s="1491" t="s">
        <v>923</v>
      </c>
      <c r="D17" s="848" t="e">
        <f>NUMBERSTRING(INT(D16*10000),2)&amp;"元整"</f>
        <v>#VALUE!</v>
      </c>
      <c r="E17" s="1488"/>
    </row>
    <row r="18" spans="1:5" ht="15">
      <c r="A18" s="1488"/>
      <c r="B18" s="3485"/>
      <c r="C18" s="1492" t="s">
        <v>912</v>
      </c>
      <c r="D18" s="857" t="str">
        <f>结果表!H110</f>
        <v>——</v>
      </c>
      <c r="E18" s="1488"/>
    </row>
    <row r="19" spans="1:5" ht="15.75">
      <c r="A19" s="1488"/>
      <c r="B19" s="3476" t="str">
        <f>结果表!E111</f>
        <v>——</v>
      </c>
      <c r="C19" s="1496" t="s">
        <v>910</v>
      </c>
      <c r="D19" s="849" t="str">
        <f>结果表!H111</f>
        <v>——</v>
      </c>
      <c r="E19" s="1488"/>
    </row>
    <row r="20" spans="1:5" ht="15.75">
      <c r="A20" s="1488"/>
      <c r="B20" s="3477"/>
      <c r="C20" s="1491" t="s">
        <v>923</v>
      </c>
      <c r="D20" s="848" t="e">
        <f>NUMBERSTRING(INT(D19*10000),2)&amp;"元整"</f>
        <v>#VALUE!</v>
      </c>
      <c r="E20" s="1488"/>
    </row>
    <row r="21" spans="1:5" ht="15.75" thickBot="1">
      <c r="A21" s="1488"/>
      <c r="B21" s="347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2800</v>
      </c>
      <c r="B1" s="3124"/>
      <c r="C1" s="3124"/>
      <c r="D1" s="3124"/>
      <c r="E1" s="3124"/>
      <c r="F1" s="3124"/>
      <c r="G1" s="3124"/>
      <c r="H1" s="3124"/>
      <c r="I1" s="3124"/>
      <c r="J1" s="3124"/>
      <c r="K1" s="3124"/>
      <c r="L1" s="3124"/>
      <c r="M1" s="3124"/>
      <c r="N1" s="747"/>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8">
        <f>SUMPRODUCT((A95:A184=ROUNDDOWN(基准地价修正!G3,1))*(B94:M94=基准地价修正!G2)*(B95:M184))</f>
        <v>1</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8">
        <f>SUMPRODUCT((A371:A460=ROUNDDOWN(基准地价修正!G3,1))*(B370:M370=基准地价修正!G2)*(B371:M460))</f>
        <v>0.95120000000000005</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29538</v>
      </c>
      <c r="C2" s="2" t="s">
        <v>106</v>
      </c>
      <c r="D2" s="199"/>
      <c r="E2" s="199"/>
      <c r="F2" s="199"/>
      <c r="G2" s="199"/>
    </row>
    <row r="3" spans="1:7" s="200" customFormat="1" ht="18" customHeight="1" thickBot="1">
      <c r="A3" s="203" t="s">
        <v>58</v>
      </c>
      <c r="B3" s="204">
        <f ca="1">ROUND(B2*10000/'数据-汇总表'!E3,0)</f>
        <v>302833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20</v>
      </c>
      <c r="D10" s="843">
        <f>'数据-汇总表'!E6</f>
        <v>975.39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20</v>
      </c>
      <c r="D19" s="847">
        <f>'数据-汇总表'!E3</f>
        <v>975.39</v>
      </c>
      <c r="E19" s="211">
        <f>'数据-取费表'!B31</f>
        <v>200</v>
      </c>
      <c r="F19" s="231"/>
      <c r="G19" s="1" t="s">
        <v>436</v>
      </c>
    </row>
    <row r="20" spans="1:7" s="214" customFormat="1" ht="13.5" customHeight="1">
      <c r="A20" s="775" t="s">
        <v>419</v>
      </c>
      <c r="B20" s="210" t="s">
        <v>77</v>
      </c>
      <c r="C20" s="232">
        <f>ROUND((C5+C19)*F20,0)</f>
        <v>413</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1462</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4209</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4209</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439</v>
      </c>
      <c r="D34" s="217"/>
      <c r="E34" s="220"/>
      <c r="F34" s="257">
        <f>IF('数据-取费表'!B24=0,1,'数据-取费表'!N16)</f>
        <v>1</v>
      </c>
      <c r="G34" s="219" t="s">
        <v>89</v>
      </c>
    </row>
    <row r="35" spans="1:7" ht="13.5" customHeight="1">
      <c r="A35" s="778" t="s">
        <v>351</v>
      </c>
      <c r="B35" s="215" t="s">
        <v>33</v>
      </c>
      <c r="C35" s="220">
        <f>ROUND(C34*F35,0)</f>
        <v>13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20</v>
      </c>
      <c r="D37" s="217">
        <f>'数据-汇总表'!E3</f>
        <v>975.39</v>
      </c>
      <c r="E37" s="249">
        <f>'数据-取费表'!B35</f>
        <v>200</v>
      </c>
      <c r="F37" s="259"/>
      <c r="G37" s="261" t="s">
        <v>92</v>
      </c>
    </row>
    <row r="38" spans="1:7" ht="13.5" customHeight="1">
      <c r="A38" s="778" t="s">
        <v>354</v>
      </c>
      <c r="B38" s="215" t="s">
        <v>36</v>
      </c>
      <c r="C38" s="220">
        <f>ROUND(C34*F38,0)</f>
        <v>7</v>
      </c>
      <c r="D38" s="220"/>
      <c r="E38" s="220"/>
      <c r="F38" s="259">
        <f>'数据-取费表'!B36</f>
        <v>1.4999999999999999E-2</v>
      </c>
      <c r="G38" s="219" t="s">
        <v>90</v>
      </c>
    </row>
    <row r="39" spans="1:7" s="214" customFormat="1" ht="13.5" customHeight="1">
      <c r="A39" s="775" t="s">
        <v>338</v>
      </c>
      <c r="B39" s="210" t="s">
        <v>77</v>
      </c>
      <c r="C39" s="232">
        <f>ROUND(C33*F20,0)</f>
        <v>10</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17</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17</v>
      </c>
      <c r="D42" s="238"/>
      <c r="E42" s="238"/>
      <c r="F42" s="239"/>
      <c r="G42" s="3704" t="s">
        <v>94</v>
      </c>
    </row>
    <row r="43" spans="1:7" ht="13.5" customHeight="1">
      <c r="A43" s="778" t="s">
        <v>347</v>
      </c>
      <c r="B43" s="215" t="s">
        <v>426</v>
      </c>
      <c r="C43" s="238">
        <f ca="1">ROUND(IF('数据-取费表'!B22&lt;=1,C39*F22*'数据-取费表'!B21/2,C39*(POWER((1+F22),'数据-取费表'!B21/2)-1)),0)</f>
        <v>0</v>
      </c>
      <c r="D43" s="238"/>
      <c r="E43" s="238"/>
      <c r="F43" s="239"/>
      <c r="G43" s="3705"/>
    </row>
    <row r="44" spans="1:7" ht="13.5" customHeight="1">
      <c r="A44" s="778" t="s">
        <v>348</v>
      </c>
      <c r="B44" s="215" t="s">
        <v>428</v>
      </c>
      <c r="C44" s="238">
        <f ca="1">ROUND(IF('数据-取费表'!B22&lt;=1,C40*F22*'数据-取费表'!B21/2,C40*(POWER((1+F22),'数据-取费表'!B21/2)-1)),4)</f>
        <v>6.9999999999999999E-4</v>
      </c>
      <c r="D44" s="238"/>
      <c r="E44" s="238"/>
      <c r="F44" s="239"/>
      <c r="G44" s="3706"/>
    </row>
    <row r="45" spans="1:7" s="214" customFormat="1" ht="13.5" customHeight="1">
      <c r="A45" s="775" t="s">
        <v>341</v>
      </c>
      <c r="B45" s="244" t="s">
        <v>85</v>
      </c>
      <c r="C45" s="245">
        <f>C46</f>
        <v>98</v>
      </c>
      <c r="D45" s="235">
        <f>C47</f>
        <v>4.0000000000000001E-3</v>
      </c>
      <c r="E45" s="236" t="s">
        <v>102</v>
      </c>
      <c r="F45" s="246"/>
      <c r="G45" s="247" t="s">
        <v>434</v>
      </c>
    </row>
    <row r="46" spans="1:7" s="214" customFormat="1" ht="13.5" customHeight="1">
      <c r="A46" s="778" t="s">
        <v>349</v>
      </c>
      <c r="B46" s="248" t="s">
        <v>427</v>
      </c>
      <c r="C46" s="249">
        <f>ROUND((C33+C39)*F27,0)</f>
        <v>98</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655</v>
      </c>
      <c r="D49" s="232"/>
      <c r="E49" s="232"/>
      <c r="F49" s="264"/>
      <c r="G49" s="234" t="s">
        <v>435</v>
      </c>
    </row>
    <row r="50" spans="1:7" s="258" customFormat="1" ht="24">
      <c r="A50" s="775" t="s">
        <v>344</v>
      </c>
      <c r="B50" s="210" t="s">
        <v>97</v>
      </c>
      <c r="C50" s="232"/>
      <c r="D50" s="232"/>
      <c r="E50" s="232"/>
      <c r="F50" s="264">
        <f>IF('数据-取费表'!B24=0,'数据-取费表'!N16,1)</f>
        <v>0.86</v>
      </c>
      <c r="G50" s="247" t="s">
        <v>98</v>
      </c>
    </row>
    <row r="51" spans="1:7" ht="16.5" customHeight="1">
      <c r="A51" s="775" t="s">
        <v>345</v>
      </c>
      <c r="B51" s="210" t="s">
        <v>105</v>
      </c>
      <c r="C51" s="232">
        <f ca="1">ROUND(C49*F50,0)</f>
        <v>563</v>
      </c>
      <c r="D51" s="232"/>
      <c r="E51" s="232"/>
      <c r="F51" s="264"/>
      <c r="G51" s="234" t="s">
        <v>37</v>
      </c>
    </row>
    <row r="52" spans="1:7" s="208" customFormat="1" ht="16.5" thickBot="1">
      <c r="A52" s="265" t="s">
        <v>38</v>
      </c>
      <c r="B52" s="266"/>
      <c r="C52" s="267">
        <f ca="1">C31+C51</f>
        <v>29538</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8" t="s">
        <v>2841</v>
      </c>
      <c r="B1" s="3798"/>
      <c r="C1" s="3798"/>
      <c r="D1" s="3798"/>
      <c r="E1" s="3798"/>
      <c r="F1" s="3798"/>
      <c r="G1" s="3799"/>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6"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7"/>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0" t="s">
        <v>3183</v>
      </c>
      <c r="B1" s="3800"/>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7"/>
  </cols>
  <sheetData>
    <row r="1" spans="1:6">
      <c r="A1" s="3801" t="s">
        <v>3234</v>
      </c>
      <c r="B1" s="3801"/>
      <c r="C1" s="3801"/>
      <c r="D1" s="3801"/>
      <c r="E1" s="3801"/>
      <c r="F1" s="3802"/>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45303</v>
      </c>
      <c r="B1" s="3207" t="s">
        <v>3372</v>
      </c>
      <c r="C1" s="3208"/>
      <c r="D1" s="3208"/>
      <c r="E1" s="3208"/>
      <c r="F1" s="3208"/>
      <c r="G1" s="3208"/>
      <c r="H1" s="3208"/>
      <c r="I1" s="3208"/>
      <c r="J1" s="3162"/>
      <c r="K1" s="3208" t="s">
        <v>454</v>
      </c>
      <c r="L1" s="3208"/>
      <c r="M1" s="3208"/>
      <c r="N1" s="3208"/>
      <c r="O1" s="3208"/>
      <c r="P1" s="3208"/>
      <c r="Q1" s="3162"/>
      <c r="R1" s="3803" t="s">
        <v>456</v>
      </c>
      <c r="S1" s="3804"/>
      <c r="T1" s="3804"/>
      <c r="U1" s="3804"/>
      <c r="V1" s="3804"/>
      <c r="W1" s="3804"/>
      <c r="X1" s="3162"/>
      <c r="Y1" s="3803" t="s">
        <v>457</v>
      </c>
      <c r="Z1" s="3804"/>
      <c r="AA1" s="3804"/>
      <c r="AB1" s="3804"/>
      <c r="AC1" s="3804"/>
      <c r="AD1" s="3804"/>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3376</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3377</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3378</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3370</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3371</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3369</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3368</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3364</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3355</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2822</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2823</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2824</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2825</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2826</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3366</v>
      </c>
    </row>
    <row r="21" spans="1:30" s="3006" customFormat="1">
      <c r="I21" s="3205" t="s">
        <v>2827</v>
      </c>
    </row>
    <row r="22" spans="1:30" s="3006" customFormat="1"/>
    <row r="23" spans="1:30" s="3206" customFormat="1" ht="12.75">
      <c r="B23" s="3207" t="s">
        <v>3373</v>
      </c>
      <c r="C23" s="3208"/>
      <c r="D23" s="3208"/>
      <c r="E23" s="3208"/>
      <c r="F23" s="3208"/>
      <c r="G23" s="3208"/>
      <c r="H23" s="3208"/>
      <c r="I23" s="3208"/>
      <c r="J23" s="3162"/>
      <c r="K23" s="3208" t="s">
        <v>2828</v>
      </c>
      <c r="L23" s="3208"/>
      <c r="M23" s="3208"/>
      <c r="N23" s="3208"/>
      <c r="O23" s="3208"/>
      <c r="P23" s="3208"/>
      <c r="Q23" s="3162"/>
      <c r="R23" s="3803" t="s">
        <v>2829</v>
      </c>
      <c r="S23" s="3804"/>
      <c r="T23" s="3804"/>
      <c r="U23" s="3804"/>
      <c r="V23" s="3804"/>
      <c r="W23" s="3804"/>
      <c r="X23" s="3162"/>
      <c r="Y23" s="3803" t="s">
        <v>2830</v>
      </c>
      <c r="Z23" s="3804"/>
      <c r="AA23" s="3804"/>
      <c r="AB23" s="3804"/>
      <c r="AC23" s="3804"/>
      <c r="AD23" s="3804"/>
    </row>
    <row r="24" spans="1:30" s="3140" customFormat="1" ht="14.25" thickBot="1">
      <c r="B24" s="3141"/>
      <c r="C24" s="3142"/>
      <c r="D24" s="3143" t="s">
        <v>2831</v>
      </c>
      <c r="E24" s="3144" t="s">
        <v>2832</v>
      </c>
      <c r="F24" s="3144" t="s">
        <v>2833</v>
      </c>
      <c r="G24" s="3144" t="s">
        <v>2834</v>
      </c>
      <c r="H24" s="3144"/>
      <c r="I24" s="3144" t="s">
        <v>2835</v>
      </c>
      <c r="J24" s="3145"/>
      <c r="K24" s="3143" t="s">
        <v>2831</v>
      </c>
      <c r="L24" s="3144" t="s">
        <v>2832</v>
      </c>
      <c r="M24" s="3144" t="s">
        <v>2833</v>
      </c>
      <c r="N24" s="3144" t="s">
        <v>2834</v>
      </c>
      <c r="O24" s="3144"/>
      <c r="P24" s="3144" t="s">
        <v>2835</v>
      </c>
      <c r="Q24" s="3145"/>
      <c r="R24" s="3143" t="s">
        <v>2831</v>
      </c>
      <c r="S24" s="3144" t="s">
        <v>2832</v>
      </c>
      <c r="T24" s="3144" t="s">
        <v>2833</v>
      </c>
      <c r="U24" s="3144" t="s">
        <v>2834</v>
      </c>
      <c r="V24" s="3144"/>
      <c r="W24" s="3144" t="s">
        <v>2835</v>
      </c>
      <c r="X24" s="3145"/>
      <c r="Y24" s="3143" t="s">
        <v>2831</v>
      </c>
      <c r="Z24" s="3144" t="s">
        <v>2832</v>
      </c>
      <c r="AA24" s="3144" t="s">
        <v>2833</v>
      </c>
      <c r="AB24" s="3144" t="s">
        <v>2834</v>
      </c>
      <c r="AC24" s="3144"/>
      <c r="AD24" s="3144" t="s">
        <v>2835</v>
      </c>
    </row>
    <row r="25" spans="1:30" s="3158" customFormat="1" ht="12.75">
      <c r="A25" s="3146" t="s">
        <v>2836</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3376</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3377</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3378</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3374</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3375</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3369</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3368</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3365</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3355</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2837</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2838</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2839</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2840</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2826</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45303</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15">
      <c r="A4" s="1502" t="str">
        <f>项目基本情况!S2</f>
        <v>北京市房地产</v>
      </c>
      <c r="B4" s="852">
        <f>项目基本情况!C17</f>
        <v>975.39</v>
      </c>
      <c r="C4" s="852">
        <f>项目基本情况!C18</f>
        <v>0</v>
      </c>
      <c r="D4" s="852">
        <f ca="1">结果表!D118</f>
        <v>2551</v>
      </c>
      <c r="E4" s="852">
        <f ca="1">结果表!E118</f>
        <v>26151</v>
      </c>
      <c r="F4" s="852">
        <f ca="1">结果表!F118</f>
        <v>534</v>
      </c>
      <c r="G4" s="852">
        <f ca="1">结果表!G118</f>
        <v>5471</v>
      </c>
      <c r="H4" s="852">
        <f ca="1">结果表!H118</f>
        <v>3084</v>
      </c>
      <c r="I4" s="852">
        <f ca="1">结果表!I118</f>
        <v>31622</v>
      </c>
    </row>
    <row r="5" spans="1:9" ht="30" customHeight="1">
      <c r="A5" s="3489" t="s">
        <v>927</v>
      </c>
      <c r="B5" s="3489"/>
      <c r="C5" s="3489"/>
      <c r="D5" s="3489" t="str">
        <f ca="1">结果表!D119</f>
        <v>贰仟伍佰伍拾壹万元整</v>
      </c>
      <c r="E5" s="3489"/>
      <c r="F5" s="3489" t="str">
        <f ca="1">结果表!F119</f>
        <v>伍佰叁拾肆万元整</v>
      </c>
      <c r="G5" s="3489"/>
      <c r="H5" s="3489" t="str">
        <f ca="1">结果表!H119</f>
        <v>叁仟零捌拾肆万元整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3084</v>
      </c>
      <c r="E8" s="3488"/>
      <c r="F8" s="3488"/>
      <c r="G8" s="3488"/>
      <c r="H8" s="3488"/>
      <c r="I8" s="3488"/>
    </row>
    <row r="9" spans="1:9" ht="15">
      <c r="A9" s="3489" t="s">
        <v>927</v>
      </c>
      <c r="B9" s="3489"/>
      <c r="C9" s="3489"/>
      <c r="D9" s="3489" t="str">
        <f ca="1">结果表!D123</f>
        <v>叁仟零捌拾肆万元整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1" t="s">
        <v>949</v>
      </c>
      <c r="B1" s="3501"/>
      <c r="C1" s="3501"/>
      <c r="D1" s="3501"/>
    </row>
    <row r="2" spans="1:4" ht="18">
      <c r="A2" s="3502" t="s">
        <v>933</v>
      </c>
      <c r="B2" s="3502"/>
      <c r="C2" s="3502"/>
      <c r="D2" s="3502"/>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2" t="s">
        <v>939</v>
      </c>
      <c r="B6" s="3502"/>
      <c r="C6" s="3502"/>
      <c r="D6" s="3502"/>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45303</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2" t="s">
        <v>2158</v>
      </c>
      <c r="B17" s="3512"/>
      <c r="C17" s="3512"/>
      <c r="D17" s="3512"/>
      <c r="E17" s="3512"/>
      <c r="F17" s="3512"/>
      <c r="G17" s="3512"/>
      <c r="H17" s="3512"/>
    </row>
    <row r="18" spans="1:8" ht="24" customHeight="1">
      <c r="A18" s="3513" t="s">
        <v>2159</v>
      </c>
      <c r="B18" s="3513"/>
      <c r="C18" s="3513"/>
      <c r="D18" s="2340"/>
      <c r="E18" s="3514" t="s">
        <v>2160</v>
      </c>
      <c r="F18" s="3513"/>
      <c r="G18" s="3513"/>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比较法-商业</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2024-01-12T07:41:26Z</dcterms:modified>
</cp:coreProperties>
</file>