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王府井\"/>
    </mc:Choice>
  </mc:AlternateContent>
  <xr:revisionPtr revIDLastSave="0" documentId="13_ncr:1_{F200B337-26F6-4AFB-AC9D-878C1BF617C4}" xr6:coauthVersionLast="45" xr6:coauthVersionMax="45" xr10:uidLastSave="{00000000-0000-0000-0000-000000000000}"/>
  <bookViews>
    <workbookView xWindow="-120" yWindow="-120" windowWidth="21840" windowHeight="1314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 i="43" l="1"/>
  <c r="F19" i="6"/>
  <c r="I13" i="3"/>
  <c r="A3" i="3"/>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V12" i="78" l="1"/>
  <c r="R12" i="78"/>
  <c r="U11" i="78"/>
  <c r="R10" i="78"/>
  <c r="W30" i="78"/>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V11" i="78" s="1"/>
  <c r="O12" i="78"/>
  <c r="O13" i="78"/>
  <c r="I13" i="78"/>
  <c r="I12" i="78"/>
  <c r="I11" i="78"/>
  <c r="I10" i="78"/>
  <c r="I9" i="78"/>
  <c r="M5" i="78"/>
  <c r="P5" i="78" s="1"/>
  <c r="N5" i="78"/>
  <c r="M6" i="78"/>
  <c r="P6" i="78" s="1"/>
  <c r="N6" i="78"/>
  <c r="M7" i="78"/>
  <c r="N7" i="78"/>
  <c r="M8" i="78"/>
  <c r="N8" i="78"/>
  <c r="M9" i="78"/>
  <c r="P9" i="78" s="1"/>
  <c r="N9" i="78"/>
  <c r="M10" i="78"/>
  <c r="T10" i="78" s="1"/>
  <c r="N10" i="78"/>
  <c r="U10" i="78" s="1"/>
  <c r="M11" i="78"/>
  <c r="P11" i="78" s="1"/>
  <c r="N11" i="78"/>
  <c r="M12" i="78"/>
  <c r="T12" i="78" s="1"/>
  <c r="N12" i="78"/>
  <c r="U12" i="78" s="1"/>
  <c r="N13" i="78"/>
  <c r="M13" i="78"/>
  <c r="P13" i="78" s="1"/>
  <c r="L13" i="78"/>
  <c r="K13" i="78"/>
  <c r="L12" i="78"/>
  <c r="S12" i="78" s="1"/>
  <c r="K12" i="78"/>
  <c r="L11" i="78"/>
  <c r="S11" i="78" s="1"/>
  <c r="K11" i="78"/>
  <c r="R11" i="78" s="1"/>
  <c r="L10" i="78"/>
  <c r="S10" i="78" s="1"/>
  <c r="K10" i="78"/>
  <c r="L9" i="78"/>
  <c r="S9" i="78" s="1"/>
  <c r="K9" i="78"/>
  <c r="R9" i="78" s="1"/>
  <c r="L8" i="78"/>
  <c r="K8" i="78"/>
  <c r="L7" i="78"/>
  <c r="K7" i="78"/>
  <c r="L6" i="78"/>
  <c r="K6" i="78"/>
  <c r="L5" i="78"/>
  <c r="K5" i="78"/>
  <c r="V10" i="78" l="1"/>
  <c r="R5" i="78"/>
  <c r="U9" i="78"/>
  <c r="S28" i="78"/>
  <c r="T11" i="78"/>
  <c r="U26" i="78"/>
  <c r="U27" i="78"/>
  <c r="T28" i="78"/>
  <c r="W28" i="78" s="1"/>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10" i="78"/>
  <c r="P7" i="78"/>
  <c r="P10" i="78"/>
  <c r="P12" i="78"/>
  <c r="W11"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C28" i="43" l="1"/>
  <c r="Y10" i="43"/>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s="1"/>
  <c r="R27" i="77"/>
  <c r="M24" i="77"/>
  <c r="R23" i="77"/>
  <c r="D23" i="77"/>
  <c r="C23" i="77"/>
  <c r="R22" i="77"/>
  <c r="R21" i="77"/>
  <c r="N19" i="77"/>
  <c r="R18" i="77"/>
  <c r="D18" i="77"/>
  <c r="R17" i="77"/>
  <c r="D17" i="77"/>
  <c r="R16" i="77"/>
  <c r="D16" i="77"/>
  <c r="D15" i="77"/>
  <c r="N14" i="77"/>
  <c r="M14" i="77"/>
  <c r="D14" i="77"/>
  <c r="D11" i="77" s="1"/>
  <c r="R13" i="77"/>
  <c r="R12" i="77"/>
  <c r="D12" i="77"/>
  <c r="R11" i="77"/>
  <c r="E11" i="77"/>
  <c r="E7" i="77" s="1"/>
  <c r="C27" i="77" s="1"/>
  <c r="R10" i="77"/>
  <c r="D10" i="77"/>
  <c r="R9" i="77"/>
  <c r="D9" i="77"/>
  <c r="D7" i="77" s="1"/>
  <c r="R8" i="77"/>
  <c r="R7" i="77"/>
  <c r="R14" i="77" s="1"/>
  <c r="R25" i="77" s="1"/>
  <c r="C26" i="77"/>
  <c r="R4" i="77"/>
  <c r="R3" i="77"/>
  <c r="R24" i="77"/>
  <c r="C32" i="77"/>
  <c r="C38" i="77" s="1"/>
  <c r="C39" i="77" s="1"/>
  <c r="R35" i="77"/>
  <c r="U34" i="77" s="1"/>
  <c r="O10" i="71"/>
  <c r="Y10" i="71" s="1"/>
  <c r="AB10" i="71" s="1"/>
  <c r="R19" i="77"/>
  <c r="R5"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B61" i="72" s="1"/>
  <c r="A14" i="62"/>
  <c r="B60" i="72" s="1"/>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V69" i="71"/>
  <c r="R29" i="71"/>
  <c r="G29" i="71" s="1"/>
  <c r="G28" i="71" s="1"/>
  <c r="U69" i="71"/>
  <c r="R69" i="7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29" i="39"/>
  <c r="AA29"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9" i="43"/>
  <c r="C22" i="20"/>
  <c r="B101" i="43" s="1"/>
  <c r="B78" i="43"/>
  <c r="B58" i="43"/>
  <c r="B69" i="43"/>
  <c r="C25" i="40"/>
  <c r="C29" i="39"/>
  <c r="S25" i="40"/>
  <c r="S29" i="39"/>
  <c r="S21" i="34"/>
  <c r="H25" i="40"/>
  <c r="J25" i="40"/>
  <c r="F103" i="39"/>
  <c r="H29" i="39"/>
  <c r="G103" i="39"/>
  <c r="J29" i="39"/>
  <c r="G66" i="36"/>
  <c r="J18" i="36"/>
  <c r="F68" i="35"/>
  <c r="G68" i="35" s="1"/>
  <c r="H18" i="35"/>
  <c r="S18" i="35"/>
  <c r="J18" i="35"/>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G77" i="37"/>
  <c r="J21" i="37"/>
  <c r="G84" i="34"/>
  <c r="J21" i="34"/>
  <c r="G83" i="33"/>
  <c r="J21" i="33"/>
  <c r="F83" i="21"/>
  <c r="G83" i="21" s="1"/>
  <c r="H21" i="21"/>
  <c r="F38" i="69"/>
  <c r="E37" i="69"/>
  <c r="F36" i="69"/>
  <c r="F35" i="69"/>
  <c r="F21" i="69"/>
  <c r="F20" i="69"/>
  <c r="F39" i="69" s="1"/>
  <c r="E10" i="69"/>
  <c r="E9" i="69"/>
  <c r="AC21" i="37"/>
  <c r="W21" i="37"/>
  <c r="AC21" i="34"/>
  <c r="W21" i="34"/>
  <c r="AC21" i="33"/>
  <c r="W21" i="33"/>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A12" i="1"/>
  <c r="A13" i="1"/>
  <c r="A6" i="1"/>
  <c r="E11" i="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c r="N1" i="43"/>
  <c r="F35" i="4"/>
  <c r="J55" i="39" s="1"/>
  <c r="H38" i="43"/>
  <c r="H39" i="43"/>
  <c r="H40" i="43"/>
  <c r="H41" i="43"/>
  <c r="H42" i="43"/>
  <c r="H37" i="43"/>
  <c r="J24" i="43"/>
  <c r="C22" i="43"/>
  <c r="C13" i="43"/>
  <c r="C10" i="43"/>
  <c r="C11" i="43" s="1"/>
  <c r="C9"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s="1"/>
  <c r="BB493" i="3"/>
  <c r="BC493" i="3"/>
  <c r="BD493" i="3"/>
  <c r="BE493" i="3"/>
  <c r="BF493" i="3"/>
  <c r="BG493" i="3"/>
  <c r="BH493" i="3"/>
  <c r="BI493" i="3"/>
  <c r="BJ493" i="3"/>
  <c r="BK493" i="3"/>
  <c r="BM493" i="3"/>
  <c r="BN493" i="3"/>
  <c r="BL493" i="3" s="1"/>
  <c r="AZ493" i="3" s="1"/>
  <c r="BO493" i="3"/>
  <c r="BP493" i="3"/>
  <c r="BP5" i="3" s="1"/>
  <c r="BR493" i="3"/>
  <c r="BS493" i="3"/>
  <c r="BT493" i="3"/>
  <c r="H494" i="3"/>
  <c r="H5" i="3" s="1"/>
  <c r="AC494" i="3"/>
  <c r="BB494" i="3"/>
  <c r="BA494" i="3" s="1"/>
  <c r="BC494" i="3"/>
  <c r="BD494" i="3"/>
  <c r="BD5" i="3" s="1"/>
  <c r="BE494" i="3"/>
  <c r="BF494" i="3"/>
  <c r="BG494" i="3"/>
  <c r="BH494" i="3"/>
  <c r="BH5" i="3" s="1"/>
  <c r="BI494" i="3"/>
  <c r="BJ494" i="3"/>
  <c r="BK494" i="3"/>
  <c r="BM494" i="3"/>
  <c r="BN494" i="3"/>
  <c r="BO494" i="3"/>
  <c r="BO5" i="3" s="1"/>
  <c r="BP494" i="3"/>
  <c r="BQ494" i="3"/>
  <c r="BR494" i="3"/>
  <c r="BS494" i="3"/>
  <c r="BT494" i="3"/>
  <c r="H495" i="3"/>
  <c r="AC495" i="3"/>
  <c r="BB495" i="3"/>
  <c r="BA495" i="3" s="1"/>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A499" i="3" s="1"/>
  <c r="BC499" i="3"/>
  <c r="BD499" i="3"/>
  <c r="BE499" i="3"/>
  <c r="BF499" i="3"/>
  <c r="BG499" i="3"/>
  <c r="BH499" i="3"/>
  <c r="BI499" i="3"/>
  <c r="BJ499" i="3"/>
  <c r="BK499" i="3"/>
  <c r="BM499" i="3"/>
  <c r="BL499" i="3" s="1"/>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AZ501" i="3" s="1"/>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A507" i="3" s="1"/>
  <c r="AZ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G514" i="3" s="1"/>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L537" i="3" s="1"/>
  <c r="AZ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c r="D84" i="35"/>
  <c r="E84" i="35"/>
  <c r="F84" i="35" s="1"/>
  <c r="G84" i="35" s="1"/>
  <c r="H84" i="35" s="1"/>
  <c r="I84" i="35" s="1"/>
  <c r="J84" i="35" s="1"/>
  <c r="K84" i="35" s="1"/>
  <c r="L84" i="35" s="1"/>
  <c r="M84" i="35" s="1"/>
  <c r="D80" i="35"/>
  <c r="E80" i="35"/>
  <c r="F80" i="35" s="1"/>
  <c r="G80" i="35" s="1"/>
  <c r="H80" i="35" s="1"/>
  <c r="I80" i="35" s="1"/>
  <c r="J80" i="35" s="1"/>
  <c r="K80" i="35" s="1"/>
  <c r="L80" i="35" s="1"/>
  <c r="M80" i="35"/>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c r="F12" i="35"/>
  <c r="S12" i="35"/>
  <c r="Q11" i="35"/>
  <c r="Z11" i="35"/>
  <c r="Q10" i="35"/>
  <c r="Z10" i="35"/>
  <c r="Q9" i="35"/>
  <c r="Z9" i="35"/>
  <c r="J8" i="35"/>
  <c r="W8" i="35"/>
  <c r="H8" i="35"/>
  <c r="AB8" i="35"/>
  <c r="F8" i="35"/>
  <c r="AA8" i="35"/>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F67" i="34"/>
  <c r="G67" i="34" s="1"/>
  <c r="D126" i="34"/>
  <c r="E126" i="34" s="1"/>
  <c r="F126" i="34"/>
  <c r="G126" i="34" s="1"/>
  <c r="D124" i="34"/>
  <c r="E124" i="34" s="1"/>
  <c r="F124" i="34"/>
  <c r="G124" i="34" s="1"/>
  <c r="H124" i="34" s="1"/>
  <c r="I124" i="34" s="1"/>
  <c r="J124" i="34"/>
  <c r="K124" i="34" s="1"/>
  <c r="L124" i="34" s="1"/>
  <c r="M124" i="34" s="1"/>
  <c r="H43" i="34"/>
  <c r="AB43" i="34" s="1"/>
  <c r="D118" i="34"/>
  <c r="E118" i="34" s="1"/>
  <c r="F118" i="34"/>
  <c r="G118" i="34" s="1"/>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D107" i="34"/>
  <c r="E107" i="34" s="1"/>
  <c r="F107" i="34"/>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c r="L102" i="34" s="1"/>
  <c r="M102" i="34" s="1"/>
  <c r="D92" i="34"/>
  <c r="E92" i="34"/>
  <c r="F92" i="34" s="1"/>
  <c r="G92" i="34"/>
  <c r="H92" i="34" s="1"/>
  <c r="I92" i="34" s="1"/>
  <c r="J92" i="34" s="1"/>
  <c r="K92" i="34"/>
  <c r="L92" i="34" s="1"/>
  <c r="M92" i="34" s="1"/>
  <c r="B91" i="34"/>
  <c r="B89" i="34"/>
  <c r="J27" i="34" s="1"/>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c r="H103" i="37" s="1"/>
  <c r="I103" i="37" s="1"/>
  <c r="J103" i="37" s="1"/>
  <c r="K103" i="37" s="1"/>
  <c r="L103" i="37" s="1"/>
  <c r="M103" i="37" s="1"/>
  <c r="F39" i="37"/>
  <c r="S39" i="37"/>
  <c r="U14" i="37"/>
  <c r="F29" i="36"/>
  <c r="AA29" i="36" s="1"/>
  <c r="W8" i="36"/>
  <c r="F16" i="36"/>
  <c r="AA16" i="36"/>
  <c r="U9" i="36"/>
  <c r="W28" i="36"/>
  <c r="S30" i="36"/>
  <c r="AA31" i="36"/>
  <c r="W31" i="36"/>
  <c r="U31" i="36"/>
  <c r="J33" i="36"/>
  <c r="W33" i="36" s="1"/>
  <c r="H22" i="35"/>
  <c r="AB22" i="35" s="1"/>
  <c r="AC27" i="35"/>
  <c r="W28" i="35"/>
  <c r="U31" i="35"/>
  <c r="W36" i="35"/>
  <c r="W22" i="35"/>
  <c r="S31" i="35"/>
  <c r="F36" i="34"/>
  <c r="J35" i="34"/>
  <c r="W9" i="34"/>
  <c r="S34" i="34"/>
  <c r="H39" i="33"/>
  <c r="AB39" i="33" s="1"/>
  <c r="F26" i="33"/>
  <c r="U33" i="33"/>
  <c r="U35" i="33"/>
  <c r="S40" i="33"/>
  <c r="W39" i="33"/>
  <c r="H39" i="37"/>
  <c r="AB39" i="37" s="1"/>
  <c r="S27" i="35"/>
  <c r="F11" i="40"/>
  <c r="AA11" i="40"/>
  <c r="H11" i="40"/>
  <c r="AB11" i="40"/>
  <c r="AB39" i="40"/>
  <c r="AC40" i="40"/>
  <c r="AA9" i="40"/>
  <c r="AC9" i="40"/>
  <c r="S34" i="40"/>
  <c r="S40" i="40"/>
  <c r="W31"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S44" i="39"/>
  <c r="J34" i="36"/>
  <c r="W34" i="36"/>
  <c r="U30"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U14" i="34" s="1"/>
  <c r="H30" i="34"/>
  <c r="F30" i="34"/>
  <c r="S30" i="34" s="1"/>
  <c r="J30" i="34"/>
  <c r="H32" i="34"/>
  <c r="U32" i="34" s="1"/>
  <c r="F32" i="34"/>
  <c r="J32" i="34"/>
  <c r="W32" i="34" s="1"/>
  <c r="H46" i="34"/>
  <c r="U46" i="34" s="1"/>
  <c r="F46" i="34"/>
  <c r="S46" i="34" s="1"/>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S14" i="39" s="1"/>
  <c r="H14" i="39"/>
  <c r="AB14" i="39"/>
  <c r="F12" i="40"/>
  <c r="S12" i="40"/>
  <c r="H12" i="40"/>
  <c r="AB12" i="40"/>
  <c r="H30" i="40"/>
  <c r="AB30" i="40"/>
  <c r="F33" i="40"/>
  <c r="AA33" i="40"/>
  <c r="H33" i="40"/>
  <c r="U33" i="40"/>
  <c r="J35" i="40"/>
  <c r="AC35" i="40"/>
  <c r="J37" i="40"/>
  <c r="AC37" i="40"/>
  <c r="F14" i="37"/>
  <c r="S14" i="37"/>
  <c r="F27" i="37"/>
  <c r="AA27" i="37"/>
  <c r="F13" i="39"/>
  <c r="J13" i="39"/>
  <c r="W13" i="39" s="1"/>
  <c r="H13" i="39"/>
  <c r="U13" i="39" s="1"/>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5" i="3"/>
  <c r="F17" i="21"/>
  <c r="AA17" i="21"/>
  <c r="H17" i="21"/>
  <c r="AB17" i="21"/>
  <c r="F15" i="21"/>
  <c r="S15" i="21"/>
  <c r="AB11" i="21"/>
  <c r="J41" i="39"/>
  <c r="W41" i="39" s="1"/>
  <c r="AC45" i="39"/>
  <c r="W44" i="39"/>
  <c r="W36" i="39"/>
  <c r="W35" i="39"/>
  <c r="U36" i="39"/>
  <c r="S35" i="39"/>
  <c r="G544" i="3"/>
  <c r="G532" i="3"/>
  <c r="G523" i="3"/>
  <c r="G508" i="3"/>
  <c r="G584" i="3"/>
  <c r="G580" i="3"/>
  <c r="G576" i="3"/>
  <c r="G572" i="3"/>
  <c r="G568" i="3"/>
  <c r="G564" i="3"/>
  <c r="G560" i="3"/>
  <c r="G554" i="3"/>
  <c r="G550" i="3"/>
  <c r="BL584" i="3"/>
  <c r="BL580" i="3"/>
  <c r="BL576" i="3"/>
  <c r="BL572" i="3"/>
  <c r="BL568" i="3"/>
  <c r="BL564" i="3"/>
  <c r="BL560" i="3"/>
  <c r="BL554" i="3"/>
  <c r="BL546" i="3"/>
  <c r="BL542" i="3"/>
  <c r="BL526" i="3"/>
  <c r="BL506" i="3"/>
  <c r="BL582" i="3"/>
  <c r="BL578" i="3"/>
  <c r="BL574" i="3"/>
  <c r="BL570" i="3"/>
  <c r="BL566" i="3"/>
  <c r="BL562" i="3"/>
  <c r="BL556" i="3"/>
  <c r="BL552" i="3"/>
  <c r="BL544" i="3"/>
  <c r="BL532" i="3"/>
  <c r="BL524" i="3"/>
  <c r="BL514" i="3"/>
  <c r="BL504" i="3"/>
  <c r="BL496"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BA538" i="3"/>
  <c r="BA536" i="3"/>
  <c r="AZ536" i="3" s="1"/>
  <c r="BA534" i="3"/>
  <c r="AZ534" i="3" s="1"/>
  <c r="BA532" i="3"/>
  <c r="AZ532" i="3" s="1"/>
  <c r="BA530" i="3"/>
  <c r="BA520" i="3"/>
  <c r="AZ520" i="3" s="1"/>
  <c r="BA512" i="3"/>
  <c r="BA510" i="3"/>
  <c r="AZ510" i="3" s="1"/>
  <c r="BA508" i="3"/>
  <c r="AZ508" i="3" s="1"/>
  <c r="BA504" i="3"/>
  <c r="AZ504" i="3" s="1"/>
  <c r="BA502" i="3"/>
  <c r="BA498" i="3"/>
  <c r="AZ498" i="3" s="1"/>
  <c r="BA496" i="3"/>
  <c r="AZ496" i="3" s="1"/>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BA537" i="3"/>
  <c r="BA533" i="3"/>
  <c r="BA529" i="3"/>
  <c r="BA525" i="3"/>
  <c r="BA519" i="3"/>
  <c r="AZ519" i="3" s="1"/>
  <c r="BA515" i="3"/>
  <c r="AZ515" i="3" s="1"/>
  <c r="BA511" i="3"/>
  <c r="AZ511" i="3" s="1"/>
  <c r="BA505" i="3"/>
  <c r="BA501" i="3"/>
  <c r="BA497" i="3"/>
  <c r="AZ497" i="3" s="1"/>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7" i="3"/>
  <c r="G545" i="3"/>
  <c r="G543" i="3"/>
  <c r="G539" i="3"/>
  <c r="BQ555" i="3"/>
  <c r="BL555" i="3" s="1"/>
  <c r="AZ555" i="3" s="1"/>
  <c r="BQ553" i="3"/>
  <c r="BL553" i="3"/>
  <c r="AZ553" i="3" s="1"/>
  <c r="BQ551" i="3"/>
  <c r="BL551" i="3" s="1"/>
  <c r="AZ551" i="3" s="1"/>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Z521" i="3" s="1"/>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W37" i="34"/>
  <c r="AC36" i="34"/>
  <c r="AC31" i="33"/>
  <c r="W44" i="33"/>
  <c r="U11" i="33"/>
  <c r="U19" i="21"/>
  <c r="U26" i="21"/>
  <c r="AB38" i="21"/>
  <c r="F43" i="33"/>
  <c r="AA43" i="33" s="1"/>
  <c r="W15" i="34"/>
  <c r="AC15" i="34"/>
  <c r="W16" i="35"/>
  <c r="G107" i="37"/>
  <c r="H107" i="37" s="1"/>
  <c r="I107" i="37" s="1"/>
  <c r="J107" i="37" s="1"/>
  <c r="K107" i="37" s="1"/>
  <c r="L107" i="37" s="1"/>
  <c r="M107" i="37" s="1"/>
  <c r="H37" i="21"/>
  <c r="U37"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c r="F88" i="40"/>
  <c r="G88" i="40"/>
  <c r="F19" i="40"/>
  <c r="S19" i="40"/>
  <c r="S14" i="40"/>
  <c r="AB33" i="40"/>
  <c r="W23" i="39"/>
  <c r="AC43" i="39"/>
  <c r="W43" i="39"/>
  <c r="U45" i="39"/>
  <c r="AB45" i="39"/>
  <c r="AB44" i="39"/>
  <c r="U44" i="39"/>
  <c r="G101" i="39"/>
  <c r="H37" i="39"/>
  <c r="AB37" i="39" s="1"/>
  <c r="H25" i="39"/>
  <c r="AB25" i="39" s="1"/>
  <c r="J25" i="39"/>
  <c r="W25" i="39" s="1"/>
  <c r="F25" i="39"/>
  <c r="AA25" i="39"/>
  <c r="F15" i="39"/>
  <c r="AA15" i="39"/>
  <c r="H15" i="39"/>
  <c r="U15" i="39"/>
  <c r="J15" i="39"/>
  <c r="W15" i="39"/>
  <c r="H41" i="39"/>
  <c r="W27" i="39"/>
  <c r="AB34" i="39"/>
  <c r="U40" i="39"/>
  <c r="S42" i="39"/>
  <c r="W14" i="39"/>
  <c r="W9" i="39"/>
  <c r="W8" i="39"/>
  <c r="J19" i="40"/>
  <c r="AC19" i="40" s="1"/>
  <c r="J50" i="40"/>
  <c r="B54" i="72"/>
  <c r="H103" i="9"/>
  <c r="D8" i="53" s="1"/>
  <c r="B16" i="53"/>
  <c r="B33" i="72" s="1"/>
  <c r="C7" i="37"/>
  <c r="C7" i="34"/>
  <c r="C7" i="36"/>
  <c r="W35" i="40"/>
  <c r="A4" i="52"/>
  <c r="B41" i="72" s="1"/>
  <c r="J11" i="39"/>
  <c r="W11" i="39"/>
  <c r="F11" i="39"/>
  <c r="AA11" i="39"/>
  <c r="A12" i="52"/>
  <c r="B56" i="72" s="1"/>
  <c r="S11" i="39"/>
  <c r="G4" i="4"/>
  <c r="K5" i="4" s="1"/>
  <c r="B47" i="48" s="1"/>
  <c r="I4" i="4"/>
  <c r="A2" i="9"/>
  <c r="AZ20" i="3"/>
  <c r="AZ24" i="3"/>
  <c r="AZ28" i="3"/>
  <c r="AZ32" i="3"/>
  <c r="BL549"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G548" i="3"/>
  <c r="G520" i="3"/>
  <c r="BS5" i="3"/>
  <c r="BN5" i="3"/>
  <c r="AZ343" i="3"/>
  <c r="BI5" i="3"/>
  <c r="G17" i="3"/>
  <c r="BA17" i="3"/>
  <c r="BT5" i="3"/>
  <c r="AZ350" i="3"/>
  <c r="AZ352" i="3"/>
  <c r="AZ360" i="3"/>
  <c r="AZ368" i="3"/>
  <c r="BA15" i="3"/>
  <c r="AZ15" i="3"/>
  <c r="BR5" i="3"/>
  <c r="AZ384" i="3"/>
  <c r="AZ388" i="3"/>
  <c r="AZ392" i="3"/>
  <c r="AZ396" i="3"/>
  <c r="AZ394" i="3"/>
  <c r="G509" i="3"/>
  <c r="AZ491" i="3"/>
  <c r="AZ390" i="3"/>
  <c r="U36" i="40"/>
  <c r="H117" i="43"/>
  <c r="D21" i="43"/>
  <c r="F42" i="43"/>
  <c r="I21" i="43"/>
  <c r="F39" i="43"/>
  <c r="J21" i="43"/>
  <c r="F6" i="1"/>
  <c r="S14" i="35"/>
  <c r="U43" i="21"/>
  <c r="U35" i="21"/>
  <c r="AC35" i="21"/>
  <c r="U10" i="21"/>
  <c r="G9"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3" i="35"/>
  <c r="AB29" i="36"/>
  <c r="U29" i="36"/>
  <c r="H32" i="37"/>
  <c r="AB32" i="37" s="1"/>
  <c r="F96" i="37"/>
  <c r="J30" i="40"/>
  <c r="AC30" i="40"/>
  <c r="F30" i="40"/>
  <c r="AA30"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E26" i="43"/>
  <c r="W12" i="33"/>
  <c r="AC12" i="33"/>
  <c r="AA32" i="36"/>
  <c r="S32" i="36"/>
  <c r="AZ550" i="3"/>
  <c r="AZ408" i="3"/>
  <c r="AZ437" i="3"/>
  <c r="AZ441" i="3"/>
  <c r="AZ457" i="3"/>
  <c r="AZ473" i="3"/>
  <c r="AZ490" i="3"/>
  <c r="AA39" i="34"/>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AC34" i="33"/>
  <c r="AA34" i="33"/>
  <c r="B41" i="1"/>
  <c r="F48" i="9" s="1"/>
  <c r="O52" i="9" s="1"/>
  <c r="S22" i="31"/>
  <c r="AB37" i="40"/>
  <c r="S35" i="40"/>
  <c r="AC36" i="40"/>
  <c r="W38" i="40"/>
  <c r="AA32" i="40"/>
  <c r="S17" i="40"/>
  <c r="S23" i="40"/>
  <c r="AC15" i="40"/>
  <c r="S30" i="40"/>
  <c r="AA19" i="40"/>
  <c r="S28" i="40"/>
  <c r="U21" i="40"/>
  <c r="AB19" i="40"/>
  <c r="W42" i="39"/>
  <c r="W39" i="39"/>
  <c r="S43" i="39"/>
  <c r="U35" i="39"/>
  <c r="F32" i="39"/>
  <c r="AA32" i="39" s="1"/>
  <c r="F107" i="39"/>
  <c r="G107" i="39"/>
  <c r="AB27" i="39"/>
  <c r="U31" i="39"/>
  <c r="S25" i="39"/>
  <c r="J21" i="39"/>
  <c r="F21" i="39"/>
  <c r="AA21" i="39" s="1"/>
  <c r="G95" i="39"/>
  <c r="H21" i="39"/>
  <c r="AB21" i="39" s="1"/>
  <c r="U19" i="39"/>
  <c r="S17" i="39"/>
  <c r="AC15" i="39"/>
  <c r="S15" i="39"/>
  <c r="AB15" i="39"/>
  <c r="S9" i="39"/>
  <c r="U14" i="39"/>
  <c r="AC13" i="39"/>
  <c r="S23" i="36"/>
  <c r="AC27" i="36"/>
  <c r="U26" i="36"/>
  <c r="S33" i="36"/>
  <c r="S27" i="36"/>
  <c r="AA26" i="36"/>
  <c r="AA34" i="36"/>
  <c r="S29" i="36"/>
  <c r="AC26" i="36"/>
  <c r="AA22" i="36"/>
  <c r="W14" i="36"/>
  <c r="AB14" i="36"/>
  <c r="U22" i="36"/>
  <c r="S16" i="36"/>
  <c r="AA25" i="36"/>
  <c r="S24" i="36"/>
  <c r="U24" i="36"/>
  <c r="U23" i="36"/>
  <c r="AB20" i="36"/>
  <c r="S14" i="36"/>
  <c r="U10" i="36"/>
  <c r="W10" i="36"/>
  <c r="AA25" i="35"/>
  <c r="S23" i="35"/>
  <c r="W24" i="35"/>
  <c r="AB13" i="35"/>
  <c r="U29" i="35"/>
  <c r="U28" i="35"/>
  <c r="AB27" i="35"/>
  <c r="U36" i="35"/>
  <c r="U32" i="35"/>
  <c r="AA33" i="35"/>
  <c r="S32" i="35"/>
  <c r="W32" i="35"/>
  <c r="S28" i="35"/>
  <c r="AB16" i="35"/>
  <c r="U22" i="35"/>
  <c r="S20" i="35"/>
  <c r="S22" i="35"/>
  <c r="U14" i="35"/>
  <c r="AC10" i="35"/>
  <c r="AA10" i="35"/>
  <c r="AB10" i="35"/>
  <c r="S8" i="35"/>
  <c r="AC9" i="35"/>
  <c r="W9" i="35"/>
  <c r="AC12" i="35"/>
  <c r="W13" i="35"/>
  <c r="F9" i="35"/>
  <c r="H9" i="35"/>
  <c r="AB9" i="35" s="1"/>
  <c r="F26" i="35"/>
  <c r="AA26" i="35"/>
  <c r="J26" i="35"/>
  <c r="H26" i="35"/>
  <c r="U26" i="35" s="1"/>
  <c r="AB40" i="37"/>
  <c r="W27" i="37"/>
  <c r="S26" i="37"/>
  <c r="AC29" i="37"/>
  <c r="U29" i="37"/>
  <c r="S32" i="37"/>
  <c r="AB31" i="37"/>
  <c r="W30" i="37"/>
  <c r="S36" i="37"/>
  <c r="AA38"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H10" i="37"/>
  <c r="AB10" i="37" s="1"/>
  <c r="H60" i="37"/>
  <c r="F63" i="37"/>
  <c r="G63" i="37" s="1"/>
  <c r="H63" i="37" s="1"/>
  <c r="I63" i="37" s="1"/>
  <c r="J63" i="37" s="1"/>
  <c r="K63" i="37" s="1"/>
  <c r="L63" i="37" s="1"/>
  <c r="M63" i="37" s="1"/>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AA35" i="33"/>
  <c r="S27" i="33"/>
  <c r="S32" i="33"/>
  <c r="AA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F79" i="33"/>
  <c r="S15" i="33"/>
  <c r="W15"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M20" i="67"/>
  <c r="F34" i="15"/>
  <c r="F62" i="15"/>
  <c r="G13" i="3"/>
  <c r="BL17" i="3"/>
  <c r="AZ17" i="3" s="1"/>
  <c r="J56" i="9"/>
  <c r="J57" i="9" s="1"/>
  <c r="J59" i="9" s="1"/>
  <c r="J61" i="9" s="1"/>
  <c r="A24" i="51"/>
  <c r="B18" i="72" s="1"/>
  <c r="U29" i="34"/>
  <c r="E32" i="6"/>
  <c r="L19" i="6" s="1"/>
  <c r="G1" i="68"/>
  <c r="K1" i="12"/>
  <c r="AQ12"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s="1"/>
  <c r="B14" i="72" s="1"/>
  <c r="C46" i="36"/>
  <c r="D46" i="36" s="1"/>
  <c r="C59" i="34"/>
  <c r="D59" i="34" s="1"/>
  <c r="C52" i="37"/>
  <c r="D52" i="37" s="1"/>
  <c r="A4" i="51"/>
  <c r="B6" i="72" s="1"/>
  <c r="C4" i="12"/>
  <c r="L20" i="6"/>
  <c r="B6" i="1"/>
  <c r="E6" i="1" s="1"/>
  <c r="S8" i="1"/>
  <c r="AR8" i="1" s="1"/>
  <c r="K11" i="1"/>
  <c r="M11" i="1" s="1"/>
  <c r="AP6" i="1"/>
  <c r="B9" i="1"/>
  <c r="E9" i="1"/>
  <c r="K7" i="1"/>
  <c r="M7" i="1" s="1"/>
  <c r="O7" i="1" s="1"/>
  <c r="P7" i="1" s="1"/>
  <c r="G1" i="15"/>
  <c r="G1" i="69"/>
  <c r="G1" i="67"/>
  <c r="W23" i="40"/>
  <c r="U32" i="40"/>
  <c r="AB31" i="40"/>
  <c r="S37" i="40"/>
  <c r="AB28" i="40"/>
  <c r="W28" i="40"/>
  <c r="W34" i="40"/>
  <c r="W19" i="40"/>
  <c r="S36" i="40"/>
  <c r="W37" i="40"/>
  <c r="AC14" i="40"/>
  <c r="S33" i="40"/>
  <c r="AA15" i="40"/>
  <c r="U11" i="40"/>
  <c r="S31" i="40"/>
  <c r="AB17" i="40"/>
  <c r="U8" i="40"/>
  <c r="S8" i="40"/>
  <c r="AC41" i="39"/>
  <c r="U42" i="39"/>
  <c r="AB23" i="39"/>
  <c r="U41" i="39"/>
  <c r="AB41" i="39"/>
  <c r="AC25" i="39"/>
  <c r="AB13" i="39"/>
  <c r="AA13" i="39"/>
  <c r="S13"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S27" i="37"/>
  <c r="S28" i="37"/>
  <c r="W32" i="37"/>
  <c r="U36" i="37"/>
  <c r="S40" i="37"/>
  <c r="U38" i="37"/>
  <c r="AB37" i="37"/>
  <c r="S33" i="37"/>
  <c r="AC34" i="37"/>
  <c r="AA11" i="37"/>
  <c r="U19" i="37"/>
  <c r="AA8" i="37"/>
  <c r="U8" i="37"/>
  <c r="AA40" i="34"/>
  <c r="AB40" i="34"/>
  <c r="U19" i="34"/>
  <c r="W19" i="34"/>
  <c r="AB33" i="34"/>
  <c r="AC45" i="34"/>
  <c r="AA31"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AA46" i="34"/>
  <c r="AB32"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S45" i="21"/>
  <c r="F33" i="21"/>
  <c r="S33" i="21" s="1"/>
  <c r="J33" i="21"/>
  <c r="H33" i="21"/>
  <c r="AB33" i="21" s="1"/>
  <c r="F37" i="21"/>
  <c r="AA37" i="21" s="1"/>
  <c r="AA26" i="21"/>
  <c r="AB14" i="21"/>
  <c r="U40" i="21"/>
  <c r="AB31" i="21"/>
  <c r="U31" i="21"/>
  <c r="AC15" i="21"/>
  <c r="W8" i="21"/>
  <c r="S35" i="21"/>
  <c r="AB37" i="21"/>
  <c r="J37" i="21"/>
  <c r="W37" i="21" s="1"/>
  <c r="H15" i="21"/>
  <c r="U15" i="21" s="1"/>
  <c r="J17" i="21"/>
  <c r="AC17" i="21" s="1"/>
  <c r="AC19" i="21"/>
  <c r="W39" i="21"/>
  <c r="AC14" i="21"/>
  <c r="W30" i="21"/>
  <c r="H45" i="21"/>
  <c r="U45" i="21"/>
  <c r="F29" i="21"/>
  <c r="S29" i="21"/>
  <c r="F13" i="21"/>
  <c r="AA13" i="21"/>
  <c r="AC38" i="21"/>
  <c r="H32" i="21"/>
  <c r="AB32" i="21" s="1"/>
  <c r="H9" i="21"/>
  <c r="J9" i="21"/>
  <c r="W9" i="21" s="1"/>
  <c r="J32" i="21"/>
  <c r="F32" i="21"/>
  <c r="AA32" i="21" s="1"/>
  <c r="AA31" i="21"/>
  <c r="U17" i="21"/>
  <c r="S19" i="21"/>
  <c r="S9" i="21"/>
  <c r="AA9" i="21"/>
  <c r="K141" i="21"/>
  <c r="K144" i="21"/>
  <c r="K143" i="21"/>
  <c r="AB25" i="21"/>
  <c r="AA30" i="21"/>
  <c r="W42" i="21"/>
  <c r="AC45" i="21"/>
  <c r="F10" i="21"/>
  <c r="K145" i="21"/>
  <c r="W25" i="21"/>
  <c r="AA29" i="21"/>
  <c r="W31" i="21"/>
  <c r="S17" i="21"/>
  <c r="AA15" i="21"/>
  <c r="AC26" i="21"/>
  <c r="S28" i="21"/>
  <c r="AC34" i="21"/>
  <c r="W10" i="21"/>
  <c r="W12" i="21"/>
  <c r="AB36" i="21"/>
  <c r="W30" i="40"/>
  <c r="C19" i="39"/>
  <c r="C15" i="40"/>
  <c r="C17" i="40"/>
  <c r="C23" i="40"/>
  <c r="C21" i="40"/>
  <c r="U30" i="40"/>
  <c r="B57" i="43"/>
  <c r="B68" i="43"/>
  <c r="B52" i="43"/>
  <c r="B55" i="43"/>
  <c r="B59" i="43"/>
  <c r="B63" i="43"/>
  <c r="B66" i="43"/>
  <c r="B70" i="43"/>
  <c r="D23" i="15"/>
  <c r="D22" i="15"/>
  <c r="E4" i="4"/>
  <c r="B5" i="62"/>
  <c r="B73" i="72" s="1"/>
  <c r="C4" i="4"/>
  <c r="K4" i="4" s="1"/>
  <c r="B46" i="48" s="1"/>
  <c r="B4" i="72" s="1"/>
  <c r="F30" i="68"/>
  <c r="F48" i="68" s="1"/>
  <c r="F31" i="12"/>
  <c r="M18" i="67"/>
  <c r="F28" i="15"/>
  <c r="T13" i="1"/>
  <c r="S7" i="1"/>
  <c r="AR7" i="1" s="1"/>
  <c r="E7" i="70"/>
  <c r="S39" i="40"/>
  <c r="S12" i="33"/>
  <c r="AA12" i="33"/>
  <c r="F54" i="9"/>
  <c r="J32" i="39"/>
  <c r="H107" i="39"/>
  <c r="I107" i="39" s="1"/>
  <c r="J107" i="39" s="1"/>
  <c r="K107" i="39" s="1"/>
  <c r="L107" i="39" s="1"/>
  <c r="M107" i="39" s="1"/>
  <c r="H32" i="39"/>
  <c r="AB32" i="39" s="1"/>
  <c r="S32" i="39"/>
  <c r="U21" i="39"/>
  <c r="S21" i="39"/>
  <c r="AC21" i="39"/>
  <c r="W21" i="39"/>
  <c r="S26" i="35"/>
  <c r="U9" i="35"/>
  <c r="AA9" i="35"/>
  <c r="S9" i="35"/>
  <c r="AC26" i="35"/>
  <c r="W26" i="35"/>
  <c r="AB26" i="35"/>
  <c r="AC17" i="37"/>
  <c r="S17" i="37"/>
  <c r="J19" i="37"/>
  <c r="AC19" i="37" s="1"/>
  <c r="S19" i="37"/>
  <c r="AA19" i="37"/>
  <c r="AA23" i="37"/>
  <c r="J23" i="37"/>
  <c r="G79" i="37"/>
  <c r="J10" i="37"/>
  <c r="I60" i="37"/>
  <c r="H11" i="37"/>
  <c r="U11" i="37" s="1"/>
  <c r="U10" i="37"/>
  <c r="G70" i="34"/>
  <c r="H11" i="34"/>
  <c r="U11" i="34" s="1"/>
  <c r="U10" i="34"/>
  <c r="J10" i="34"/>
  <c r="I67" i="34"/>
  <c r="AB41" i="33"/>
  <c r="U41" i="33"/>
  <c r="W35" i="33"/>
  <c r="AC35" i="33"/>
  <c r="H111" i="33"/>
  <c r="I111" i="33"/>
  <c r="J111" i="33" s="1"/>
  <c r="K111" i="33" s="1"/>
  <c r="L111" i="33" s="1"/>
  <c r="M111" i="33" s="1"/>
  <c r="J36" i="33"/>
  <c r="H36" i="33"/>
  <c r="AB36" i="33" s="1"/>
  <c r="AA36" i="33"/>
  <c r="AC32" i="33"/>
  <c r="W32" i="33"/>
  <c r="AB27" i="33"/>
  <c r="G91" i="33"/>
  <c r="H91" i="33"/>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W23" i="33"/>
  <c r="H19" i="33"/>
  <c r="U19" i="33" s="1"/>
  <c r="G81" i="33"/>
  <c r="G79" i="33"/>
  <c r="H17" i="33"/>
  <c r="F17" i="33"/>
  <c r="S17" i="33" s="1"/>
  <c r="W17" i="33"/>
  <c r="AC17" i="33"/>
  <c r="AB10" i="33"/>
  <c r="AC10" i="33"/>
  <c r="W10" i="33"/>
  <c r="U33" i="21"/>
  <c r="AA23" i="21"/>
  <c r="J23" i="21"/>
  <c r="AC23" i="21" s="1"/>
  <c r="F85" i="21"/>
  <c r="G85" i="21"/>
  <c r="H23" i="21"/>
  <c r="S13" i="21"/>
  <c r="R22" i="31"/>
  <c r="AP7" i="1"/>
  <c r="AB45" i="21"/>
  <c r="AC33" i="21"/>
  <c r="W33" i="21"/>
  <c r="AA33" i="21"/>
  <c r="W32" i="21"/>
  <c r="AC32" i="21"/>
  <c r="AB9" i="21"/>
  <c r="U9" i="21"/>
  <c r="S32" i="21"/>
  <c r="AC9" i="21"/>
  <c r="U32" i="21"/>
  <c r="AA10" i="21"/>
  <c r="S10" i="21"/>
  <c r="E6" i="70"/>
  <c r="E2" i="70" s="1"/>
  <c r="A18" i="62"/>
  <c r="B64" i="72" s="1"/>
  <c r="U32" i="39"/>
  <c r="AC32" i="39"/>
  <c r="W32" i="39"/>
  <c r="W19" i="37"/>
  <c r="W23" i="37"/>
  <c r="AC23" i="37"/>
  <c r="AB11" i="37"/>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11" i="37"/>
  <c r="W11" i="34"/>
  <c r="AC11" i="34"/>
  <c r="R7" i="1"/>
  <c r="F34" i="11"/>
  <c r="F11" i="12"/>
  <c r="C23" i="12" s="1"/>
  <c r="F34" i="68"/>
  <c r="R8" i="1"/>
  <c r="AE7" i="1"/>
  <c r="AE8" i="1"/>
  <c r="AE6"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81" i="71"/>
  <c r="D73" i="71"/>
  <c r="B68" i="71"/>
  <c r="B67" i="71" s="1"/>
  <c r="M11" i="43"/>
  <c r="E62" i="43"/>
  <c r="B60" i="43" s="1"/>
  <c r="B117" i="43"/>
  <c r="I122" i="43" s="1"/>
  <c r="J122" i="43" s="1"/>
  <c r="K122" i="43" s="1"/>
  <c r="L122" i="43" s="1"/>
  <c r="M122" i="43" s="1"/>
  <c r="N94" i="46"/>
  <c r="G26" i="43"/>
  <c r="D23" i="67"/>
  <c r="G25" i="12"/>
  <c r="G41" i="11"/>
  <c r="G27" i="12"/>
  <c r="G41" i="68"/>
  <c r="B4" i="62"/>
  <c r="B71" i="72" s="1"/>
  <c r="D123" i="43"/>
  <c r="E123" i="43" s="1"/>
  <c r="F123" i="43" s="1"/>
  <c r="G123" i="43" s="1"/>
  <c r="H123" i="43" s="1"/>
  <c r="O68" i="71"/>
  <c r="M32" i="43"/>
  <c r="N32" i="43"/>
  <c r="O32" i="43"/>
  <c r="P32" i="43"/>
  <c r="J26" i="43"/>
  <c r="M27" i="67"/>
  <c r="F7" i="15"/>
  <c r="F26" i="67"/>
  <c r="M9" i="67"/>
  <c r="M24" i="67"/>
  <c r="F7" i="73"/>
  <c r="M26" i="15"/>
  <c r="B7" i="76"/>
  <c r="M24" i="15"/>
  <c r="F26" i="15"/>
  <c r="F9" i="67"/>
  <c r="E10" i="76"/>
  <c r="F36" i="67"/>
  <c r="M29" i="67"/>
  <c r="C20" i="9"/>
  <c r="D3" i="73"/>
  <c r="AO6" i="1"/>
  <c r="L48" i="67"/>
  <c r="D6" i="73"/>
  <c r="F42" i="67"/>
  <c r="E2" i="68"/>
  <c r="B12" i="76"/>
  <c r="D4" i="73"/>
  <c r="F41" i="67"/>
  <c r="F6" i="73"/>
  <c r="B11" i="76"/>
  <c r="E11" i="76"/>
  <c r="AO11" i="1"/>
  <c r="F4" i="73"/>
  <c r="B9" i="76"/>
  <c r="E13" i="76"/>
  <c r="F5" i="73"/>
  <c r="E12" i="76"/>
  <c r="B13" i="76"/>
  <c r="D20" i="9"/>
  <c r="F20" i="31"/>
  <c r="E8" i="76"/>
  <c r="AO10" i="1"/>
  <c r="AO13" i="1"/>
  <c r="D2" i="37"/>
  <c r="D2" i="36"/>
  <c r="F3" i="73"/>
  <c r="AO7" i="1"/>
  <c r="D34" i="9"/>
  <c r="D2" i="34"/>
  <c r="AO12" i="1"/>
  <c r="E7" i="76"/>
  <c r="D35" i="9"/>
  <c r="F43" i="15"/>
  <c r="M26" i="67"/>
  <c r="D2" i="33"/>
  <c r="F16" i="67"/>
  <c r="D19" i="9"/>
  <c r="AO8" i="1"/>
  <c r="F37" i="67"/>
  <c r="F36" i="15"/>
  <c r="F9" i="15"/>
  <c r="D2" i="35"/>
  <c r="AO9" i="1"/>
  <c r="F8" i="67"/>
  <c r="E9" i="76"/>
  <c r="M28" i="67"/>
  <c r="B10" i="76"/>
  <c r="L47" i="15"/>
  <c r="C19" i="9"/>
  <c r="D2" i="21"/>
  <c r="J15" i="67"/>
  <c r="C76" i="67"/>
  <c r="F6" i="15"/>
  <c r="M22" i="67"/>
  <c r="L47" i="67"/>
  <c r="E2" i="69"/>
  <c r="B8" i="76"/>
  <c r="M8" i="15"/>
  <c r="F13" i="67"/>
  <c r="D7" i="73"/>
  <c r="G28" i="6" l="1"/>
  <c r="E28" i="6" s="1"/>
  <c r="BQ5" i="3"/>
  <c r="F28" i="6" s="1"/>
  <c r="G29" i="6"/>
  <c r="E29" i="6" s="1"/>
  <c r="K15" i="1" s="1"/>
  <c r="BE5" i="3"/>
  <c r="A118" i="9"/>
  <c r="C24" i="43"/>
  <c r="U27" i="40"/>
  <c r="AB27" i="40"/>
  <c r="D9" i="53"/>
  <c r="B25" i="72" s="1"/>
  <c r="B24" i="72"/>
  <c r="O67" i="71"/>
  <c r="O66" i="71"/>
  <c r="AZ528" i="3"/>
  <c r="AZ518" i="3"/>
  <c r="AZ517" i="3"/>
  <c r="AZ516" i="3"/>
  <c r="AZ513" i="3"/>
  <c r="AZ500" i="3"/>
  <c r="AZ499" i="3"/>
  <c r="AZ495" i="3"/>
  <c r="F30" i="6"/>
  <c r="D12" i="52"/>
  <c r="D127" i="9"/>
  <c r="D13" i="52" s="1"/>
  <c r="L67" i="9"/>
  <c r="M67" i="9" s="1"/>
  <c r="L63" i="9"/>
  <c r="M63" i="9" s="1"/>
  <c r="M69" i="9" s="1"/>
  <c r="N69" i="9" s="1"/>
  <c r="L64" i="9"/>
  <c r="M64" i="9" s="1"/>
  <c r="L66" i="9"/>
  <c r="M66" i="9" s="1"/>
  <c r="L65" i="9"/>
  <c r="M65" i="9" s="1"/>
  <c r="W23" i="21"/>
  <c r="AB15" i="21"/>
  <c r="S37" i="21"/>
  <c r="AC37" i="21"/>
  <c r="AA19" i="33"/>
  <c r="D68" i="9"/>
  <c r="T11" i="1"/>
  <c r="M18" i="15"/>
  <c r="F32" i="15"/>
  <c r="F60" i="15" s="1"/>
  <c r="F30" i="69"/>
  <c r="F32" i="67"/>
  <c r="F60" i="67" s="1"/>
  <c r="F52" i="9"/>
  <c r="F28" i="67"/>
  <c r="C28" i="67" s="1"/>
  <c r="F30" i="11"/>
  <c r="W17" i="21"/>
  <c r="AC37" i="33"/>
  <c r="AC14" i="34"/>
  <c r="AA30" i="34"/>
  <c r="AA29" i="37"/>
  <c r="AA31" i="37"/>
  <c r="AB35" i="37"/>
  <c r="W36" i="37"/>
  <c r="S23" i="39"/>
  <c r="AA39" i="39"/>
  <c r="U15" i="40"/>
  <c r="AR10" i="1"/>
  <c r="D120" i="9"/>
  <c r="AB29" i="33"/>
  <c r="AA9" i="37"/>
  <c r="U32" i="37"/>
  <c r="AC9" i="37"/>
  <c r="AA11" i="35"/>
  <c r="AC20" i="35"/>
  <c r="AA36" i="35"/>
  <c r="AC30" i="35"/>
  <c r="U16" i="36"/>
  <c r="AB27" i="36"/>
  <c r="U13" i="36"/>
  <c r="U12" i="39"/>
  <c r="AA12" i="39"/>
  <c r="W19" i="39"/>
  <c r="U25" i="39"/>
  <c r="U37" i="39"/>
  <c r="AC17" i="40"/>
  <c r="U35" i="40"/>
  <c r="F53" i="9"/>
  <c r="C31" i="12"/>
  <c r="AC21" i="40"/>
  <c r="F27" i="40"/>
  <c r="J27" i="40"/>
  <c r="U17" i="39"/>
  <c r="BB5" i="3"/>
  <c r="E11" i="6" s="1"/>
  <c r="AA41" i="39"/>
  <c r="U12" i="37"/>
  <c r="S42" i="21"/>
  <c r="W40" i="37"/>
  <c r="AC45" i="33"/>
  <c r="AA13" i="33"/>
  <c r="AB37" i="34"/>
  <c r="AB13" i="34"/>
  <c r="AA11" i="36"/>
  <c r="S11" i="36"/>
  <c r="AC11" i="35"/>
  <c r="W11" i="35"/>
  <c r="W30" i="34"/>
  <c r="AC30" i="34"/>
  <c r="AA45" i="33"/>
  <c r="S45" i="33"/>
  <c r="AC29" i="33"/>
  <c r="W29" i="33"/>
  <c r="U26" i="33"/>
  <c r="AB26" i="33"/>
  <c r="AB30" i="35"/>
  <c r="U30" i="35"/>
  <c r="U38" i="40"/>
  <c r="U9" i="40"/>
  <c r="W33" i="33"/>
  <c r="S9" i="33"/>
  <c r="H12" i="21"/>
  <c r="BL585" i="3"/>
  <c r="AZ585" i="3" s="1"/>
  <c r="H13" i="21"/>
  <c r="J13" i="21"/>
  <c r="J29" i="21"/>
  <c r="H29" i="21"/>
  <c r="J44" i="21"/>
  <c r="H44" i="21"/>
  <c r="F44" i="21"/>
  <c r="AA8" i="33"/>
  <c r="S8" i="33"/>
  <c r="H9" i="33"/>
  <c r="AB34" i="34"/>
  <c r="U34" i="34"/>
  <c r="J37" i="39"/>
  <c r="F37" i="39"/>
  <c r="AC32" i="40"/>
  <c r="W32" i="40"/>
  <c r="S44" i="33"/>
  <c r="AA44" i="33"/>
  <c r="S14" i="33"/>
  <c r="AA14" i="33"/>
  <c r="U11" i="36"/>
  <c r="AB11" i="36"/>
  <c r="AA26" i="33"/>
  <c r="S26" i="33"/>
  <c r="BA586" i="3"/>
  <c r="AZ586" i="3" s="1"/>
  <c r="J27" i="21"/>
  <c r="H27" i="21"/>
  <c r="F27" i="21"/>
  <c r="H46" i="21"/>
  <c r="J46" i="21"/>
  <c r="F46" i="21"/>
  <c r="AC8" i="40"/>
  <c r="W8" i="40"/>
  <c r="AB34" i="40"/>
  <c r="U34" i="40"/>
  <c r="AB40" i="40"/>
  <c r="U40" i="40"/>
  <c r="H13" i="40"/>
  <c r="J13" i="40"/>
  <c r="F13" i="40"/>
  <c r="BL540" i="3"/>
  <c r="AZ540" i="3" s="1"/>
  <c r="BL538" i="3"/>
  <c r="AZ538" i="3" s="1"/>
  <c r="BL530" i="3"/>
  <c r="AZ530" i="3" s="1"/>
  <c r="BL522" i="3"/>
  <c r="AZ522" i="3" s="1"/>
  <c r="BL512" i="3"/>
  <c r="AZ512" i="3" s="1"/>
  <c r="BL502" i="3"/>
  <c r="AZ502" i="3" s="1"/>
  <c r="BL494" i="3"/>
  <c r="AZ494" i="3" s="1"/>
  <c r="J34" i="35"/>
  <c r="H34" i="35"/>
  <c r="F34" i="35"/>
  <c r="H25" i="37"/>
  <c r="F25" i="37"/>
  <c r="J25" i="37"/>
  <c r="G551" i="3"/>
  <c r="G5" i="3" s="1"/>
  <c r="B3" i="3" s="1"/>
  <c r="BL548" i="3"/>
  <c r="AZ548" i="3" s="1"/>
  <c r="AZ400" i="3"/>
  <c r="AZ413" i="3"/>
  <c r="AZ424" i="3"/>
  <c r="AZ429" i="3"/>
  <c r="AZ439" i="3"/>
  <c r="AZ444" i="3"/>
  <c r="AZ456" i="3"/>
  <c r="AZ466" i="3"/>
  <c r="AZ472" i="3"/>
  <c r="AZ475" i="3"/>
  <c r="AZ483" i="3"/>
  <c r="AZ489" i="3"/>
  <c r="AZ316" i="3"/>
  <c r="AZ332" i="3"/>
  <c r="AZ397" i="3"/>
  <c r="AZ212" i="3"/>
  <c r="AZ217" i="3"/>
  <c r="AZ220" i="3"/>
  <c r="AZ228" i="3"/>
  <c r="B7" i="1"/>
  <c r="E7" i="1" s="1"/>
  <c r="F3" i="35"/>
  <c r="D26" i="43"/>
  <c r="BK5" i="3"/>
  <c r="BG5" i="3"/>
  <c r="BC5" i="3"/>
  <c r="AZ246" i="3"/>
  <c r="AZ252" i="3"/>
  <c r="AZ258" i="3"/>
  <c r="AZ267" i="3"/>
  <c r="AZ272" i="3"/>
  <c r="AZ284" i="3"/>
  <c r="AZ289" i="3"/>
  <c r="AZ292" i="3"/>
  <c r="AZ294" i="3"/>
  <c r="AZ118" i="3"/>
  <c r="AZ121" i="3"/>
  <c r="AZ134" i="3"/>
  <c r="AZ137" i="3"/>
  <c r="AZ145" i="3"/>
  <c r="AZ177" i="3"/>
  <c r="AZ18" i="3"/>
  <c r="AZ27" i="3"/>
  <c r="AZ34" i="3"/>
  <c r="AZ44" i="3"/>
  <c r="D24" i="67"/>
  <c r="D22" i="67"/>
  <c r="C21" i="69"/>
  <c r="C40" i="69"/>
  <c r="F40" i="69"/>
  <c r="AB18" i="36"/>
  <c r="U18" i="36"/>
  <c r="AZ49" i="3"/>
  <c r="AZ54" i="3"/>
  <c r="AZ65" i="3"/>
  <c r="AZ70" i="3"/>
  <c r="AZ76" i="3"/>
  <c r="AZ90" i="3"/>
  <c r="AZ92" i="3"/>
  <c r="AZ96" i="3"/>
  <c r="AZ112" i="3"/>
  <c r="W18" i="35"/>
  <c r="AC18" i="35"/>
  <c r="G67" i="71"/>
  <c r="R68" i="71"/>
  <c r="P69" i="71"/>
  <c r="C68" i="71"/>
  <c r="D69" i="71"/>
  <c r="V73" i="71"/>
  <c r="F72" i="71"/>
  <c r="F71" i="71" s="1"/>
  <c r="U77" i="71"/>
  <c r="C76" i="71"/>
  <c r="D76" i="71" s="1"/>
  <c r="D85" i="71"/>
  <c r="C84" i="71"/>
  <c r="D38" i="77"/>
  <c r="D39" i="77" s="1"/>
  <c r="D29" i="77"/>
  <c r="E23" i="77"/>
  <c r="D26" i="77"/>
  <c r="D32" i="77" s="1"/>
  <c r="F40" i="68"/>
  <c r="C21" i="68"/>
  <c r="AA18" i="36"/>
  <c r="S18" i="36"/>
  <c r="G27" i="71"/>
  <c r="Q69" i="71"/>
  <c r="F68" i="71"/>
  <c r="V77" i="71"/>
  <c r="F76" i="71"/>
  <c r="F75" i="71" s="1"/>
  <c r="U5" i="77"/>
  <c r="C5" i="68"/>
  <c r="B28" i="71"/>
  <c r="B27" i="71" s="1"/>
  <c r="B44" i="71"/>
  <c r="B45" i="71" s="1"/>
  <c r="T45" i="71" s="1"/>
  <c r="B48" i="71"/>
  <c r="B49" i="71" s="1"/>
  <c r="T49" i="71" s="1"/>
  <c r="C23" i="43"/>
  <c r="BL13" i="3"/>
  <c r="BL5" i="3" s="1"/>
  <c r="C36" i="69"/>
  <c r="AQ8" i="1"/>
  <c r="AR11" i="1"/>
  <c r="AQ13" i="1"/>
  <c r="T10" i="1"/>
  <c r="T12" i="1"/>
  <c r="G8" i="1"/>
  <c r="C24" i="12"/>
  <c r="C30" i="68"/>
  <c r="C77" i="9"/>
  <c r="C74" i="9" s="1"/>
  <c r="C13" i="12"/>
  <c r="C28" i="15"/>
  <c r="G6" i="1"/>
  <c r="C44" i="43"/>
  <c r="G12" i="1"/>
  <c r="G10" i="1"/>
  <c r="G7" i="1"/>
  <c r="C6" i="43"/>
  <c r="L27" i="6"/>
  <c r="G30" i="6"/>
  <c r="G31" i="6" s="1"/>
  <c r="E12" i="6"/>
  <c r="E15" i="6"/>
  <c r="E10" i="6"/>
  <c r="T8" i="1"/>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C27" i="15"/>
  <c r="J53" i="67"/>
  <c r="I54" i="67"/>
  <c r="J57" i="67"/>
  <c r="J55" i="67" s="1"/>
  <c r="J58" i="67" s="1"/>
  <c r="Q50" i="67" s="1"/>
  <c r="L56" i="67"/>
  <c r="B9" i="70"/>
  <c r="F70" i="67"/>
  <c r="B11" i="70"/>
  <c r="Q71" i="67"/>
  <c r="K1" i="73"/>
  <c r="B6" i="70"/>
  <c r="F64" i="15"/>
  <c r="D102" i="9"/>
  <c r="C103" i="9"/>
  <c r="G20" i="9"/>
  <c r="C32" i="9" s="1"/>
  <c r="F51" i="67"/>
  <c r="B13" i="70"/>
  <c r="L59" i="67"/>
  <c r="M59" i="67"/>
  <c r="L58" i="67"/>
  <c r="N59" i="67"/>
  <c r="B20" i="31"/>
  <c r="B21" i="31" s="1"/>
  <c r="D103" i="9"/>
  <c r="C27" i="67"/>
  <c r="M7" i="15"/>
  <c r="F50" i="15"/>
  <c r="B12" i="70"/>
  <c r="F65" i="67"/>
  <c r="I1" i="73"/>
  <c r="B39" i="1" s="1"/>
  <c r="B7" i="70"/>
  <c r="F69" i="67"/>
  <c r="F71" i="15"/>
  <c r="B10" i="70"/>
  <c r="F64" i="67"/>
  <c r="L59" i="15"/>
  <c r="M59" i="15"/>
  <c r="N59" i="15"/>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9" i="15"/>
  <c r="F41" i="15"/>
  <c r="M28" i="15"/>
  <c r="M29" i="15"/>
  <c r="J15" i="15"/>
  <c r="F37" i="15"/>
  <c r="M23" i="15"/>
  <c r="M6" i="67"/>
  <c r="F7" i="67"/>
  <c r="F38" i="15"/>
  <c r="F6" i="67"/>
  <c r="M23" i="67"/>
  <c r="F42" i="15"/>
  <c r="L48" i="15"/>
  <c r="F13" i="15"/>
  <c r="F40" i="15"/>
  <c r="F43" i="67"/>
  <c r="D5" i="73"/>
  <c r="M6" i="15"/>
  <c r="M8" i="67"/>
  <c r="F38" i="67"/>
  <c r="F8" i="15"/>
  <c r="F16" i="15"/>
  <c r="M27" i="15"/>
  <c r="M22" i="15"/>
  <c r="F40" i="67"/>
  <c r="C76" i="15"/>
  <c r="G1" i="73"/>
  <c r="E14" i="6" l="1"/>
  <c r="E64" i="39" s="1"/>
  <c r="E13" i="6"/>
  <c r="E5" i="6"/>
  <c r="E8" i="6"/>
  <c r="J7" i="36"/>
  <c r="J7" i="33"/>
  <c r="J7" i="34"/>
  <c r="F7" i="34"/>
  <c r="F7" i="21"/>
  <c r="Q71" i="15"/>
  <c r="F68" i="67"/>
  <c r="C6" i="15"/>
  <c r="C32" i="15" s="1"/>
  <c r="F51" i="15"/>
  <c r="C49" i="15" s="1"/>
  <c r="F31" i="15"/>
  <c r="F66" i="67"/>
  <c r="F71" i="67"/>
  <c r="F68" i="15"/>
  <c r="J53" i="15"/>
  <c r="L56" i="15" s="1"/>
  <c r="I54" i="15"/>
  <c r="L58" i="15"/>
  <c r="Q73" i="15" s="1"/>
  <c r="J57" i="15"/>
  <c r="J55" i="15" s="1"/>
  <c r="J58" i="15" s="1"/>
  <c r="Q50" i="15" s="1"/>
  <c r="F31" i="67"/>
  <c r="C6" i="67"/>
  <c r="C32" i="67" s="1"/>
  <c r="F66" i="15"/>
  <c r="M7" i="67"/>
  <c r="M17" i="67" s="1"/>
  <c r="F50" i="67"/>
  <c r="C49" i="67" s="1"/>
  <c r="F65" i="15"/>
  <c r="F69" i="15"/>
  <c r="E13"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269" i="3"/>
  <c r="E148" i="3"/>
  <c r="E236" i="3"/>
  <c r="E191"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228" i="3"/>
  <c r="E188" i="3"/>
  <c r="E99" i="3"/>
  <c r="C67" i="71"/>
  <c r="P68" i="71"/>
  <c r="D68" i="71"/>
  <c r="AC25" i="37"/>
  <c r="W25" i="37"/>
  <c r="U25" i="37"/>
  <c r="AB25" i="37"/>
  <c r="AB34" i="35"/>
  <c r="U34" i="35"/>
  <c r="W13" i="40"/>
  <c r="AC13" i="40"/>
  <c r="AA46" i="21"/>
  <c r="S46" i="21"/>
  <c r="U46" i="21"/>
  <c r="AB46" i="21"/>
  <c r="AB27" i="21"/>
  <c r="U27" i="21"/>
  <c r="W37" i="39"/>
  <c r="AC37" i="39"/>
  <c r="AA44" i="21"/>
  <c r="S44" i="21"/>
  <c r="AC44" i="21"/>
  <c r="W44" i="21"/>
  <c r="AC29" i="21"/>
  <c r="W29" i="21"/>
  <c r="U13" i="21"/>
  <c r="AB13" i="21"/>
  <c r="AB12" i="21"/>
  <c r="U12" i="21"/>
  <c r="S27" i="40"/>
  <c r="AA27" i="40"/>
  <c r="D6" i="52"/>
  <c r="K120" i="9"/>
  <c r="D121" i="9"/>
  <c r="D7" i="52" s="1"/>
  <c r="M17" i="15"/>
  <c r="Q68" i="71"/>
  <c r="F67" i="71"/>
  <c r="E38" i="77"/>
  <c r="E39" i="77" s="1"/>
  <c r="C40" i="77" s="1"/>
  <c r="E26" i="77"/>
  <c r="E32" i="77" s="1"/>
  <c r="E29" i="77"/>
  <c r="C83" i="71"/>
  <c r="D83" i="71" s="1"/>
  <c r="D84" i="71"/>
  <c r="AA25" i="37"/>
  <c r="S25" i="37"/>
  <c r="S34" i="35"/>
  <c r="AA34" i="35"/>
  <c r="AC34" i="35"/>
  <c r="W34" i="35"/>
  <c r="AA13" i="40"/>
  <c r="S13" i="40"/>
  <c r="U13" i="40"/>
  <c r="AB13" i="40"/>
  <c r="W46" i="21"/>
  <c r="AC46" i="21"/>
  <c r="AA27" i="21"/>
  <c r="S27" i="21"/>
  <c r="AC27" i="21"/>
  <c r="W27" i="21"/>
  <c r="AA37" i="39"/>
  <c r="S37" i="39"/>
  <c r="AB9" i="33"/>
  <c r="U9" i="33"/>
  <c r="U44" i="21"/>
  <c r="AB44" i="21"/>
  <c r="U29" i="21"/>
  <c r="AB29" i="21"/>
  <c r="W13" i="21"/>
  <c r="AC13" i="21"/>
  <c r="AC27" i="40"/>
  <c r="W27" i="40"/>
  <c r="C30" i="11"/>
  <c r="C48" i="11"/>
  <c r="F48" i="69"/>
  <c r="C30" i="69"/>
  <c r="C48" i="69"/>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G16" i="1"/>
  <c r="F10" i="39" s="1"/>
  <c r="AA10" i="39" s="1"/>
  <c r="J7" i="35"/>
  <c r="H7" i="21"/>
  <c r="F10" i="40"/>
  <c r="AA10" i="40" s="1"/>
  <c r="BA5" i="3"/>
  <c r="AZ13" i="3"/>
  <c r="AZ5" i="3" s="1"/>
  <c r="E58" i="40"/>
  <c r="E63" i="39"/>
  <c r="E61" i="39"/>
  <c r="E56" i="40"/>
  <c r="K14" i="1"/>
  <c r="E30" i="6"/>
  <c r="E60" i="40"/>
  <c r="E65" i="39"/>
  <c r="E62" i="39"/>
  <c r="E57" i="40"/>
  <c r="AC6" i="3"/>
  <c r="F27" i="69"/>
  <c r="F28" i="12"/>
  <c r="C29" i="12" s="1"/>
  <c r="D28" i="12" s="1"/>
  <c r="F27" i="11"/>
  <c r="F27" i="68"/>
  <c r="E17" i="43"/>
  <c r="C17" i="43" s="1"/>
  <c r="D5" i="43" s="1"/>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B40" i="1"/>
  <c r="Q74" i="15"/>
  <c r="Q61" i="15"/>
  <c r="C35" i="9"/>
  <c r="C34" i="9" s="1"/>
  <c r="J6" i="15"/>
  <c r="Q60" i="15"/>
  <c r="F11" i="15"/>
  <c r="F11" i="67"/>
  <c r="M11" i="67"/>
  <c r="J10" i="67" s="1"/>
  <c r="M11" i="15"/>
  <c r="Q73" i="67"/>
  <c r="Q60" i="67"/>
  <c r="Q61" i="67"/>
  <c r="Q74" i="67"/>
  <c r="B2" i="70"/>
  <c r="B3" i="70" s="1"/>
  <c r="Q52" i="15"/>
  <c r="Q52" i="67"/>
  <c r="F1" i="67"/>
  <c r="C16" i="15"/>
  <c r="C16" i="67"/>
  <c r="E59" i="40" l="1"/>
  <c r="E16" i="6"/>
  <c r="H6" i="3"/>
  <c r="F27" i="6"/>
  <c r="F31" i="6" s="1"/>
  <c r="E56" i="39"/>
  <c r="E66" i="39" s="1"/>
  <c r="E51" i="40"/>
  <c r="E6" i="3"/>
  <c r="D9" i="11"/>
  <c r="C9" i="11" s="1"/>
  <c r="D9" i="68"/>
  <c r="C9" i="68" s="1"/>
  <c r="D9" i="69"/>
  <c r="C9" i="69" s="1"/>
  <c r="D19" i="12"/>
  <c r="C19" i="12" s="1"/>
  <c r="S10" i="39"/>
  <c r="F59" i="67"/>
  <c r="F1" i="15"/>
  <c r="F59" i="15"/>
  <c r="J6" i="67"/>
  <c r="J18" i="67" s="1"/>
  <c r="B2" i="77"/>
  <c r="B3" i="77" s="1"/>
  <c r="C41" i="77"/>
  <c r="S7" i="33"/>
  <c r="Q66" i="71"/>
  <c r="Q67" i="71"/>
  <c r="P67" i="71"/>
  <c r="P66" i="71"/>
  <c r="D67" i="71"/>
  <c r="S10" i="40"/>
  <c r="J10" i="39"/>
  <c r="W10" i="39" s="1"/>
  <c r="H10" i="40"/>
  <c r="AB10" i="40" s="1"/>
  <c r="J10" i="40"/>
  <c r="AC10" i="40" s="1"/>
  <c r="H10" i="39"/>
  <c r="W10" i="40"/>
  <c r="U10" i="40"/>
  <c r="M14" i="1"/>
  <c r="K16" i="1"/>
  <c r="C34" i="69"/>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F25" i="12"/>
  <c r="F22" i="68"/>
  <c r="F24" i="67"/>
  <c r="C24" i="67" s="1"/>
  <c r="F24" i="15"/>
  <c r="C24" i="15" s="1"/>
  <c r="F22" i="69"/>
  <c r="F22" i="11"/>
  <c r="C53" i="15"/>
  <c r="C48" i="15" s="1"/>
  <c r="C10" i="15"/>
  <c r="C5" i="15" s="1"/>
  <c r="J10" i="15"/>
  <c r="J5" i="15" s="1"/>
  <c r="J18" i="15"/>
  <c r="C53" i="67"/>
  <c r="C48" i="67" s="1"/>
  <c r="C10" i="67"/>
  <c r="C5" i="67" s="1"/>
  <c r="E27" i="6" l="1"/>
  <c r="J5" i="67"/>
  <c r="J24" i="67" s="1"/>
  <c r="AC10" i="39"/>
  <c r="AB10" i="39"/>
  <c r="U10" i="39"/>
  <c r="T12" i="43"/>
  <c r="V12" i="43"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N16" i="1" s="1"/>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B2" i="21" l="1"/>
  <c r="B3" i="21" s="1"/>
  <c r="K19" i="6"/>
  <c r="K25" i="6"/>
  <c r="M25" i="6" s="1"/>
  <c r="I25" i="6" s="1"/>
  <c r="S25" i="6" s="1"/>
  <c r="K23" i="6"/>
  <c r="M23" i="6" s="1"/>
  <c r="I23" i="6" s="1"/>
  <c r="S23" i="6" s="1"/>
  <c r="E31" i="6"/>
  <c r="K26" i="6"/>
  <c r="M26" i="6" s="1"/>
  <c r="I26" i="6" s="1"/>
  <c r="S26" i="6" s="1"/>
  <c r="K20" i="6"/>
  <c r="M20" i="6" s="1"/>
  <c r="I20" i="6" s="1"/>
  <c r="S20" i="6" s="1"/>
  <c r="K21" i="6"/>
  <c r="M21" i="6" s="1"/>
  <c r="I21" i="6" s="1"/>
  <c r="S21" i="6" s="1"/>
  <c r="K22" i="6"/>
  <c r="M22" i="6" s="1"/>
  <c r="I22" i="6" s="1"/>
  <c r="S22" i="6" s="1"/>
  <c r="K24" i="6"/>
  <c r="M24" i="6" s="1"/>
  <c r="I24" i="6" s="1"/>
  <c r="S24" i="6" s="1"/>
  <c r="B2" i="34"/>
  <c r="B3" i="34" s="1"/>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3" i="6"/>
  <c r="H21" i="6"/>
  <c r="H25" i="6"/>
  <c r="D25" i="6"/>
  <c r="D22" i="6"/>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B6" i="76"/>
  <c r="E6" i="76"/>
  <c r="H20" i="6" l="1"/>
  <c r="H22" i="6"/>
  <c r="R22" i="6" s="1"/>
  <c r="S6" i="1"/>
  <c r="M19" i="6"/>
  <c r="K27" i="6"/>
  <c r="D30" i="6"/>
  <c r="R24" i="6"/>
  <c r="R21" i="6"/>
  <c r="R23" i="6"/>
  <c r="C21" i="9"/>
  <c r="D21" i="9"/>
  <c r="G21" i="9"/>
  <c r="D27"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14" i="67"/>
  <c r="C17" i="15"/>
  <c r="C17" i="67"/>
  <c r="D31" i="6" l="1"/>
  <c r="C18" i="67"/>
  <c r="C15" i="67"/>
  <c r="M27" i="6"/>
  <c r="I19" i="6"/>
  <c r="AR6" i="1"/>
  <c r="S16" i="1"/>
  <c r="AQ6" i="1"/>
  <c r="T6" i="1"/>
  <c r="C16" i="12"/>
  <c r="C21" i="12" s="1"/>
  <c r="C22" i="12" s="1"/>
  <c r="C30" i="12" s="1"/>
  <c r="C28" i="12" s="1"/>
  <c r="C33" i="11"/>
  <c r="C39" i="11" s="1"/>
  <c r="R6" i="1"/>
  <c r="C23" i="69"/>
  <c r="I5" i="6"/>
  <c r="I6" i="6"/>
  <c r="C19" i="68"/>
  <c r="D37" i="68"/>
  <c r="C37" i="68" s="1"/>
  <c r="C33" i="68" s="1"/>
  <c r="C19" i="69"/>
  <c r="C24" i="69" s="1"/>
  <c r="D37" i="69"/>
  <c r="C37" i="69" s="1"/>
  <c r="C33" i="69" s="1"/>
  <c r="C42" i="11"/>
  <c r="B3" i="76"/>
  <c r="J63" i="40"/>
  <c r="I65" i="40"/>
  <c r="K52" i="37"/>
  <c r="J68" i="39"/>
  <c r="I70" i="39"/>
  <c r="E9" i="71"/>
  <c r="B8" i="71"/>
  <c r="C18" i="71"/>
  <c r="D19" i="71"/>
  <c r="C14" i="15"/>
  <c r="F35" i="67"/>
  <c r="M21" i="67"/>
  <c r="M21" i="15"/>
  <c r="F35" i="15"/>
  <c r="C19" i="67" l="1"/>
  <c r="C20" i="67" s="1"/>
  <c r="C26" i="67" s="1"/>
  <c r="C15" i="15"/>
  <c r="C18" i="15"/>
  <c r="T16" i="1"/>
  <c r="S19" i="6"/>
  <c r="S27" i="6" s="1"/>
  <c r="H19" i="6"/>
  <c r="I27" i="6"/>
  <c r="F63" i="15"/>
  <c r="C62" i="15" s="1"/>
  <c r="C34" i="15"/>
  <c r="J20" i="15"/>
  <c r="J20" i="67"/>
  <c r="C34" i="67"/>
  <c r="F63" i="67"/>
  <c r="C62"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C19" i="15" l="1"/>
  <c r="R19" i="6"/>
  <c r="R27" i="6" s="1"/>
  <c r="H27" i="6"/>
  <c r="C23" i="67"/>
  <c r="C29" i="67" s="1"/>
  <c r="C20" i="15"/>
  <c r="C23" i="15"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26" i="15" l="1"/>
  <c r="C29" i="15" s="1"/>
  <c r="J19" i="15" s="1"/>
  <c r="J17" i="15" s="1"/>
  <c r="C36" i="67"/>
  <c r="Q49" i="67"/>
  <c r="J59" i="67"/>
  <c r="J60" i="67" s="1"/>
  <c r="C57" i="67"/>
  <c r="C13" i="67"/>
  <c r="C33" i="67"/>
  <c r="C31" i="67" s="1"/>
  <c r="J14" i="67"/>
  <c r="J19" i="67"/>
  <c r="J17" i="67" s="1"/>
  <c r="C31" i="68"/>
  <c r="C49" i="68"/>
  <c r="C51" i="68" s="1"/>
  <c r="C49" i="69"/>
  <c r="C51" i="69" s="1"/>
  <c r="C31" i="69"/>
  <c r="C56" i="11"/>
  <c r="C57" i="11" s="1"/>
  <c r="E6" i="71"/>
  <c r="B5" i="71"/>
  <c r="M63" i="40"/>
  <c r="L65" i="40"/>
  <c r="N52" i="37"/>
  <c r="O52" i="37" s="1"/>
  <c r="L70" i="39"/>
  <c r="M68" i="39"/>
  <c r="D16" i="71"/>
  <c r="C15" i="71"/>
  <c r="C13" i="15" l="1"/>
  <c r="C56" i="15" s="1"/>
  <c r="C65" i="15" s="1"/>
  <c r="J14" i="15"/>
  <c r="J13" i="15" s="1"/>
  <c r="J23" i="15" s="1"/>
  <c r="C36" i="15"/>
  <c r="C33" i="15"/>
  <c r="C31" i="15" s="1"/>
  <c r="J59" i="15"/>
  <c r="J60" i="15" s="1"/>
  <c r="L46" i="15" s="1"/>
  <c r="C57" i="15"/>
  <c r="C64" i="15" s="1"/>
  <c r="Q49" i="15"/>
  <c r="C64" i="67"/>
  <c r="C61" i="67"/>
  <c r="C59" i="67" s="1"/>
  <c r="J22" i="15"/>
  <c r="J13" i="67"/>
  <c r="J23" i="67" s="1"/>
  <c r="J22" i="67"/>
  <c r="C75" i="67"/>
  <c r="C56" i="67"/>
  <c r="C65" i="67" s="1"/>
  <c r="C37" i="67"/>
  <c r="C30" i="67" s="1"/>
  <c r="C39" i="67" s="1"/>
  <c r="Q70" i="67"/>
  <c r="L46" i="67"/>
  <c r="Q48" i="67"/>
  <c r="C75" i="15"/>
  <c r="C52" i="68"/>
  <c r="B2" i="68" s="1"/>
  <c r="B3" i="68" s="1"/>
  <c r="C52" i="69"/>
  <c r="B2" i="69" s="1"/>
  <c r="B3" i="69" s="1"/>
  <c r="F7" i="37"/>
  <c r="AA7" i="37" s="1"/>
  <c r="R42" i="37" s="1"/>
  <c r="N63" i="40"/>
  <c r="M65" i="40"/>
  <c r="M70" i="39"/>
  <c r="N68" i="39"/>
  <c r="J7" i="37"/>
  <c r="H7" i="37"/>
  <c r="C14" i="71"/>
  <c r="D15" i="71"/>
  <c r="L51" i="67"/>
  <c r="Q70" i="15" l="1"/>
  <c r="C37" i="15"/>
  <c r="C30" i="15" s="1"/>
  <c r="C39" i="15" s="1"/>
  <c r="C80" i="15" s="1"/>
  <c r="C79" i="15" s="1"/>
  <c r="C61" i="15"/>
  <c r="C59" i="15" s="1"/>
  <c r="C58" i="15" s="1"/>
  <c r="C67" i="15" s="1"/>
  <c r="C68" i="15" s="1"/>
  <c r="J16" i="15"/>
  <c r="J25" i="15" s="1"/>
  <c r="Q48" i="15"/>
  <c r="J16" i="67"/>
  <c r="J25" i="67" s="1"/>
  <c r="Q67" i="67"/>
  <c r="L57" i="67"/>
  <c r="L60" i="67" s="1"/>
  <c r="C40" i="67"/>
  <c r="Q69" i="67"/>
  <c r="Q68" i="67" s="1"/>
  <c r="C80" i="67"/>
  <c r="C79" i="67" s="1"/>
  <c r="C58" i="67"/>
  <c r="C67" i="67" s="1"/>
  <c r="C68" i="67" s="1"/>
  <c r="C57" i="69"/>
  <c r="C56" i="69" s="1"/>
  <c r="C57" i="68"/>
  <c r="C56" i="68" s="1"/>
  <c r="S7" i="37"/>
  <c r="N65" i="40"/>
  <c r="O63" i="40"/>
  <c r="O65" i="40" s="1"/>
  <c r="U7" i="37"/>
  <c r="AB7" i="37"/>
  <c r="T42" i="37" s="1"/>
  <c r="G42" i="37" s="1"/>
  <c r="O68" i="39"/>
  <c r="O70" i="39" s="1"/>
  <c r="N70" i="39"/>
  <c r="R43" i="37"/>
  <c r="E42" i="37"/>
  <c r="AC7" i="37"/>
  <c r="V42" i="37" s="1"/>
  <c r="I42" i="37" s="1"/>
  <c r="W7" i="37"/>
  <c r="C13" i="71"/>
  <c r="D14" i="71"/>
  <c r="L51" i="15"/>
  <c r="Q69" i="15" l="1"/>
  <c r="Q68" i="15" s="1"/>
  <c r="C40" i="15"/>
  <c r="Q56" i="15" s="1"/>
  <c r="L57" i="15"/>
  <c r="L60" i="15" s="1"/>
  <c r="Q57" i="15" s="1"/>
  <c r="Q67" i="15"/>
  <c r="C71" i="15"/>
  <c r="Q57" i="67"/>
  <c r="Q66" i="67"/>
  <c r="C71" i="67"/>
  <c r="C45" i="67"/>
  <c r="C46" i="67" s="1"/>
  <c r="Q65" i="67"/>
  <c r="Q47" i="67"/>
  <c r="Q53" i="67" s="1"/>
  <c r="Q56" i="67"/>
  <c r="C43" i="67"/>
  <c r="D2" i="67"/>
  <c r="C83" i="67"/>
  <c r="C82" i="67" s="1"/>
  <c r="J7" i="40"/>
  <c r="W7" i="40" s="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46" i="15" l="1"/>
  <c r="B2" i="15"/>
  <c r="B3" i="15" s="1"/>
  <c r="C83" i="15"/>
  <c r="C82" i="15" s="1"/>
  <c r="Q47" i="15"/>
  <c r="Q53" i="15" s="1"/>
  <c r="Q66" i="15"/>
  <c r="Q62" i="67"/>
  <c r="Q65" i="15"/>
  <c r="Q75" i="15" s="1"/>
  <c r="C43" i="15"/>
  <c r="Q75" i="67"/>
  <c r="B2" i="67"/>
  <c r="B3" i="67"/>
  <c r="Q62" i="15"/>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E5" i="71" l="1"/>
  <c r="M24" i="43" s="1"/>
  <c r="D54" i="9"/>
  <c r="C68" i="9"/>
  <c r="B21" i="72"/>
  <c r="D7" i="53"/>
  <c r="H102" i="9"/>
  <c r="B31" i="72"/>
  <c r="D15" i="53"/>
  <c r="H108" i="9"/>
  <c r="C86" i="9"/>
  <c r="C93" i="9"/>
  <c r="B20" i="72"/>
  <c r="D5" i="74"/>
  <c r="B5" i="74"/>
  <c r="C5" i="74"/>
  <c r="M54" i="9"/>
  <c r="C97" i="9"/>
  <c r="D58" i="9"/>
  <c r="D56" i="9"/>
  <c r="B52" i="72"/>
  <c r="G4" i="52"/>
  <c r="B53" i="72"/>
  <c r="F5" i="52"/>
  <c r="F119" i="9"/>
  <c r="B48" i="72"/>
  <c r="E4" i="52"/>
  <c r="C73" i="9"/>
  <c r="C78" i="9"/>
  <c r="B30" i="72"/>
  <c r="N60" i="9"/>
  <c r="N59" i="9"/>
  <c r="N61" i="9"/>
  <c r="C80" i="9"/>
  <c r="E80" i="9"/>
  <c r="E81" i="9"/>
  <c r="C72" i="9"/>
  <c r="C79" i="9"/>
  <c r="C81" i="9"/>
  <c r="I4" i="52"/>
  <c r="C105" i="9"/>
  <c r="C104" i="9"/>
  <c r="H4" i="52"/>
  <c r="N58" i="9"/>
  <c r="D55" i="9"/>
  <c r="M53" i="9"/>
  <c r="N57" i="9"/>
  <c r="P57" i="9"/>
  <c r="M48" i="9"/>
  <c r="D5" i="53"/>
  <c r="D6" i="53"/>
  <c r="B22" i="72"/>
  <c r="H119" i="9"/>
  <c r="H5" i="52"/>
  <c r="E14" i="74"/>
  <c r="D14" i="74"/>
  <c r="F14" i="74"/>
  <c r="C6" i="74"/>
  <c r="G14" i="74"/>
  <c r="B6" i="74"/>
  <c r="D6" i="74"/>
  <c r="D8" i="52"/>
  <c r="D119" i="9"/>
  <c r="D5" i="52"/>
  <c r="B49" i="72"/>
  <c r="E118" i="9"/>
  <c r="D118" i="9"/>
  <c r="D4" i="52"/>
  <c r="B47" i="72"/>
  <c r="D52" i="9"/>
  <c r="D53" i="9"/>
  <c r="C85" i="9"/>
  <c r="C95" i="9"/>
  <c r="C96" i="9"/>
  <c r="E96" i="9"/>
  <c r="E97" i="9"/>
  <c r="D45" i="9"/>
  <c r="C64" i="9"/>
  <c r="C63" i="9"/>
  <c r="C67" i="9"/>
  <c r="D59" i="9"/>
  <c r="M55" i="9"/>
  <c r="G118" i="9"/>
  <c r="F118" i="9"/>
  <c r="F4" i="52"/>
  <c r="B51" i="72"/>
  <c r="D122" i="9"/>
  <c r="D123" i="9"/>
  <c r="D9" i="5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<sst xmlns="http://schemas.openxmlformats.org/spreadsheetml/2006/main" count="7715" uniqueCount="3107">
  <si>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</si>
  <si>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</si>
  <si>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</si>
  <si>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</si>
  <si>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</si>
  <si>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</si>
  <si>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</si>
  <si>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</si>
  <si>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</si>
  <si>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</si>
  <si>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</si>
  <si>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</si>
  <si>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</si>
  <si>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</si>
  <si>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</si>
  <si>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</si>
  <si>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</si>
  <si>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</si>
  <si>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</si>
  <si>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</si>
  <si>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</si>
  <si>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</si>
  <si>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</si>
  <si>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</si>
  <si>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</si>
  <si>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</si>
  <si>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</si>
  <si>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</si>
  <si>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</si>
  <si>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</si>
  <si>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</si>
  <si>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</si>
  <si>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</si>
  <si>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</si>
  <si>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</si>
  <si>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</si>
  <si>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</si>
  <si>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</si>
  <si>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</si>
  <si>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</si>
  <si>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</si>
  <si>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</si>
  <si>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</si>
  <si>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</si>
  <si>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</si>
  <si>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</si>
  <si>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</si>
  <si>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</si>
  <si>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</si>
  <si>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</si>
  <si>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</si>
  <si>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</si>
  <si>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</si>
  <si>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</si>
  <si>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</si>
  <si>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</si>
  <si>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</si>
  <si>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</si>
  <si>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</si>
  <si>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</si>
  <si>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</si>
  <si>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</si>
  <si>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</si>
  <si>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</si>
  <si>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</si>
  <si>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</si>
  <si>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</si>
  <si>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</si>
  <si>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</si>
  <si>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</si>
  <si>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</si>
  <si>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</si>
  <si>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</si>
  <si>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</si>
  <si>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</si>
  <si>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</si>
  <si>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</si>
  <si>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</si>
  <si>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</si>
  <si>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</si>
  <si>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</si>
  <si>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</si>
  <si>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</si>
  <si>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</si>
  <si>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</si>
  <si>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</si>
  <si>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</si>
  <si>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</si>
  <si>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</si>
  <si>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</si>
  <si>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</si>
  <si>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</si>
  <si>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</si>
  <si>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</si>
  <si>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</si>
  <si>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</si>
  <si>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</si>
  <si>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</si>
  <si>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</si>
  <si>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</si>
  <si>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</si>
  <si>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</si>
  <si>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</si>
  <si>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</si>
  <si>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</si>
  <si>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</si>
  <si>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</si>
  <si>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</si>
  <si>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</si>
  <si>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</si>
  <si>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</si>
  <si>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</si>
  <si>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</si>
  <si>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</si>
  <si>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</si>
  <si>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</si>
  <si>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</si>
  <si>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</si>
  <si>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</si>
  <si>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</si>
  <si>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</si>
  <si>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</si>
  <si>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</si>
  <si>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</si>
  <si>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</si>
  <si>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</si>
  <si>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</si>
  <si>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</si>
  <si>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</si>
  <si>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</si>
  <si>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</si>
  <si>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</si>
  <si>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</si>
  <si>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</si>
  <si>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</si>
  <si>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</si>
  <si>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</si>
  <si>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</si>
  <si>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</si>
  <si>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</si>
  <si>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</si>
  <si>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</si>
  <si>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</si>
  <si>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</si>
  <si>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</si>
  <si>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</si>
  <si>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</si>
  <si>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</si>
  <si>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</si>
  <si>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</si>
  <si>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</si>
  <si>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</si>
  <si>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</si>
  <si>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</si>
  <si>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</si>
  <si>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</si>
  <si>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</si>
  <si>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</si>
  <si>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</si>
  <si>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</si>
  <si>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</si>
  <si>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</si>
  <si>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</si>
  <si>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</si>
  <si>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</si>
  <si>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</si>
  <si>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</si>
  <si>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</si>
  <si>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</si>
  <si>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</si>
  <si>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</si>
  <si>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</si>
  <si>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</si>
  <si>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</si>
  <si>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</si>
  <si>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</si>
  <si>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</si>
  <si>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</si>
  <si>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</si>
  <si>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</si>
  <si>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</si>
  <si>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</si>
  <si>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</si>
  <si>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</si>
  <si>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</si>
  <si>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</si>
  <si>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</si>
  <si>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</si>
  <si>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</si>
  <si>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</si>
  <si>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</si>
  <si>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</si>
  <si>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</si>
  <si>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</si>
  <si>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</si>
  <si>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</si>
  <si>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</si>
  <si>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</si>
  <si>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</si>
  <si>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</si>
  <si>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</si>
  <si>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</si>
  <si>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</si>
  <si>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</si>
  <si>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</si>
  <si>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</si>
  <si>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</si>
  <si>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</si>
  <si>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</si>
  <si>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</si>
  <si>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</si>
  <si>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</si>
  <si>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</si>
  <si>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</si>
  <si>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</si>
  <si>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</si>
  <si>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</si>
  <si>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</si>
  <si>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</si>
  <si>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</si>
  <si>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</si>
  <si>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</si>
  <si>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</si>
  <si>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</si>
  <si>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</si>
  <si>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</si>
  <si>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</si>
  <si>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</si>
  <si>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</si>
  <si>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</si>
  <si>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</si>
  <si>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</si>
  <si>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</si>
  <si>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</si>
  <si>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</si>
  <si>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</si>
  <si>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</si>
  <si>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</si>
  <si>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</si>
  <si>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</si>
  <si>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</si>
  <si>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</si>
  <si>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</si>
  <si>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</si>
  <si>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</si>
  <si>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</si>
  <si>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</si>
  <si>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</si>
  <si>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</si>
  <si>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</si>
  <si>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</si>
  <si>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</si>
  <si>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</si>
  <si>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</si>
  <si>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</si>
  <si>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</si>
  <si>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</si>
  <si>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</si>
  <si>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</si>
  <si>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</si>
  <si>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</si>
  <si>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</si>
  <si>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</si>
  <si>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</si>
  <si>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</si>
  <si>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</si>
  <si>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</si>
  <si>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</si>
  <si>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</si>
  <si>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</si>
  <si>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</si>
  <si>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</si>
  <si>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</si>
  <si>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</si>
  <si>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</si>
  <si>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</si>
  <si>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</si>
  <si>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</si>
  <si>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</si>
  <si>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</si>
  <si>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</si>
  <si>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</si>
  <si>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</si>
  <si>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</si>
  <si>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</si>
  <si>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</si>
  <si>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</si>
  <si>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</si>
  <si>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</si>
  <si>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</si>
  <si>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</si>
  <si>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</si>
  <si>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</si>
  <si>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</si>
  <si>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</si>
  <si>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</si>
  <si>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</si>
  <si>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</si>
  <si>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</si>
  <si>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</si>
  <si>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</si>
  <si>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</si>
  <si>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</si>
  <si>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</si>
  <si>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</si>
  <si>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</si>
  <si>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</si>
  <si>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</si>
  <si>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</si>
  <si>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</si>
  <si>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</si>
  <si>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</si>
  <si>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</si>
  <si>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</si>
  <si>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</si>
  <si>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</si>
  <si>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</si>
  <si>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</si>
  <si>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</si>
  <si>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</si>
  <si>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</si>
  <si>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</si>
  <si>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</si>
  <si>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</si>
  <si>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</si>
  <si>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</si>
  <si>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</si>
  <si>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</si>
  <si>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</si>
  <si>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</si>
  <si>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</si>
  <si>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</si>
  <si>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</si>
  <si>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</si>
  <si>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</si>
  <si>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</si>
  <si>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</si>
  <si>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</si>
  <si>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</si>
  <si>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</si>
  <si>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</si>
  <si>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</si>
  <si>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</si>
  <si>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</si>
  <si>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</si>
  <si>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</si>
  <si>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</si>
  <si>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</si>
  <si>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</si>
  <si>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</si>
  <si>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</si>
  <si>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</si>
  <si>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</si>
  <si>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</si>
  <si>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</si>
  <si>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</si>
  <si>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</si>
  <si>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</si>
  <si>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</si>
  <si>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</si>
  <si>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</si>
  <si>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</si>
  <si>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</si>
  <si>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</si>
  <si>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</si>
  <si>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</si>
  <si>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</si>
  <si>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</si>
  <si>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</si>
  <si>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</si>
  <si>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</si>
  <si>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</si>
  <si>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</si>
  <si>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</si>
  <si>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</si>
  <si>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</si>
  <si>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</si>
  <si>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</si>
  <si>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</si>
  <si>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</si>
  <si>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</si>
  <si>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</si>
  <si>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</si>
  <si>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</si>
  <si>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</si>
  <si>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</si>
  <si>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</si>
  <si>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</si>
  <si>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</si>
  <si>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</si>
  <si>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</si>
  <si>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</si>
  <si>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</si>
  <si>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</si>
  <si>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</si>
  <si>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</si>
  <si>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</si>
  <si>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</si>
  <si>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</si>
  <si>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</si>
  <si>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</si>
  <si>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</si>
  <si>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</si>
  <si>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</si>
  <si>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</si>
  <si>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</si>
  <si>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</si>
  <si>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</si>
  <si>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</si>
  <si>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</si>
  <si>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</si>
  <si>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</si>
  <si>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</si>
  <si>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</si>
  <si>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</si>
  <si>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</si>
  <si>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</si>
  <si>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</si>
  <si>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</si>
  <si>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</si>
  <si>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</si>
  <si>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</si>
  <si>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</si>
  <si>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</si>
  <si>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</si>
  <si>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</si>
  <si>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</si>
  <si>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</si>
  <si>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</si>
  <si>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</si>
  <si>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</si>
  <si>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</si>
  <si>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</si>
  <si>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</si>
  <si>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</si>
  <si>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</si>
  <si>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</si>
  <si>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</si>
  <si>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</si>
  <si>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</si>
  <si>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</si>
  <si>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</si>
  <si>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</si>
  <si>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</si>
  <si>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</si>
  <si>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</si>
  <si>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</si>
  <si>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</si>
  <si>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</si>
  <si>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</si>
  <si>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</si>
  <si>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</si>
  <si>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</si>
  <si>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</si>
  <si>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</si>
  <si>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</si>
  <si>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</si>
  <si>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</si>
  <si>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</si>
  <si>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</si>
  <si>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</si>
  <si>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</si>
  <si>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</si>
  <si>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</si>
  <si>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</si>
  <si>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</si>
  <si>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</si>
  <si>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</si>
  <si>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</si>
  <si>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</si>
  <si>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</si>
  <si>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</si>
  <si>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</si>
  <si>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</si>
  <si>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</si>
  <si>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</si>
  <si>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</si>
  <si>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</si>
  <si>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</si>
  <si>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</si>
  <si>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</si>
  <si>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</si>
  <si>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</si>
  <si>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</si>
  <si>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</si>
  <si>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</si>
  <si>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</si>
  <si>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</si>
  <si>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</si>
  <si>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</si>
  <si>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</si>
  <si>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</si>
  <si>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</si>
  <si>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</si>
  <si>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</si>
  <si>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</si>
  <si>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</si>
  <si>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</si>
  <si>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</si>
  <si>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</si>
  <si>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</si>
  <si>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</si>
  <si>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</si>
  <si>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</si>
  <si>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</si>
  <si>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</si>
  <si>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</si>
  <si>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</si>
  <si>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</si>
  <si>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</si>
  <si>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</si>
  <si>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</si>
  <si>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</si>
  <si>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</si>
  <si>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</si>
  <si>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</si>
  <si>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</si>
  <si>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</si>
  <si>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</si>
  <si>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</si>
  <si>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</si>
  <si>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</si>
  <si>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</si>
  <si>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</si>
  <si>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</si>
  <si>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</si>
  <si>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</si>
  <si>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</si>
  <si>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</si>
  <si>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</si>
  <si>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</si>
  <si>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</si>
  <si>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</si>
  <si>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</si>
  <si>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</si>
  <si>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</si>
  <si>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</si>
  <si>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</si>
  <si>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</si>
  <si>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</si>
  <si>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</si>
  <si>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</si>
  <si>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</si>
  <si>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</si>
  <si>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</si>
  <si>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</si>
  <si>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</si>
  <si>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</si>
  <si>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</si>
  <si>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</si>
  <si>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</si>
  <si>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</si>
  <si>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</si>
  <si>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</si>
  <si>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</si>
  <si>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</si>
  <si>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</si>
  <si>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</si>
  <si>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</si>
  <si>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</si>
  <si>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</si>
  <si>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</si>
  <si>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</si>
  <si>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</si>
  <si>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</si>
  <si>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</si>
  <si>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</si>
  <si>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</si>
  <si>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</si>
  <si>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</si>
  <si>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</si>
  <si>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</si>
  <si>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</si>
  <si>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</si>
  <si>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</si>
  <si>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</si>
  <si>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</si>
  <si>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</si>
  <si>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</si>
  <si>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</si>
  <si>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</si>
  <si>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</si>
  <si>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</si>
  <si>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</si>
  <si>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</si>
  <si>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</si>
  <si>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</si>
  <si>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</si>
  <si>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</si>
  <si>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</si>
  <si>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</si>
  <si>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</si>
  <si>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</si>
  <si>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</si>
  <si>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</si>
  <si>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</si>
  <si>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</si>
  <si>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</si>
  <si>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</si>
  <si>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</si>
  <si>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</si>
  <si>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</si>
  <si>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</si>
  <si>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</si>
  <si>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</si>
  <si>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</si>
  <si>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</si>
  <si>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</si>
  <si>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</si>
  <si>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</si>
  <si>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</si>
  <si>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</si>
  <si>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</si>
  <si>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</si>
  <si>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</si>
  <si>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</si>
  <si>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</si>
  <si>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</si>
  <si>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</si>
  <si>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</si>
  <si>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</si>
  <si>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</si>
  <si>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</si>
  <si>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</si>
  <si>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</si>
  <si>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</si>
  <si>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</si>
  <si>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</si>
  <si>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</si>
  <si>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</si>
  <si>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</si>
  <si>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</si>
  <si>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</si>
  <si>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</si>
  <si>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</si>
  <si>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</si>
  <si>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</si>
  <si>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</si>
  <si>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</si>
  <si>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</si>
  <si>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</si>
  <si>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</si>
  <si>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</si>
  <si>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</si>
  <si>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</si>
  <si>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</si>
  <si>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</si>
  <si>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</si>
  <si>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</si>
  <si>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</si>
  <si>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</si>
  <si>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</si>
  <si>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</si>
  <si>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</si>
  <si>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</si>
  <si>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</si>
  <si>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</si>
  <si>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</si>
  <si>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</si>
  <si>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</si>
  <si>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</si>
  <si>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</si>
  <si>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</si>
  <si>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</si>
  <si>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</si>
  <si>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</si>
  <si>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</si>
  <si>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</si>
  <si>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</si>
  <si>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</si>
  <si>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</si>
  <si>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</si>
  <si>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</si>
  <si>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</si>
  <si>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</si>
  <si>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</si>
  <si>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</si>
  <si>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</si>
  <si>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</si>
  <si>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</si>
  <si>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</si>
  <si>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</si>
  <si>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</si>
  <si>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</si>
  <si>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</si>
  <si>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</si>
  <si>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</si>
  <si>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</si>
  <si>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</si>
  <si>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</si>
  <si>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</si>
  <si>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</si>
  <si>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</si>
  <si>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</si>
  <si>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</si>
  <si>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</si>
  <si>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</si>
  <si>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</si>
  <si>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</si>
  <si>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</si>
  <si>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</si>
  <si>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</si>
  <si>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</si>
  <si>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</si>
  <si>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</si>
  <si>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</si>
  <si>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</si>
  <si>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</si>
  <si>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</si>
  <si>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</si>
  <si>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</si>
  <si>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</si>
  <si>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</si>
  <si>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</si>
  <si>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</si>
  <si>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</si>
  <si>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</si>
  <si>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</si>
  <si>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</si>
  <si>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</si>
  <si>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</si>
  <si>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</si>
  <si>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</si>
  <si>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</si>
  <si>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</si>
  <si>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</si>
  <si>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</si>
  <si>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</si>
  <si>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</si>
  <si>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</si>
  <si>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</si>
  <si>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</si>
  <si>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</si>
  <si>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</si>
  <si>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</si>
  <si>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</si>
  <si>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</si>
  <si>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</si>
  <si>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</si>
  <si>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</si>
  <si>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</si>
  <si>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</si>
  <si>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</si>
  <si>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</si>
  <si>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</si>
  <si>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</si>
  <si>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</si>
  <si>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</si>
  <si>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</si>
  <si>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</si>
  <si>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</si>
  <si>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</si>
  <si>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</si>
  <si>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</si>
  <si>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</si>
  <si>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</si>
  <si>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</si>
  <si>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</si>
  <si>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</si>
  <si>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</si>
  <si>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</si>
  <si>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</si>
  <si>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</si>
  <si>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</si>
  <si>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</si>
  <si>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</si>
  <si>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</si>
  <si>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</si>
  <si>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</si>
  <si>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</si>
  <si>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</si>
  <si>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</si>
  <si>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</si>
  <si>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</si>
  <si>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</si>
  <si>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</si>
  <si>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</si>
  <si>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</si>
  <si>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</si>
  <si>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</si>
  <si>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</si>
  <si>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</si>
  <si>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</si>
  <si>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</si>
  <si>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</si>
  <si>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</si>
  <si>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</si>
  <si>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</si>
  <si>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</si>
  <si>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</si>
  <si>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</si>
  <si>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</si>
  <si>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</si>
  <si>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</si>
  <si>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</si>
  <si>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</si>
  <si>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</si>
  <si>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</si>
  <si>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</si>
  <si>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</si>
  <si>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</si>
  <si>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</si>
  <si>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</si>
  <si>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</si>
  <si>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</si>
  <si>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</si>
  <si>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</si>
  <si>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</si>
  <si>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</si>
  <si>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</si>
  <si>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</si>
  <si>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</si>
  <si>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</si>
  <si>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</si>
  <si>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</si>
  <si>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</si>
  <si>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</si>
  <si>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</si>
  <si>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</si>
  <si>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</si>
  <si>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</si>
  <si>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</si>
  <si>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</si>
  <si>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</si>
  <si>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</si>
  <si>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</si>
  <si>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</si>
  <si>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</si>
  <si>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</si>
  <si>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</si>
  <si>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</si>
  <si>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</si>
  <si>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</si>
  <si>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</si>
  <si>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</si>
  <si>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</si>
  <si>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</si>
  <si>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</si>
  <si>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</si>
  <si>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</si>
  <si>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</si>
  <si>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</si>
  <si>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</si>
  <si>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</si>
  <si>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</si>
  <si>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</si>
  <si>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</si>
  <si>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</si>
  <si>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</si>
  <si>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</si>
  <si>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</si>
  <si>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</si>
  <si>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</si>
  <si>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</si>
  <si>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</si>
  <si>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</si>
  <si>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</si>
  <si>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</si>
  <si>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</si>
  <si>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</si>
  <si>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</si>
  <si>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</si>
  <si>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</si>
  <si>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</si>
  <si>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</si>
  <si>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</si>
  <si>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</si>
  <si>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</si>
  <si>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</si>
  <si>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</si>
  <si>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</si>
  <si>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</si>
  <si>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</si>
  <si>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</si>
  <si>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</si>
  <si>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</si>
  <si>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</si>
  <si>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</si>
  <si>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</si>
  <si>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</si>
  <si>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</si>
  <si>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</si>
  <si>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</si>
  <si>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</si>
  <si>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</si>
  <si>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</si>
  <si>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</si>
  <si>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</si>
  <si>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</si>
  <si>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</si>
  <si>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</si>
  <si>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</si>
  <si>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</si>
  <si>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</si>
  <si>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</si>
  <si>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</si>
  <si>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</si>
  <si>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</si>
  <si>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</si>
  <si>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</si>
  <si>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</si>
  <si>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</si>
  <si>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</si>
  <si>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</si>
  <si>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</si>
  <si>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</si>
  <si>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</si>
  <si>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</si>
  <si>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</si>
  <si>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</si>
  <si>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</si>
  <si>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</si>
  <si>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</si>
  <si>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</si>
  <si>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</si>
  <si>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</si>
  <si>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</si>
  <si>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</si>
  <si>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</si>
  <si>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</si>
  <si>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</si>
  <si>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</si>
  <si>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</si>
  <si>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</si>
  <si>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</si>
  <si>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</si>
  <si>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</si>
  <si>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</si>
  <si>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</si>
  <si>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</si>
  <si>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</si>
  <si>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</si>
  <si>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</si>
  <si>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</si>
  <si>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</si>
  <si>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</si>
  <si>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</si>
  <si>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</si>
  <si>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</si>
  <si>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</si>
  <si>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</si>
  <si>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</si>
  <si>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</si>
  <si>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</si>
  <si>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</si>
  <si>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</si>
  <si>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</si>
  <si>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</si>
  <si>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</si>
  <si>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</si>
  <si>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</si>
  <si>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</si>
  <si>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</si>
  <si>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</si>
  <si>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</si>
  <si>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</si>
  <si>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</si>
  <si>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</si>
  <si>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</si>
  <si>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</si>
  <si>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</si>
  <si>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</si>
  <si>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</si>
  <si>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</si>
  <si>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</si>
  <si>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</si>
  <si>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</si>
  <si>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</si>
  <si>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</si>
  <si>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</si>
  <si>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</si>
  <si>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</si>
  <si>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</si>
  <si>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</si>
  <si>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</si>
  <si>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</si>
  <si>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</si>
  <si>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</si>
  <si>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</si>
  <si>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</si>
  <si>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</si>
  <si>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</si>
  <si>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</si>
  <si>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</si>
  <si>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</si>
  <si>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</si>
  <si>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</si>
  <si>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</si>
  <si>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</si>
  <si>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</si>
  <si>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</si>
  <si>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</si>
  <si>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</si>
  <si>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</si>
  <si>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</si>
  <si>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</si>
  <si>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</si>
  <si>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</si>
  <si>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</si>
  <si>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</si>
  <si>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</si>
  <si>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</si>
  <si>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</si>
  <si>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</si>
  <si>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</si>
  <si>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</si>
  <si>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</si>
  <si>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</si>
  <si>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</si>
  <si>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</si>
  <si>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</si>
  <si>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</si>
  <si>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</si>
  <si>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</si>
  <si>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</si>
  <si>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</si>
  <si>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</si>
  <si>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</si>
  <si>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</si>
  <si>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</si>
  <si>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</si>
  <si>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</si>
  <si>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</si>
  <si>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</si>
  <si>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</si>
  <si>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</si>
  <si>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</si>
  <si>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</si>
  <si>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</si>
  <si>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</si>
  <si>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</si>
  <si>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</si>
  <si>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</si>
  <si>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</si>
  <si>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</si>
  <si>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</si>
  <si>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</si>
  <si>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</si>
  <si>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</si>
  <si>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</si>
  <si>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</si>
  <si>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</si>
  <si>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</si>
  <si>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</si>
  <si>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</si>
  <si>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</si>
  <si>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</si>
  <si>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</si>
  <si>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</si>
  <si>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</si>
  <si>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</si>
  <si>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</si>
  <si>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</si>
  <si>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</si>
  <si>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</si>
  <si>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</si>
  <si>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</si>
  <si>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</si>
  <si>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</si>
  <si>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</si>
  <si>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</si>
  <si>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</si>
  <si>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</si>
  <si>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</si>
  <si>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</si>
  <si>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</si>
  <si>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</si>
  <si>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</si>
  <si>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</si>
  <si>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</si>
  <si>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</si>
  <si>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</si>
  <si>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</si>
  <si>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</si>
  <si>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</si>
  <si>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</si>
  <si>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</si>
  <si>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</si>
  <si>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</si>
  <si>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</si>
  <si>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</si>
  <si>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</si>
  <si>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</si>
  <si>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</si>
  <si>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</si>
  <si>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</si>
  <si>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</si>
  <si>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</si>
  <si>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</si>
  <si>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</si>
  <si>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</si>
  <si>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</si>
  <si>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</si>
  <si>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</si>
  <si>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</si>
  <si>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</si>
  <si>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</si>
  <si>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</si>
  <si>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</si>
  <si>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</si>
  <si>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</si>
  <si>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</si>
  <si>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</si>
  <si>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</si>
  <si>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</si>
  <si>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</si>
  <si>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</si>
  <si>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</si>
  <si>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</si>
  <si>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</si>
  <si>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</si>
  <si>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</si>
  <si>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</si>
  <si>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</si>
  <si>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</si>
  <si>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</si>
  <si>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</si>
  <si>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</si>
  <si>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</si>
  <si>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</si>
  <si>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</si>
  <si>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</si>
  <si>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</si>
  <si>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</si>
  <si>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</si>
  <si>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</si>
  <si>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</si>
  <si>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</si>
  <si>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</si>
  <si>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</si>
  <si>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</si>
  <si>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</si>
  <si>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</si>
  <si>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</si>
  <si>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</si>
  <si>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</si>
  <si>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</si>
  <si>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</si>
  <si>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</si>
  <si>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</si>
  <si>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</si>
  <si>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</si>
  <si>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</si>
  <si>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</si>
  <si>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</si>
  <si>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</si>
  <si>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</si>
  <si>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</si>
  <si>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</si>
  <si>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</si>
  <si>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</si>
  <si>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</si>
  <si>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</si>
  <si>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</si>
  <si>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</si>
  <si>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</si>
  <si>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</si>
  <si>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</si>
  <si>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</si>
  <si>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</si>
  <si>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</si>
  <si>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</si>
  <si>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</si>
  <si>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</si>
  <si>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</si>
  <si>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</si>
  <si>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</si>
  <si>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</si>
  <si>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</si>
  <si>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</si>
  <si>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</si>
  <si>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</si>
  <si>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</si>
  <si>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</si>
  <si>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</si>
  <si>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</si>
  <si>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</si>
  <si>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</si>
  <si>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</si>
  <si>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</si>
  <si>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</si>
  <si>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</si>
  <si>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</si>
  <si>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</si>
  <si>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</si>
  <si>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</si>
  <si>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</si>
  <si>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</si>
  <si>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</si>
  <si>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</si>
  <si>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</si>
  <si>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</si>
  <si>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</si>
  <si>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</si>
  <si>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</si>
  <si>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</si>
  <si>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</si>
  <si>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</si>
  <si>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</si>
  <si>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</si>
  <si>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</si>
  <si>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</si>
  <si>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</si>
  <si>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</si>
  <si>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</si>
  <si>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</si>
  <si>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</si>
  <si>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</si>
  <si>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</si>
  <si>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</si>
  <si>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</si>
  <si>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</si>
  <si>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</si>
  <si>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</si>
  <si>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</si>
  <si>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</si>
  <si>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</si>
  <si>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</si>
  <si>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</si>
  <si>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</si>
  <si>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</si>
  <si>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</si>
  <si>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</si>
  <si>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</si>
  <si>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</si>
  <si>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</si>
  <si>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</si>
  <si>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</si>
  <si>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</si>
  <si>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</si>
  <si>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</si>
  <si>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</si>
  <si>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</si>
  <si>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</si>
  <si>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</si>
  <si>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</si>
  <si>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</si>
  <si>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</si>
  <si>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</si>
  <si>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</si>
  <si>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</si>
  <si>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</si>
  <si>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</si>
  <si>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</si>
  <si>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</si>
  <si>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</si>
  <si>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</si>
  <si>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</si>
  <si>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</si>
  <si>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</si>
  <si>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</si>
  <si>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</si>
  <si>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</si>
  <si>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</si>
  <si>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</si>
  <si>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</si>
  <si>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</si>
  <si>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</si>
  <si>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</si>
  <si>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</si>
  <si>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</si>
  <si>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</si>
  <si>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</si>
  <si>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</si>
  <si>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</si>
  <si>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</si>
  <si>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</si>
  <si>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</si>
  <si>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</si>
  <si>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</si>
  <si>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</si>
  <si>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</si>
  <si>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</si>
  <si>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</si>
  <si>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</si>
  <si>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</si>
  <si>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</si>
  <si>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</si>
  <si>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</si>
  <si>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</si>
  <si>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</si>
  <si>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</si>
  <si>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</si>
  <si>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</si>
  <si>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</si>
  <si>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</si>
  <si>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</si>
  <si>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</si>
  <si>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</si>
  <si>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</si>
  <si>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</si>
  <si>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</si>
  <si>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</si>
  <si>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</si>
  <si>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</si>
  <si>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</si>
  <si>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</si>
  <si>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</si>
  <si>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</si>
  <si>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</si>
  <si>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</si>
  <si>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</si>
  <si>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</si>
  <si>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</si>
  <si>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</si>
  <si>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</si>
  <si>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</si>
  <si>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</si>
  <si>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</si>
  <si>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</si>
  <si>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</si>
  <si>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</si>
  <si>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</si>
  <si>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</si>
  <si>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</si>
  <si>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</si>
  <si>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</si>
  <si>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</si>
  <si>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</si>
  <si>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</si>
  <si>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</si>
  <si>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</si>
  <si>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</si>
  <si>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</si>
  <si>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</si>
  <si>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</si>
  <si>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</si>
  <si>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</si>
  <si>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</si>
  <si>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</si>
  <si>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</si>
  <si>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</si>
  <si>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</si>
  <si>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</si>
  <si>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</si>
  <si>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</si>
  <si>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</si>
  <si>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</si>
  <si>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</si>
  <si>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</si>
  <si>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</si>
  <si>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</si>
  <si>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</si>
  <si>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</si>
  <si>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</si>
  <si>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</si>
  <si>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</si>
  <si>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</si>
  <si>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</si>
  <si>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</si>
  <si>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</si>
  <si>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</si>
  <si>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</si>
  <si>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</si>
  <si>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</si>
  <si>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</si>
  <si>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</si>
  <si>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</si>
  <si>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</si>
  <si>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</si>
  <si>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</si>
  <si>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</si>
  <si>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</si>
  <si>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</si>
  <si>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</si>
  <si>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</si>
  <si>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</si>
  <si>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</si>
  <si>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</si>
  <si>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</si>
  <si>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</si>
  <si>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</si>
  <si>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</si>
  <si>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</si>
  <si>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</si>
  <si>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</si>
  <si>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</si>
  <si>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</si>
  <si>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</si>
  <si>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</si>
  <si>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</si>
  <si>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</si>
  <si>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</si>
  <si>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</si>
  <si>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</si>
  <si>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</si>
  <si>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</si>
  <si>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</si>
  <si>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</si>
  <si>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</si>
  <si>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</si>
  <si>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</si>
  <si>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</si>
  <si>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</si>
  <si>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</si>
  <si>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</si>
  <si>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</si>
  <si>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</si>
  <si>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</si>
  <si>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</si>
  <si>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</si>
  <si>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</si>
  <si>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</si>
  <si>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</si>
  <si>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</si>
  <si>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</si>
  <si>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</si>
  <si>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</si>
  <si>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</si>
  <si>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</si>
  <si>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</si>
  <si>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</si>
  <si>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</si>
  <si>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</si>
  <si>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</si>
  <si>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</si>
  <si>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</si>
  <si>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</si>
  <si>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</si>
  <si>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</si>
  <si>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</si>
  <si>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</si>
  <si>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</si>
  <si>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</si>
  <si>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</si>
  <si>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</si>
  <si>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</si>
  <si>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</si>
  <si>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</si>
  <si>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</si>
  <si>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</si>
  <si>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</si>
  <si>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</si>
  <si>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</si>
  <si>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</si>
  <si>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</si>
  <si>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</si>
  <si>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</si>
  <si>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</si>
  <si>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</si>
  <si>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</si>
  <si>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</si>
  <si>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</si>
  <si>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</si>
  <si>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</si>
  <si>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</si>
  <si>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</si>
  <si>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</si>
  <si>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</si>
  <si>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</si>
  <si>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</si>
  <si>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</si>
  <si>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</si>
  <si>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</si>
  <si>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</si>
  <si>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</si>
  <si>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</si>
  <si>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</si>
  <si>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</si>
  <si>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</si>
  <si>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</si>
  <si>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</si>
  <si>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</si>
  <si>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</si>
  <si>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</si>
  <si>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</si>
  <si>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</si>
  <si>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</si>
  <si>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</si>
  <si>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</si>
  <si>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</si>
  <si>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</si>
  <si>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</si>
  <si>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</si>
  <si>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</si>
  <si>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</si>
  <si>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</si>
  <si>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</si>
  <si>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</si>
  <si>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</si>
  <si>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</si>
  <si>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</si>
  <si>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</si>
  <si>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</si>
  <si>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</si>
  <si>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</si>
  <si>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</si>
  <si>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</si>
  <si>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</si>
  <si>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</si>
  <si>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</si>
  <si>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</si>
  <si>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</si>
  <si>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</si>
  <si>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</si>
  <si>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</si>
  <si>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</si>
  <si>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</si>
  <si>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</si>
  <si>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</si>
  <si>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</si>
  <si>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</si>
  <si>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</si>
  <si>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</si>
  <si>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</si>
  <si>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</si>
  <si>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</si>
  <si>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</si>
  <si>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</si>
  <si>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</si>
  <si>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</si>
  <si>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</si>
  <si>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</si>
  <si>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</si>
  <si>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</si>
  <si>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</si>
  <si>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</si>
  <si>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</si>
  <si>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</si>
  <si>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</si>
  <si>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</si>
  <si>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</si>
  <si>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</si>
  <si>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</si>
  <si>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</si>
  <si>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</si>
  <si>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</si>
  <si>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</si>
  <si>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</si>
  <si>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</si>
  <si>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</si>
  <si>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</si>
  <si>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</si>
  <si>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</si>
  <si>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</si>
  <si>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</si>
  <si>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</si>
  <si>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</si>
  <si>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</si>
  <si>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</si>
  <si>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</si>
  <si>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</si>
  <si>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</si>
  <si>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</si>
  <si>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</si>
  <si>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</si>
  <si>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</si>
  <si>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</si>
  <si>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</si>
  <si>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</si>
  <si>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</si>
  <si>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</si>
  <si>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</si>
  <si>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</si>
  <si>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</si>
  <si>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</si>
  <si>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</si>
  <si>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</si>
  <si>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</si>
  <si>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</si>
  <si>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</si>
  <si>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</si>
  <si>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</si>
  <si>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</si>
  <si>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</si>
  <si>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</si>
  <si>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</si>
  <si>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</si>
  <si>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</si>
  <si>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</si>
  <si>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</si>
  <si>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</si>
  <si>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</si>
  <si>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</si>
  <si>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</si>
  <si>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</si>
  <si>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</si>
  <si>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</si>
  <si>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</si>
  <si>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</si>
  <si>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</si>
  <si>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</si>
  <si>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</si>
  <si>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</si>
  <si>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</si>
  <si>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</si>
  <si>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</si>
  <si>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</si>
  <si>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</si>
  <si>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</si>
  <si>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</si>
  <si>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</si>
  <si>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</si>
  <si>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</si>
  <si>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</si>
  <si>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</si>
  <si>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</si>
  <si>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</si>
  <si>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</si>
  <si>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</si>
  <si>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</si>
  <si>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</si>
  <si>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</si>
  <si>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</si>
  <si>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</si>
  <si>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</si>
  <si>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</si>
  <si>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</si>
  <si>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</si>
  <si>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</si>
  <si>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</si>
  <si>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</si>
  <si>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</si>
  <si>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</si>
  <si>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</si>
  <si>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</si>
  <si>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</si>
  <si>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</si>
  <si>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</si>
  <si>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</si>
  <si>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</si>
  <si>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</si>
  <si>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</si>
  <si>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</si>
  <si>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</si>
  <si>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</si>
  <si>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</si>
  <si>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</si>
  <si>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</si>
  <si>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</si>
  <si>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</si>
  <si>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</si>
  <si>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</si>
  <si>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</si>
  <si>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</si>
  <si>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</si>
  <si>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</si>
  <si>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</si>
  <si>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</si>
  <si>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</si>
  <si>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</si>
  <si>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</si>
  <si>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</si>
  <si>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</si>
  <si>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</si>
  <si>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</si>
  <si>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</si>
  <si>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</si>
  <si>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</si>
  <si>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</si>
  <si>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</si>
  <si>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</si>
  <si>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</si>
  <si>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</si>
  <si>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</si>
  <si>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</si>
  <si>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</si>
  <si>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</si>
  <si>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</si>
  <si>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</si>
  <si>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</si>
  <si>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</si>
  <si>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</si>
  <si>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</si>
  <si>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</si>
  <si>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</si>
  <si>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</si>
  <si>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</si>
  <si>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</si>
  <si>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</si>
  <si>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</si>
  <si>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</si>
  <si>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</si>
  <si>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</si>
  <si>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</si>
  <si>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</si>
  <si>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</si>
  <si>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</si>
  <si>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</si>
  <si>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</si>
  <si>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</si>
  <si>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</si>
  <si>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</si>
  <si>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</si>
  <si>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</si>
  <si>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</si>
  <si>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</si>
  <si>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</si>
  <si>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</si>
  <si>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</si>
  <si>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</si>
  <si>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</si>
  <si>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</si>
  <si>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</si>
  <si>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</si>
  <si>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</si>
  <si>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</si>
  <si>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</si>
  <si>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</si>
  <si>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</si>
  <si>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</si>
  <si>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</si>
  <si>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</si>
  <si>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</si>
  <si>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</si>
  <si>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</si>
  <si>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</si>
  <si>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</si>
  <si>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</si>
  <si>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</si>
  <si>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</si>
  <si>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</si>
  <si>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</si>
  <si>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</si>
  <si>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</si>
  <si>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</si>
  <si>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</si>
  <si>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</si>
  <si>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</si>
  <si>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</si>
  <si>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</si>
  <si>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</si>
  <si>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</si>
  <si>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</si>
  <si>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</si>
  <si>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</si>
  <si>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</si>
  <si>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</si>
  <si>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</si>
  <si>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</si>
  <si>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</si>
  <si>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</si>
  <si>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</si>
  <si>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</si>
  <si>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</si>
  <si>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</si>
  <si>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</si>
  <si>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</si>
  <si>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</si>
  <si>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</si>
  <si>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</si>
  <si>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</si>
  <si>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</si>
  <si>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</si>
  <si>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</si>
  <si>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</si>
  <si>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</si>
  <si>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</si>
  <si>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</si>
  <si>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</si>
  <si>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</si>
  <si>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</si>
  <si>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</si>
  <si>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</si>
  <si>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</si>
  <si>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</si>
  <si>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</si>
  <si>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</si>
  <si>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</si>
  <si>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</si>
  <si>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</si>
  <si>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</si>
  <si>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</si>
  <si>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</si>
  <si>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</si>
  <si>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</si>
  <si>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</si>
  <si>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</si>
  <si>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</si>
  <si>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</si>
  <si>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</si>
  <si>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</si>
  <si>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</si>
  <si>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</si>
  <si>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</si>
  <si>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</si>
  <si>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</si>
  <si>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</si>
  <si>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</si>
  <si>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</si>
  <si>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</si>
  <si>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</si>
  <si>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</si>
  <si>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</si>
  <si>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</si>
  <si>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</si>
  <si>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</si>
  <si>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</si>
  <si>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</si>
  <si>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</si>
  <si>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</si>
  <si>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</si>
  <si>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</si>
  <si>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</si>
  <si>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</si>
  <si>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</si>
  <si>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</si>
  <si>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</si>
  <si>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</si>
  <si>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</si>
  <si>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</si>
  <si>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</si>
  <si>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</si>
  <si>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</si>
  <si>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</si>
  <si>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</si>
  <si>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</si>
  <si>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</si>
  <si>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</si>
  <si>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</si>
  <si>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</si>
  <si>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</si>
  <si>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</si>
  <si>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</si>
  <si>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</si>
  <si>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</si>
  <si>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</si>
  <si>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</si>
  <si>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</si>
  <si>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</si>
  <si>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</si>
  <si>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</si>
  <si>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</si>
  <si>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</si>
  <si>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</si>
  <si>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</si>
  <si>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</si>
  <si>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</si>
  <si>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</si>
  <si>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</si>
  <si>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</si>
  <si>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</si>
  <si>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</si>
  <si>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</si>
  <si>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</si>
  <si>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</si>
  <si>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</si>
  <si>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</si>
  <si>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</si>
  <si>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</si>
  <si>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</si>
  <si>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</si>
  <si>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</si>
  <si>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</si>
  <si>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</si>
  <si>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</si>
  <si>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</si>
  <si>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</si>
  <si>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</si>
  <si>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</si>
  <si>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</si>
  <si>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</si>
  <si>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</si>
  <si>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</si>
  <si>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</si>
  <si>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</si>
  <si>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</si>
  <si>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</si>
  <si>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</si>
  <si>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</si>
  <si>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</si>
  <si>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</si>
  <si>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</si>
  <si>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</si>
  <si>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</si>
  <si>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</si>
  <si>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</si>
  <si>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</si>
  <si>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</si>
  <si>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</si>
  <si>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</si>
  <si>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</si>
  <si>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</si>
  <si>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</si>
  <si>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</si>
  <si>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</si>
  <si>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</si>
  <si>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</si>
  <si>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</si>
  <si>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</si>
  <si>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</si>
  <si>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</si>
  <si>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</si>
  <si>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</si>
  <si>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</si>
  <si>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</si>
  <si>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</si>
  <si>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</si>
  <si>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</si>
  <si>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</si>
  <si>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</si>
  <si>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</si>
  <si>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</si>
  <si>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</si>
  <si>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</si>
  <si>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</si>
  <si>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</si>
  <si>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</si>
  <si>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</si>
  <si>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</si>
  <si>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</si>
  <si>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</si>
  <si>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</si>
  <si>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</si>
  <si>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</si>
  <si>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</si>
  <si>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</si>
  <si>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</si>
  <si>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</si>
  <si>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</si>
  <si>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</si>
  <si>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</si>
  <si>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</si>
  <si>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</si>
  <si>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</si>
  <si>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</si>
  <si>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</si>
  <si>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</si>
  <si>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</si>
  <si>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</si>
  <si>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</si>
  <si>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</si>
  <si>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</si>
  <si>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</si>
  <si>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</si>
  <si>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</si>
  <si>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</si>
  <si>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</si>
  <si>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</si>
  <si>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</si>
  <si>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</si>
  <si>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</si>
  <si>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</si>
  <si>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</si>
  <si>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</si>
  <si>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</si>
  <si>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</si>
  <si>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</si>
  <si>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</si>
  <si>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</si>
  <si>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</si>
  <si>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</si>
  <si>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</si>
  <si>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</si>
  <si>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</si>
  <si>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</si>
  <si>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</si>
  <si>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</si>
  <si>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</si>
  <si>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</si>
  <si>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</si>
  <si>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</si>
  <si>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</si>
  <si>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</si>
  <si>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</si>
  <si>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</si>
  <si>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</si>
  <si>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</si>
  <si>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</si>
  <si>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</si>
  <si>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</si>
  <si>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</si>
  <si>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</si>
  <si>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</si>
  <si>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</si>
  <si>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</si>
  <si>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</si>
  <si>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</si>
  <si>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</si>
  <si>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</si>
  <si>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</si>
  <si>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</si>
  <si>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</si>
  <si>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</si>
  <si>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</si>
  <si>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</si>
  <si>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</si>
  <si>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</si>
  <si>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</si>
  <si>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</si>
  <si>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</si>
  <si>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</si>
  <si>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</si>
  <si>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</si>
  <si>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</si>
  <si>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</si>
  <si>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</si>
  <si>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</si>
  <si>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</si>
  <si>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</si>
  <si>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</si>
  <si>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</si>
  <si>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</si>
  <si>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</si>
  <si>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</si>
  <si>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</si>
  <si>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</si>
  <si>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</si>
  <si>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</si>
  <si>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</si>
  <si>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</si>
  <si>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</si>
  <si>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</si>
  <si>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</si>
  <si>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</si>
  <si>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</si>
  <si>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</si>
  <si>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</si>
  <si>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</si>
  <si>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</si>
  <si>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</si>
  <si>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</si>
  <si>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</si>
  <si>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</si>
  <si>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</si>
  <si>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</si>
  <si>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</si>
  <si>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</si>
  <si>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</si>
  <si>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</si>
  <si>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</si>
  <si>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</si>
  <si>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</si>
  <si>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</si>
  <si>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</si>
  <si>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</si>
  <si>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</si>
  <si>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</si>
  <si>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</si>
  <si>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</si>
  <si>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</si>
  <si>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</si>
  <si>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</si>
  <si>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</si>
  <si>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</si>
  <si>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</si>
  <si>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</si>
  <si>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</si>
  <si>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</si>
  <si>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</si>
  <si>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</si>
  <si>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</si>
  <si>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</si>
  <si>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</si>
  <si>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</si>
  <si>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</si>
  <si>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</si>
  <si>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</si>
  <si>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</si>
  <si>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</si>
  <si>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</si>
  <si>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</si>
  <si>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</si>
  <si>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</si>
  <si>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</si>
  <si>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</si>
  <si>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</si>
  <si>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</si>
  <si>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</si>
  <si>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</si>
  <si>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</si>
  <si>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</si>
  <si>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</si>
  <si>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</si>
  <si>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</si>
  <si>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</si>
  <si>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</si>
  <si>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</si>
  <si>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</si>
  <si>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</si>
  <si>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</si>
  <si>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</si>
  <si>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</si>
  <si>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</si>
  <si>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</si>
  <si>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</si>
  <si>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</si>
  <si>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</si>
  <si>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</si>
  <si>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</si>
  <si>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</si>
  <si>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</si>
  <si>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</si>
  <si>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</si>
  <si>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</si>
  <si>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</si>
  <si>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</si>
  <si>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</si>
  <si>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</si>
  <si>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</si>
  <si>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</si>
  <si>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</si>
  <si>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</si>
  <si>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</si>
  <si>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</si>
  <si>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</si>
  <si>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</si>
  <si>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</si>
  <si>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</si>
  <si>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</si>
  <si>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</si>
  <si>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</si>
  <si>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</si>
  <si>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</si>
  <si>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</si>
  <si>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</si>
  <si>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</si>
  <si>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</si>
  <si>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</si>
  <si>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</si>
  <si>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</si>
  <si>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</si>
  <si>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</si>
  <si>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</si>
  <si>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</si>
  <si>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</si>
  <si>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</si>
  <si>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</si>
  <si>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</si>
  <si>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</si>
  <si>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</si>
  <si>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</si>
  <si>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</si>
  <si>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</si>
  <si>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</si>
  <si>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</si>
  <si>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</si>
  <si>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</si>
  <si>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</si>
  <si>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</si>
  <si>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</si>
  <si>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</si>
  <si>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</si>
  <si>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</si>
  <si>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</si>
  <si>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</si>
  <si>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</si>
  <si>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</si>
  <si>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</si>
  <si>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</si>
  <si>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</si>
  <si>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</si>
  <si>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</si>
  <si>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</si>
  <si>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</si>
  <si>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</si>
  <si>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</si>
  <si>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</si>
  <si>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</si>
  <si>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</si>
  <si>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</si>
  <si>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</si>
  <si>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</si>
  <si>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</si>
  <si>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</si>
  <si>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</si>
  <si>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</si>
  <si>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</si>
  <si>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</si>
  <si>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</si>
  <si>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</si>
  <si>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</si>
  <si>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</si>
  <si>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</si>
  <si>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</si>
  <si>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</si>
  <si>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</si>
  <si>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</si>
  <si>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</si>
  <si>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</si>
  <si>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</si>
  <si>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</si>
  <si>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</si>
  <si>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</si>
  <si>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</si>
  <si>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</si>
  <si>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</si>
  <si>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</si>
  <si>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</si>
  <si>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</si>
  <si>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</si>
  <si>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</si>
  <si>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</si>
  <si>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</si>
  <si>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</si>
  <si>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</si>
  <si>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</si>
  <si>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</si>
  <si>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</si>
  <si>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</si>
  <si>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</si>
  <si>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</si>
  <si>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</si>
  <si>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</si>
  <si>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</si>
  <si>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</si>
  <si>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</si>
  <si>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</si>
  <si>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</si>
  <si>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</si>
  <si>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</si>
  <si>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</si>
  <si>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</si>
  <si>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</si>
  <si>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</si>
  <si>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</si>
  <si>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</si>
  <si>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</si>
  <si>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</si>
  <si>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</si>
  <si>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</si>
  <si>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</si>
  <si>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</si>
  <si>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</si>
  <si>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</si>
  <si>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</si>
  <si>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</si>
  <si>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</si>
  <si>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</si>
  <si>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</si>
  <si>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</si>
  <si>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</si>
  <si>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</si>
  <si>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</si>
  <si>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</si>
  <si>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</si>
  <si>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</si>
  <si>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</si>
  <si>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</si>
  <si>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</si>
  <si>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</si>
  <si>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</si>
  <si>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</si>
  <si>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</si>
  <si>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</si>
  <si>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</si>
  <si>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</si>
  <si>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</si>
  <si>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</si>
  <si>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</si>
  <si>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</si>
  <si>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</si>
  <si>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</si>
  <si>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</si>
  <si>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</si>
  <si>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</si>
  <si>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</si>
  <si>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</si>
  <si>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</si>
  <si>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</si>
  <si>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</si>
  <si>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</si>
  <si>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</si>
  <si>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</si>
  <si>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</si>
  <si>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</si>
  <si>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</si>
  <si>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</si>
  <si>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</si>
  <si>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</si>
  <si>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</si>
  <si>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</si>
  <si>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</si>
  <si>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</si>
  <si>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</si>
  <si>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</si>
  <si>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</si>
  <si>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</si>
  <si>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</si>
  <si>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</si>
  <si>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</si>
  <si>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</si>
  <si>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</si>
  <si>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</si>
  <si>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</si>
  <si>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</si>
  <si>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</si>
  <si>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</si>
  <si>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</si>
  <si>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</si>
  <si>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</si>
  <si>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</si>
  <si>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</si>
  <si>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</si>
  <si>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</si>
  <si>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</si>
  <si>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</si>
  <si>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</si>
  <si>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</si>
  <si>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</si>
  <si>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</si>
  <si>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</si>
  <si>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</si>
  <si>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</si>
  <si>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</si>
  <si>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</si>
  <si>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</si>
  <si>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</si>
  <si>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</si>
  <si>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</si>
  <si>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</si>
  <si>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</si>
  <si>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</si>
  <si>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</si>
  <si>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</si>
  <si>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</si>
  <si>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</si>
  <si>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</si>
  <si>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</si>
  <si>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</si>
  <si>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</si>
  <si>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</si>
  <si>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</si>
  <si>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</si>
  <si>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</si>
  <si>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</si>
  <si>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</si>
  <si>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</si>
  <si>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</si>
  <si>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</si>
  <si>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</si>
  <si>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</si>
  <si>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</si>
  <si>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</si>
  <si>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</si>
  <si>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</si>
  <si>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</si>
  <si>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</si>
  <si>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</si>
  <si>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</si>
  <si>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</si>
  <si>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</si>
  <si>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</si>
  <si>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</si>
  <si>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</si>
  <si>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</si>
  <si>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</si>
  <si>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</si>
  <si>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</si>
  <si>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</si>
  <si>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</si>
  <si>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</si>
  <si>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</si>
  <si>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</si>
  <si>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</si>
  <si>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</si>
  <si>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</si>
  <si>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</si>
  <si>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</si>
  <si>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</si>
  <si>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</si>
  <si>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</si>
  <si>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</si>
  <si>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</si>
  <si>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</si>
  <si>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</si>
  <si>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</si>
  <si>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</si>
  <si>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</si>
  <si>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</si>
  <si>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</si>
  <si>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</si>
  <si>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</si>
  <si>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</si>
  <si>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</si>
  <si>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</si>
  <si>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</si>
  <si>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</si>
  <si>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</si>
  <si>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</si>
  <si>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</si>
  <si>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</si>
  <si>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</si>
  <si>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</si>
  <si>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</si>
  <si>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</si>
  <si>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</si>
  <si>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</si>
  <si>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</si>
  <si>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</si>
  <si>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</si>
  <si>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</si>
  <si>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</si>
  <si>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</si>
  <si>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</si>
  <si>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</si>
  <si>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</si>
  <si>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</si>
  <si>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</si>
  <si>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</si>
  <si>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</si>
  <si>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</si>
  <si>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</si>
  <si>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</si>
  <si>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</si>
  <si>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</si>
  <si>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</si>
  <si>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</si>
  <si>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</si>
  <si>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</si>
  <si>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</si>
  <si>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</si>
  <si>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</si>
  <si>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</si>
  <si>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</si>
  <si>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</si>
  <si>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</si>
  <si>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</si>
  <si>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</si>
  <si>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</si>
  <si>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</si>
  <si>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</si>
  <si>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</si>
  <si>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</si>
  <si>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</si>
  <si>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</si>
  <si>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</si>
  <si>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</si>
  <si>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</si>
  <si>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</si>
  <si>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</si>
  <si>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</si>
  <si>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</si>
  <si>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</si>
  <si>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</si>
  <si>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</si>
  <si>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</si>
  <si>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</si>
  <si>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</si>
  <si>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</si>
  <si>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</si>
  <si>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</si>
  <si>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</si>
  <si>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</si>
  <si>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</si>
  <si>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</si>
  <si>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</si>
  <si>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</si>
  <si>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</si>
  <si>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</si>
  <si>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</si>
  <si>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</si>
  <si>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</si>
  <si>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</si>
  <si>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</si>
  <si>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</si>
  <si>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</si>
  <si>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</si>
  <si>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</si>
  <si>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</si>
  <si>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</si>
  <si>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</si>
  <si>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</si>
  <si>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</si>
  <si>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</si>
  <si>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</si>
  <si>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</si>
  <si>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</si>
  <si>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</si>
  <si>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</si>
  <si>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</si>
  <si>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</si>
  <si>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</si>
  <si>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</si>
  <si>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</si>
  <si>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</si>
  <si>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</si>
  <si>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</si>
  <si>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</si>
  <si>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</si>
  <si>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</si>
  <si>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</si>
  <si>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</si>
  <si>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</si>
  <si>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</si>
  <si>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</si>
  <si>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</si>
  <si>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</si>
  <si>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</si>
  <si>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</si>
  <si>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</si>
  <si>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</si>
  <si>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</si>
  <si>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</si>
  <si>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</si>
  <si>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</si>
  <si>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</si>
  <si>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</si>
  <si>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</si>
  <si>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</si>
  <si>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</si>
  <si>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</si>
  <si>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</si>
  <si>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</si>
  <si>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</si>
  <si>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</si>
  <si>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</si>
  <si>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</si>
  <si>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</si>
  <si>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</si>
  <si>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</si>
  <si>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</si>
  <si>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</si>
  <si>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</si>
  <si>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</si>
  <si>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</si>
  <si>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</si>
  <si>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</si>
  <si>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</si>
  <si>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</si>
  <si>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</si>
  <si>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</si>
  <si>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</si>
  <si>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</si>
  <si>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</si>
  <si>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</si>
  <si>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</si>
  <si>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</si>
  <si>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</si>
  <si>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</si>
  <si>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</si>
  <si>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</si>
  <si>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</si>
  <si>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</si>
  <si>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</si>
  <si>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</si>
  <si>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</si>
  <si>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</si>
  <si>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</si>
  <si>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</si>
  <si>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</si>
  <si>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</si>
  <si>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</si>
  <si>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</si>
  <si>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</si>
  <si>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</si>
  <si>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</si>
  <si>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</si>
  <si>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</si>
  <si>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</si>
  <si>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</si>
  <si>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</si>
  <si>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</si>
  <si>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</si>
  <si>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</si>
  <si>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</si>
  <si>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</si>
  <si>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</si>
  <si>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</si>
  <si>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</si>
  <si>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</si>
  <si>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</si>
  <si>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</si>
  <si>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</si>
  <si>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</si>
  <si>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</si>
  <si>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</si>
  <si>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</si>
  <si>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</si>
  <si>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</si>
  <si>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</si>
  <si>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</si>
  <si>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</si>
  <si>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</si>
  <si>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</si>
  <si>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</si>
  <si>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</si>
  <si>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</si>
  <si>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</si>
  <si>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</si>
  <si>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</si>
  <si>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</si>
  <si>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</si>
  <si>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</si>
  <si>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</si>
  <si>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</si>
  <si>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</si>
  <si>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</si>
  <si>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</si>
  <si>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</si>
  <si>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</si>
  <si>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</si>
  <si>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</si>
  <si>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</si>
  <si>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</si>
  <si>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</si>
  <si>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</si>
  <si>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</si>
  <si>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</si>
  <si>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</si>
  <si>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</si>
  <si>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</si>
  <si>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</si>
  <si>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</si>
  <si>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</si>
  <si>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</si>
  <si>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</si>
  <si>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</si>
  <si>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</si>
  <si>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</si>
  <si>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</si>
  <si>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</si>
  <si>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</si>
  <si>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</si>
  <si>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</si>
  <si>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</si>
  <si>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</si>
  <si>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</si>
  <si>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</si>
  <si>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</si>
  <si>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</si>
  <si>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</si>
  <si>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</si>
  <si>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</si>
  <si>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</si>
  <si>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</si>
  <si>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</si>
  <si>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</si>
  <si>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</si>
  <si>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</si>
  <si>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</si>
  <si>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</si>
  <si>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</si>
  <si>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</si>
  <si>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</si>
  <si>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</si>
  <si>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</si>
  <si>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</si>
  <si>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</si>
  <si>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</si>
  <si>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</si>
  <si>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</si>
  <si>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</si>
  <si>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</si>
  <si>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</si>
  <si>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</si>
  <si>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</si>
  <si>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</si>
  <si>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</si>
  <si>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</si>
  <si>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</si>
  <si>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</si>
  <si>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</si>
  <si>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</si>
  <si>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</si>
  <si>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</si>
  <si>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</si>
  <si>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</si>
  <si>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</si>
  <si>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</si>
  <si>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</si>
  <si>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</si>
  <si>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</si>
  <si>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</si>
  <si>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</si>
  <si>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</si>
  <si>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</si>
  <si>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</si>
  <si>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</si>
  <si>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</si>
  <si>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</si>
  <si>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</si>
  <si>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</si>
  <si>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</si>
  <si>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</si>
  <si>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</si>
  <si>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</si>
  <si>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</si>
  <si>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</si>
  <si>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</si>
  <si>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</si>
  <si>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</si>
  <si>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</si>
  <si>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</si>
  <si>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</si>
  <si>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</si>
  <si>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</si>
  <si>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</si>
  <si>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</si>
  <si>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</si>
  <si>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</si>
  <si>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</si>
  <si>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</si>
  <si>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</si>
  <si>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</si>
  <si>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</si>
  <si>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</si>
  <si>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</si>
  <si>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</si>
  <si>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</si>
  <si>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</si>
  <si>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</si>
  <si>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</si>
  <si>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</si>
  <si>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</si>
  <si>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</si>
  <si>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</si>
  <si>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</si>
  <si>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</si>
  <si>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</si>
  <si>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</si>
  <si>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</si>
  <si>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</si>
  <si>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</si>
  <si>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</si>
  <si>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</si>
  <si>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</si>
  <si>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</si>
  <si>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</si>
  <si>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</si>
  <si>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</si>
  <si>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</si>
  <si>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</si>
  <si>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</si>
  <si>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</si>
  <si>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</si>
  <si>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</si>
  <si>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</si>
  <si>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</si>
  <si>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</si>
  <si>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</si>
  <si>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</si>
  <si>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</si>
  <si>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</si>
  <si>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</si>
  <si>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</si>
  <si>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</si>
  <si>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</si>
  <si>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</si>
  <si>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</si>
  <si>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</si>
  <si>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</si>
  <si>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</si>
  <si>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</si>
  <si>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</si>
  <si>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</si>
  <si>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</si>
  <si>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</si>
  <si>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</si>
  <si>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</si>
  <si>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</si>
  <si>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</si>
  <si>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</si>
  <si>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</si>
  <si>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</si>
  <si>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</si>
  <si>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</si>
  <si>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</si>
  <si>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</si>
  <si>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</si>
  <si>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</si>
  <si>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</si>
  <si>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</si>
  <si>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</si>
  <si>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</si>
  <si>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</si>
  <si>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</si>
  <si>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</si>
  <si>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</si>
  <si>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</si>
  <si>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</si>
  <si>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</si>
  <si>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</si>
  <si>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</si>
  <si>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</si>
  <si>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</si>
  <si>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</si>
  <si>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</si>
  <si>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</si>
  <si>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</si>
  <si>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</si>
  <si>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</si>
  <si>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</si>
  <si>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</si>
  <si>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</si>
  <si>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</si>
  <si>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</si>
  <si>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</si>
  <si>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</si>
  <si>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</si>
  <si>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</si>
  <si>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</si>
  <si>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</si>
  <si>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</si>
  <si>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</si>
  <si>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</si>
  <si>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</si>
  <si>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</si>
  <si>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</si>
  <si>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</si>
  <si>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</si>
  <si>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</si>
  <si>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</si>
  <si>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</si>
  <si>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</si>
  <si>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</si>
  <si>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</si>
  <si>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</si>
  <si>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</si>
  <si>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</si>
  <si>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</si>
  <si>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</si>
  <si>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</si>
  <si>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</si>
  <si>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</si>
  <si>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</si>
  <si>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</si>
  <si>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</si>
  <si>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</si>
  <si>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</si>
  <si>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</si>
  <si>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</si>
  <si>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</si>
  <si>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</si>
  <si>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</si>
  <si>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</si>
  <si>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</si>
  <si>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</si>
  <si>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</si>
  <si>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</si>
  <si>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</si>
  <si>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</si>
  <si>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</si>
  <si>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</si>
  <si>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</si>
  <si>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</si>
  <si>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</si>
  <si>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</si>
  <si>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</si>
  <si>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</si>
  <si>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</si>
  <si>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</si>
  <si>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</si>
  <si>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</si>
  <si>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</si>
  <si>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</si>
  <si>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</si>
  <si>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</si>
  <si>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</si>
  <si>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</si>
  <si>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</si>
  <si>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</si>
  <si>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</si>
  <si>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</si>
  <si>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</si>
  <si>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</si>
  <si>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</si>
  <si>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</si>
  <si>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</si>
  <si>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</si>
  <si>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</si>
  <si>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</si>
  <si>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</si>
  <si>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</si>
  <si>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</si>
  <si>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</si>
  <si>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</si>
  <si>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</si>
  <si>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</si>
  <si>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</si>
  <si>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</si>
  <si>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</si>
  <si>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</si>
  <si>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</si>
  <si>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</si>
  <si>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</si>
  <si>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</si>
  <si>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</si>
  <si>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</si>
  <si>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</si>
  <si>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</si>
  <si>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</si>
  <si>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</si>
  <si>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</si>
  <si>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</si>
  <si>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</si>
  <si>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</si>
  <si>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</si>
  <si>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</si>
  <si>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</si>
  <si>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</si>
  <si>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</si>
  <si>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</si>
  <si>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</si>
  <si>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</si>
  <si>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</si>
  <si>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</si>
  <si>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</si>
  <si>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</si>
  <si>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</si>
  <si>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</si>
  <si>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</si>
  <si>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</si>
  <si>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</si>
  <si>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</si>
  <si>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</si>
  <si>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</si>
  <si>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</si>
  <si>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</si>
  <si>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</si>
  <si>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</si>
  <si>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</si>
  <si>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</si>
  <si>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</si>
  <si>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</si>
  <si>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</si>
  <si>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</si>
  <si>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</si>
  <si>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</si>
  <si>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</si>
  <si>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</si>
  <si>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</si>
  <si>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</si>
  <si>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</si>
  <si>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</si>
  <si>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</si>
  <si>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</si>
  <si>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</si>
  <si>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</si>
  <si>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</si>
  <si>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</si>
  <si>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</si>
  <si>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</si>
  <si>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</si>
  <si>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</si>
  <si>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</si>
  <si>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</si>
  <si>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</si>
  <si>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</si>
  <si>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</si>
  <si>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</si>
  <si>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</si>
  <si>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</si>
  <si>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</si>
  <si>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</si>
  <si>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</si>
  <si>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</si>
  <si>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</si>
  <si>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</si>
  <si>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</si>
  <si>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</si>
  <si>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</si>
  <si>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</si>
  <si>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</si>
  <si>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</si>
  <si>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</si>
  <si>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</si>
  <si>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</si>
  <si>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</si>
  <si>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</si>
  <si>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</si>
  <si>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</si>
  <si>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</si>
  <si>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</si>
  <si>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</si>
  <si>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</si>
  <si>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</si>
  <si>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</si>
  <si>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</si>
  <si>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</si>
  <si>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</si>
  <si>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</si>
  <si>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</si>
  <si>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</si>
  <si>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</si>
  <si>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</si>
  <si>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</si>
  <si>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</si>
  <si>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</si>
  <si>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</si>
  <si>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</si>
  <si>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</si>
  <si>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</si>
  <si>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</si>
  <si>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</si>
  <si>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</si>
  <si>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</si>
  <si>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</si>
  <si>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</si>
  <si>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</si>
  <si>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</si>
  <si>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</si>
  <si>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</si>
  <si>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</si>
  <si>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</si>
  <si>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</si>
  <si>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</si>
  <si>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</si>
  <si>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</si>
  <si>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</si>
  <si>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</si>
  <si>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</si>
  <si>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</si>
  <si>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</si>
  <si>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</si>
  <si>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</si>
  <si>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</si>
  <si>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</si>
  <si>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</si>
  <si>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</si>
  <si>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</si>
  <si>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</si>
  <si>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</si>
  <si>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</si>
  <si>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</si>
  <si>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</si>
  <si>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</si>
  <si>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</si>
  <si>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</si>
  <si>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</si>
  <si>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</si>
  <si>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</si>
  <si>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</si>
  <si>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</si>
  <si>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</si>
  <si>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</si>
  <si>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</si>
  <si>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</si>
  <si>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</si>
  <si>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</si>
  <si>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</si>
  <si>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</si>
  <si>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</si>
  <si>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</si>
  <si>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</si>
  <si>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</si>
  <si>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</si>
  <si>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</si>
  <si>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</si>
  <si>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</si>
  <si>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</si>
  <si>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</si>
  <si>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</si>
  <si>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</si>
  <si>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</si>
  <si>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</si>
  <si>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</si>
  <si>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</si>
  <si>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</si>
  <si>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</si>
  <si>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</si>
  <si>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</si>
  <si>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</si>
  <si>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</si>
  <si>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</si>
  <si>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</si>
  <si>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</si>
  <si>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</si>
  <si>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</si>
  <si>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</si>
  <si>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</si>
  <si>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</si>
  <si>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</si>
  <si>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</si>
  <si>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</si>
  <si>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</si>
  <si>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</si>
  <si>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</si>
  <si>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</si>
  <si>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</si>
  <si>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</si>
  <si>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</si>
  <si>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</si>
  <si>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</si>
  <si>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</si>
  <si>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</si>
  <si>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</si>
  <si>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</si>
  <si>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</si>
  <si>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</si>
  <si>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</si>
  <si>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</si>
  <si>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</si>
  <si>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</si>
  <si>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</si>
  <si>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</si>
  <si>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</si>
  <si>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</si>
  <si>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</si>
  <si>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</si>
  <si>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</si>
  <si>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</si>
  <si>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</si>
  <si>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</si>
  <si>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</si>
  <si>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</si>
  <si>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</si>
  <si>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</si>
  <si>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</si>
  <si>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</si>
  <si>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</si>
  <si>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</si>
  <si>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</si>
  <si>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</si>
  <si>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</si>
  <si>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商务金融用地</t>
  </si>
  <si>
    <t>自定义容积率</t>
  </si>
  <si>
    <t>核定资产</t>
  </si>
  <si>
    <t>房地产市场价值</t>
  </si>
  <si>
    <t>划拨</t>
  </si>
  <si>
    <t>北京市</t>
  </si>
  <si>
    <t>地上</t>
  </si>
  <si>
    <t>是</t>
  </si>
  <si>
    <t>Ⅰ—01</t>
  </si>
  <si>
    <t>不临65条商业街</t>
  </si>
  <si>
    <t>与级别开发程度一致</t>
  </si>
  <si>
    <t>按公示增长率计算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</si>
</sst>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6">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20986;&#35753;&#35780;&#2027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汇总"/>
      <sheetName val="剩余法-现房"/>
      <sheetName val="不动产收益法"/>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酒店收入计算"/>
      <sheetName val="成本逼近法"/>
      <sheetName val="不动产比较法-住宅"/>
      <sheetName val="不动产比较法-商业"/>
      <sheetName val="比较法-住宅、综合"/>
      <sheetName val="Sheet2"/>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11930.78</v>
          </cell>
        </row>
        <row r="13">
          <cell r="I13">
            <v>20951.599999999999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北京市房地产市场价值预评估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受贵公司委托，我公司对北京市房地产市场价值进行了预评估。</v>
      </c>
    </row>
    <row r="7" spans="1:2" s="2762" customFormat="1">
      <c r="A7" s="2760" t="s">
        <v>779</v>
      </c>
      <c r="B7" s="2761" t="str">
        <f>'预评函-1'!A7</f>
        <v>估价对象为北京市房地产，为所有。根据《国有土地使用证》[]，估价对象（分摊）出让国有建设用地使用权面积为11930.78平方米，建筑面积为20951.6平方米。</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str">
        <f>'预评函-1'!A10</f>
        <v>估价对象为北京市房地产,属开发建设的，该项目尚在开发建设中。根据《国有土地使用证》[]，估价对象（分摊）出让国有建设用地使用权面积为11930.78平方米，规划建筑面积为20951.6平方米。</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2022年8月22日</v>
      </c>
    </row>
    <row r="13" spans="1:2" s="2762" customFormat="1">
      <c r="A13" s="2760" t="s">
        <v>742</v>
      </c>
      <c r="B13" s="2761" t="str">
        <f>'预评函-1'!A18</f>
        <v>本次估价的“房地产价值”是指在正常市场情况下，在价值时点2022年8月22日，估价对象规划用途为，土地取得方式为划拨，假定未设立法定优先受偿款下的房地产市场价值。</v>
      </c>
    </row>
    <row r="14" spans="1:2" s="2762" customFormat="1">
      <c r="A14" s="2760" t="s">
        <v>743</v>
      </c>
      <c r="B14" s="276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v>
      </c>
    </row>
    <row r="16" spans="1:2" s="2762" customFormat="1">
      <c r="A16" s="2760" t="s">
        <v>745</v>
      </c>
      <c r="B16" s="2761" t="str">
        <f>'预评函-1'!A21</f>
        <v>——</v>
      </c>
    </row>
    <row r="17" spans="1:2" s="2762" customFormat="1">
      <c r="A17" s="2760" t="s">
        <v>746</v>
      </c>
      <c r="B17" s="2761" t="str">
        <f>'预评函-1'!A22</f>
        <v>——</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20951.599999999999</v>
      </c>
    </row>
    <row r="44" spans="1:2" s="2762" customFormat="1">
      <c r="A44" s="2760" t="s">
        <v>788</v>
      </c>
      <c r="B44" s="2761" t="str">
        <f>'预评函-3'!C2</f>
        <v>(分摊)土地面积</v>
      </c>
    </row>
    <row r="45" spans="1:2" s="2762" customFormat="1">
      <c r="A45" s="2760" t="s">
        <v>760</v>
      </c>
      <c r="B45" s="2761">
        <f>'预评函-3'!C4</f>
        <v>11930.78</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北京市房地产市场价值预评估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北京市房地产市场价值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44795</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3097</v>
      </c>
      <c r="C8" s="2897"/>
      <c r="D8" s="3041" t="s">
        <v>2439</v>
      </c>
      <c r="E8" s="2898"/>
      <c r="F8" s="2899"/>
      <c r="G8" s="2880"/>
      <c r="H8" s="2880"/>
      <c r="I8" s="2880"/>
      <c r="J8" s="862"/>
      <c r="K8" s="2900"/>
      <c r="L8" s="2893"/>
      <c r="M8" s="2893"/>
      <c r="N8" s="862"/>
      <c r="O8" s="2893"/>
      <c r="P8" s="862"/>
      <c r="Q8" s="862"/>
      <c r="R8" s="862"/>
    </row>
    <row r="9" spans="1:28" ht="13.5" thickBot="1">
      <c r="A9" s="2901" t="s">
        <v>2440</v>
      </c>
      <c r="B9" s="2902" t="s">
        <v>3098</v>
      </c>
      <c r="C9" s="2903"/>
      <c r="D9" s="3042"/>
      <c r="E9" s="2902"/>
      <c r="F9" s="2904"/>
      <c r="G9" s="2905"/>
      <c r="H9" s="2905"/>
      <c r="I9" s="2905"/>
      <c r="J9" s="862"/>
      <c r="K9" s="2892"/>
      <c r="L9" s="2893"/>
      <c r="M9" s="2893"/>
      <c r="N9" s="862"/>
      <c r="O9" s="2893"/>
      <c r="P9" s="862"/>
      <c r="Q9" s="862"/>
      <c r="R9" s="862"/>
    </row>
    <row r="10" spans="1:28" ht="13.5" thickTop="1">
      <c r="A10" s="2906" t="s">
        <v>2441</v>
      </c>
      <c r="B10" s="2907" t="s">
        <v>3100</v>
      </c>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3099</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20"/>
      <c r="G13" s="2920"/>
      <c r="H13" s="2920"/>
      <c r="I13" s="2920"/>
      <c r="J13" s="862"/>
      <c r="K13" s="2892"/>
      <c r="L13" s="2893"/>
      <c r="M13" s="2893"/>
      <c r="N13" s="862"/>
      <c r="O13" s="2893"/>
      <c r="P13" s="862"/>
      <c r="Q13" s="862"/>
      <c r="R13" s="862"/>
    </row>
    <row r="14" spans="1:28">
      <c r="A14" s="1360"/>
      <c r="B14" s="2918"/>
      <c r="C14" s="2919" t="s">
        <v>2453</v>
      </c>
      <c r="D14" s="2921"/>
      <c r="E14" s="2921"/>
      <c r="F14" s="2921">
        <v>50</v>
      </c>
      <c r="G14" s="2921"/>
      <c r="H14" s="2921"/>
      <c r="I14" s="2921"/>
      <c r="J14" s="862"/>
      <c r="K14" s="2892"/>
      <c r="L14" s="2893"/>
      <c r="M14" s="2893"/>
      <c r="N14" s="862"/>
      <c r="O14" s="2893"/>
      <c r="P14" s="862"/>
      <c r="Q14" s="862"/>
      <c r="R14" s="862"/>
    </row>
    <row r="15" spans="1:28">
      <c r="A15" s="978"/>
      <c r="B15" s="2922"/>
      <c r="C15" s="2923" t="s">
        <v>2454</v>
      </c>
      <c r="D15" s="459">
        <f>IF(B12="出让",IF(D13="","",ROUNDDOWN(MIN((D13-$D$3)/365,D14),2)),D14)</f>
        <v>0</v>
      </c>
      <c r="E15" s="459">
        <f>IF(B12="出让",IF(E13="","",ROUNDDOWN(MIN((E13-$D$3)/365,E14),2)),E14)</f>
        <v>0</v>
      </c>
      <c r="F15" s="459">
        <f>IF(B12="出让",IF(F13="","",ROUNDDOWN(MIN((F13-$D$3)/365,F14),2)),F14)</f>
        <v>50</v>
      </c>
      <c r="G15" s="459">
        <f>IF(B12="出让",IF(G13="","",ROUNDDOWN(MIN((G13-$D$3)/365,G14),2)),G14)</f>
        <v>0</v>
      </c>
      <c r="H15" s="459">
        <f>IF(B12="出让",IF(H13="","",ROUNDDOWN(MIN((H13-$D$3)/365,H14),2)),H14)</f>
        <v>0</v>
      </c>
      <c r="I15" s="459">
        <f>IF(B12="出让",IF(I13="","",ROUNDDOWN(MIN((I13-$D$3)/365,I14),2)),I14)</f>
        <v>0</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20951.599999999999</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f>'数据-汇总表'!D3</f>
        <v>11930.78</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t="s">
        <v>184</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t="s">
        <v>3103</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f>'[3]数据-基础表'!$A$3</f>
        <v>11930.78</v>
      </c>
      <c r="B3" s="5">
        <f>IF(C3="否",G5-AT5,G5)</f>
        <v>20951.599999999999</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20951.599999999999</v>
      </c>
      <c r="H5" s="7">
        <f t="shared" ref="H5:AT5" si="0">SUM(H13:H656)</f>
        <v>20951.599999999999</v>
      </c>
      <c r="I5" s="7">
        <f t="shared" si="0"/>
        <v>20951.599999999999</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20951.599999999999</v>
      </c>
      <c r="BA5" s="9">
        <f t="shared" si="1"/>
        <v>20951.599999999999</v>
      </c>
      <c r="BB5" s="9">
        <f t="shared" si="1"/>
        <v>20951.599999999999</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f>H6+AC6+AT6</f>
        <v>11930.78</v>
      </c>
      <c r="F6" s="7" t="s">
        <v>0</v>
      </c>
      <c r="G6" s="7" t="s">
        <v>1</v>
      </c>
      <c r="H6" s="11">
        <f>SUMIF(I$12:AB$12,"总值",I6:AB6)</f>
        <v>11930.78</v>
      </c>
      <c r="I6" s="7">
        <f t="shared" ref="I6:AB6" si="2">ROUND($A$3*I5/$B$3,2)</f>
        <v>11930.78</v>
      </c>
      <c r="J6" s="7">
        <f t="shared" si="2"/>
        <v>0</v>
      </c>
      <c r="K6" s="7">
        <f t="shared" si="2"/>
        <v>0</v>
      </c>
      <c r="L6" s="7">
        <f t="shared" si="2"/>
        <v>0</v>
      </c>
      <c r="M6" s="7">
        <f t="shared" si="2"/>
        <v>0</v>
      </c>
      <c r="N6" s="7">
        <f t="shared" si="2"/>
        <v>0</v>
      </c>
      <c r="O6" s="7">
        <f t="shared" si="2"/>
        <v>0</v>
      </c>
      <c r="P6" s="7">
        <f t="shared" si="2"/>
        <v>0</v>
      </c>
      <c r="Q6" s="7">
        <f t="shared" si="2"/>
        <v>0</v>
      </c>
      <c r="R6" s="7">
        <f t="shared" si="2"/>
        <v>0</v>
      </c>
      <c r="S6" s="7">
        <f t="shared" si="2"/>
        <v>0</v>
      </c>
      <c r="T6" s="7">
        <f t="shared" si="2"/>
        <v>0</v>
      </c>
      <c r="U6" s="7">
        <f t="shared" si="2"/>
        <v>0</v>
      </c>
      <c r="V6" s="7">
        <f t="shared" si="2"/>
        <v>0</v>
      </c>
      <c r="W6" s="7">
        <f t="shared" si="2"/>
        <v>0</v>
      </c>
      <c r="X6" s="7">
        <f t="shared" si="2"/>
        <v>0</v>
      </c>
      <c r="Y6" s="7">
        <f t="shared" si="2"/>
        <v>0</v>
      </c>
      <c r="Z6" s="7">
        <f t="shared" si="2"/>
        <v>0</v>
      </c>
      <c r="AA6" s="7">
        <f t="shared" si="2"/>
        <v>0</v>
      </c>
      <c r="AB6" s="7">
        <f t="shared" si="2"/>
        <v>0</v>
      </c>
      <c r="AC6" s="11">
        <f>SUMIF(AD$12:AS$12,"总值",AD6:AS6)</f>
        <v>0</v>
      </c>
      <c r="AD6" s="7">
        <f t="shared" ref="AD6:AS6" si="3">ROUND($A$3*AD5/$B$3,2)</f>
        <v>0</v>
      </c>
      <c r="AE6" s="7">
        <f t="shared" si="3"/>
        <v>0</v>
      </c>
      <c r="AF6" s="7">
        <f t="shared" si="3"/>
        <v>0</v>
      </c>
      <c r="AG6" s="7">
        <f t="shared" si="3"/>
        <v>0</v>
      </c>
      <c r="AH6" s="7">
        <f t="shared" si="3"/>
        <v>0</v>
      </c>
      <c r="AI6" s="7">
        <f t="shared" si="3"/>
        <v>0</v>
      </c>
      <c r="AJ6" s="7">
        <f t="shared" si="3"/>
        <v>0</v>
      </c>
      <c r="AK6" s="7">
        <f t="shared" si="3"/>
        <v>0</v>
      </c>
      <c r="AL6" s="7">
        <f t="shared" si="3"/>
        <v>0</v>
      </c>
      <c r="AM6" s="7">
        <f t="shared" si="3"/>
        <v>0</v>
      </c>
      <c r="AN6" s="7">
        <f t="shared" si="3"/>
        <v>0</v>
      </c>
      <c r="AO6" s="7">
        <f t="shared" si="3"/>
        <v>0</v>
      </c>
      <c r="AP6" s="7">
        <f t="shared" si="3"/>
        <v>0</v>
      </c>
      <c r="AQ6" s="7">
        <f t="shared" si="3"/>
        <v>0</v>
      </c>
      <c r="AR6" s="7">
        <f t="shared" si="3"/>
        <v>0</v>
      </c>
      <c r="AS6" s="7">
        <f t="shared" si="3"/>
        <v>0</v>
      </c>
      <c r="AT6" s="11">
        <f>IF(C3="是",ROUND($A$3*AT5/$B$3,2),0)</f>
        <v>0</v>
      </c>
      <c r="AU6" s="234"/>
      <c r="AV6" s="6" t="s">
        <v>1296</v>
      </c>
      <c r="AW6" s="232"/>
      <c r="AX6" s="232"/>
      <c r="AY6" s="12">
        <f>IF(AY3&gt;0,AY3,ROUND($A$3*AZ5/$B$3,2))</f>
        <v>11930.78</v>
      </c>
      <c r="AZ6" s="7" t="s">
        <v>2</v>
      </c>
      <c r="BA6" s="7">
        <f>ROUND($AY$6*BA5/$AZ$5,2)</f>
        <v>11930.78</v>
      </c>
      <c r="BB6" s="7">
        <f>ROUND($AY$6*BB5/$AZ$5,2)</f>
        <v>11930.78</v>
      </c>
      <c r="BC6" s="7">
        <f t="shared" ref="BC6:BH6" si="4">ROUND($AY$6*BC5/$AZ$5,2)</f>
        <v>0</v>
      </c>
      <c r="BD6" s="7">
        <f t="shared" si="4"/>
        <v>0</v>
      </c>
      <c r="BE6" s="7">
        <f t="shared" si="4"/>
        <v>0</v>
      </c>
      <c r="BF6" s="7">
        <f t="shared" si="4"/>
        <v>0</v>
      </c>
      <c r="BG6" s="7">
        <f t="shared" si="4"/>
        <v>0</v>
      </c>
      <c r="BH6" s="7">
        <f t="shared" si="4"/>
        <v>0</v>
      </c>
      <c r="BI6" s="7">
        <f t="shared" ref="BI6:BT6" si="5">ROUND($AY$6*BI5/$AZ$5,2)</f>
        <v>0</v>
      </c>
      <c r="BJ6" s="7">
        <f t="shared" si="5"/>
        <v>0</v>
      </c>
      <c r="BK6" s="7">
        <f t="shared" si="5"/>
        <v>0</v>
      </c>
      <c r="BL6" s="7">
        <f t="shared" si="5"/>
        <v>0</v>
      </c>
      <c r="BM6" s="7">
        <f t="shared" si="5"/>
        <v>0</v>
      </c>
      <c r="BN6" s="7">
        <f t="shared" si="5"/>
        <v>0</v>
      </c>
      <c r="BO6" s="7">
        <f t="shared" si="5"/>
        <v>0</v>
      </c>
      <c r="BP6" s="7">
        <f t="shared" si="5"/>
        <v>0</v>
      </c>
      <c r="BQ6" s="7">
        <f t="shared" si="5"/>
        <v>0</v>
      </c>
      <c r="BR6" s="7">
        <f t="shared" si="5"/>
        <v>0</v>
      </c>
      <c r="BS6" s="7">
        <f t="shared" si="5"/>
        <v>0</v>
      </c>
      <c r="BT6" s="13">
        <f t="shared" si="5"/>
        <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t="s">
        <v>3101</v>
      </c>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t="s">
        <v>24</v>
      </c>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t="str">
        <f>I9</f>
        <v>地上</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t="str">
        <f>I10</f>
        <v>办公</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t="s">
        <v>3102</v>
      </c>
      <c r="E13" s="7">
        <f>IF($C$3="是",ROUND($A$3*G13/$B$3,2),ROUND($A$3*(G13-AT13)/$B$3,2))</f>
        <v>11930.78</v>
      </c>
      <c r="F13" s="23"/>
      <c r="G13" s="24">
        <f>H13+AC13+AT13</f>
        <v>20951.599999999999</v>
      </c>
      <c r="H13" s="11">
        <f>SUMIF(I$12:AB$12,"总值",I13:AB13)</f>
        <v>20951.599999999999</v>
      </c>
      <c r="I13" s="272">
        <f>'[3]数据-基础表'!$I$13</f>
        <v>20951.599999999999</v>
      </c>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f>ROUND($AY$6*AZ13/$AZ$5,2)</f>
        <v>11930.78</v>
      </c>
      <c r="AZ13" s="7">
        <f>BA13+BL13</f>
        <v>20951.599999999999</v>
      </c>
      <c r="BA13" s="7">
        <f>SUM(BB13:BK13)</f>
        <v>20951.599999999999</v>
      </c>
      <c r="BB13" s="7">
        <f>IF($D13="是",I13-J13,0)</f>
        <v>20951.599999999999</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f>IF($C$3="是",ROUND($A$3*G14/$B$3,2),ROUND($A$3*(G14-AT14)/$B$3,2))</f>
        <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f>ROUND($AY$6*AZ14/$AZ$5,2)</f>
        <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f>IF($C$3="是",ROUND($A$3*G15/$B$3,2),ROUND($A$3*(G15-AT15)/$B$3,2))</f>
        <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f>ROUND($AY$6*AZ15/$AZ$5,2)</f>
        <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f>IF($C$3="是",ROUND($A$3*G16/$B$3,2),ROUND($A$3*(G16-AT16)/$B$3,2))</f>
        <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f>ROUND($AY$6*AZ16/$AZ$5,2)</f>
        <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f>IF($C$3="是",ROUND($A$3*G17/$B$3,2),ROUND($A$3*(G17-AT17)/$B$3,2))</f>
        <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f>ROUND($AY$6*AZ17/$AZ$5,2)</f>
        <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f t="shared" ref="E18:E112" si="7">IF($C$3="是",ROUND($A$3*G18/$B$3,2),ROUND($A$3*(G18-AT18)/$B$3,2))</f>
        <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f t="shared" ref="AY18:AY109" si="14">ROUND($AY$6*AZ18/$AZ$5,2)</f>
        <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f t="shared" si="7"/>
        <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f t="shared" si="14"/>
        <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f t="shared" si="7"/>
        <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f t="shared" si="14"/>
        <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f t="shared" si="7"/>
        <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f t="shared" si="14"/>
        <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f t="shared" si="7"/>
        <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f t="shared" si="14"/>
        <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f t="shared" si="7"/>
        <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f t="shared" si="14"/>
        <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f t="shared" si="7"/>
        <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f t="shared" si="14"/>
        <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f t="shared" si="7"/>
        <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f t="shared" si="14"/>
        <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f t="shared" si="7"/>
        <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f t="shared" si="14"/>
        <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f t="shared" si="7"/>
        <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f t="shared" si="14"/>
        <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f t="shared" si="7"/>
        <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f t="shared" si="14"/>
        <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f t="shared" si="7"/>
        <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f t="shared" si="14"/>
        <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f t="shared" si="7"/>
        <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f t="shared" si="14"/>
        <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f t="shared" si="7"/>
        <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f t="shared" si="14"/>
        <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f t="shared" si="7"/>
        <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f t="shared" si="14"/>
        <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f t="shared" si="7"/>
        <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f t="shared" si="14"/>
        <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f t="shared" si="7"/>
        <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f t="shared" si="14"/>
        <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f t="shared" si="7"/>
        <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f t="shared" si="14"/>
        <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f t="shared" si="7"/>
        <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f t="shared" si="14"/>
        <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f t="shared" si="7"/>
        <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f t="shared" si="14"/>
        <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f t="shared" si="7"/>
        <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f t="shared" si="14"/>
        <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f t="shared" si="7"/>
        <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f t="shared" si="14"/>
        <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f t="shared" si="7"/>
        <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f t="shared" si="14"/>
        <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f t="shared" si="7"/>
        <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f t="shared" si="14"/>
        <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f t="shared" si="7"/>
        <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f t="shared" si="14"/>
        <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f t="shared" si="7"/>
        <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f t="shared" si="14"/>
        <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f t="shared" si="7"/>
        <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f t="shared" si="14"/>
        <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f t="shared" si="7"/>
        <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f t="shared" si="14"/>
        <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f t="shared" si="7"/>
        <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f t="shared" si="14"/>
        <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f t="shared" si="7"/>
        <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f t="shared" si="14"/>
        <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f t="shared" si="7"/>
        <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f t="shared" si="14"/>
        <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f t="shared" si="7"/>
        <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f t="shared" si="14"/>
        <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f t="shared" si="7"/>
        <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f t="shared" si="14"/>
        <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f t="shared" si="7"/>
        <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f t="shared" si="14"/>
        <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f t="shared" si="7"/>
        <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f t="shared" si="14"/>
        <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f t="shared" si="7"/>
        <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f t="shared" si="14"/>
        <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f t="shared" si="7"/>
        <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f t="shared" si="14"/>
        <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f t="shared" si="7"/>
        <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f t="shared" si="14"/>
        <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f t="shared" si="7"/>
        <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f t="shared" si="14"/>
        <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f t="shared" si="7"/>
        <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f t="shared" si="14"/>
        <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f t="shared" si="7"/>
        <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f t="shared" si="14"/>
        <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f t="shared" si="7"/>
        <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f t="shared" si="14"/>
        <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f t="shared" si="7"/>
        <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f t="shared" si="14"/>
        <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f t="shared" si="7"/>
        <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f t="shared" si="14"/>
        <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f t="shared" si="7"/>
        <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f t="shared" si="14"/>
        <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f t="shared" si="7"/>
        <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f t="shared" si="14"/>
        <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f t="shared" si="7"/>
        <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f t="shared" si="14"/>
        <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f t="shared" si="7"/>
        <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f t="shared" si="14"/>
        <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f t="shared" si="7"/>
        <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f t="shared" si="14"/>
        <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f t="shared" si="7"/>
        <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f t="shared" si="14"/>
        <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f t="shared" si="7"/>
        <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f t="shared" si="14"/>
        <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f t="shared" si="7"/>
        <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f t="shared" si="14"/>
        <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f t="shared" si="7"/>
        <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f t="shared" si="14"/>
        <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f t="shared" si="7"/>
        <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f t="shared" si="14"/>
        <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f t="shared" si="7"/>
        <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f t="shared" si="14"/>
        <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f t="shared" si="7"/>
        <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f t="shared" si="14"/>
        <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f t="shared" si="7"/>
        <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f t="shared" si="14"/>
        <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f t="shared" si="7"/>
        <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f t="shared" si="14"/>
        <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f t="shared" si="7"/>
        <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f t="shared" si="14"/>
        <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f t="shared" si="7"/>
        <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f t="shared" si="14"/>
        <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f t="shared" si="7"/>
        <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f t="shared" si="14"/>
        <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f t="shared" si="7"/>
        <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f t="shared" si="14"/>
        <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f t="shared" si="7"/>
        <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f t="shared" si="14"/>
        <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f t="shared" si="7"/>
        <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f t="shared" si="14"/>
        <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f t="shared" si="7"/>
        <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f t="shared" si="14"/>
        <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f t="shared" si="7"/>
        <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f t="shared" si="14"/>
        <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f t="shared" si="7"/>
        <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f t="shared" si="14"/>
        <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f t="shared" si="7"/>
        <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f t="shared" si="14"/>
        <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f t="shared" si="7"/>
        <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f t="shared" si="14"/>
        <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f t="shared" si="7"/>
        <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f t="shared" si="14"/>
        <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f t="shared" si="7"/>
        <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f t="shared" si="14"/>
        <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f t="shared" si="7"/>
        <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f t="shared" si="14"/>
        <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f t="shared" si="7"/>
        <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f t="shared" si="14"/>
        <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f t="shared" si="7"/>
        <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f t="shared" si="14"/>
        <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f t="shared" si="7"/>
        <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f t="shared" si="14"/>
        <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f t="shared" si="7"/>
        <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f t="shared" si="14"/>
        <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f t="shared" si="7"/>
        <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f t="shared" si="14"/>
        <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f t="shared" si="7"/>
        <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f t="shared" si="14"/>
        <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f t="shared" si="7"/>
        <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f t="shared" si="14"/>
        <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f t="shared" si="7"/>
        <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f t="shared" si="14"/>
        <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f t="shared" si="7"/>
        <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f t="shared" si="14"/>
        <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f t="shared" si="7"/>
        <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f t="shared" si="14"/>
        <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f t="shared" si="7"/>
        <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f t="shared" si="14"/>
        <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f t="shared" si="7"/>
        <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f t="shared" si="14"/>
        <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f t="shared" si="7"/>
        <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f t="shared" si="14"/>
        <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f t="shared" si="7"/>
        <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f t="shared" si="14"/>
        <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f t="shared" si="7"/>
        <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f t="shared" si="14"/>
        <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f t="shared" si="7"/>
        <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f t="shared" si="14"/>
        <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f t="shared" si="7"/>
        <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f t="shared" si="14"/>
        <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f t="shared" si="7"/>
        <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f t="shared" si="14"/>
        <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f t="shared" si="7"/>
        <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f t="shared" si="14"/>
        <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f t="shared" si="7"/>
        <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f t="shared" si="14"/>
        <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f t="shared" si="7"/>
        <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f t="shared" ref="AY110:AY141" si="39">ROUND($AY$6*AZ110/$AZ$5,2)</f>
        <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f t="shared" si="7"/>
        <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f t="shared" si="39"/>
        <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f t="shared" si="7"/>
        <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f t="shared" si="39"/>
        <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f t="shared" ref="E113:E144" si="61">IF($C$3="是",ROUND($A$3*G113/$B$3,2),ROUND($A$3*(G113-AT113)/$B$3,2))</f>
        <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f t="shared" si="39"/>
        <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f t="shared" si="61"/>
        <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f t="shared" si="39"/>
        <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f t="shared" si="61"/>
        <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f t="shared" si="39"/>
        <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f t="shared" si="61"/>
        <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f t="shared" si="39"/>
        <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f t="shared" si="61"/>
        <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f t="shared" si="39"/>
        <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f t="shared" si="61"/>
        <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f t="shared" si="39"/>
        <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f t="shared" si="61"/>
        <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f t="shared" si="39"/>
        <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f t="shared" si="61"/>
        <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f t="shared" si="39"/>
        <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f t="shared" si="61"/>
        <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f t="shared" si="39"/>
        <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f t="shared" si="61"/>
        <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f t="shared" si="39"/>
        <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f t="shared" si="61"/>
        <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f t="shared" si="39"/>
        <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f t="shared" si="61"/>
        <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f t="shared" si="39"/>
        <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f t="shared" si="61"/>
        <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f t="shared" si="39"/>
        <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f t="shared" si="61"/>
        <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f t="shared" si="39"/>
        <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f t="shared" si="61"/>
        <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f t="shared" si="39"/>
        <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f t="shared" si="61"/>
        <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f t="shared" si="39"/>
        <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f t="shared" si="61"/>
        <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f t="shared" si="39"/>
        <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f t="shared" si="61"/>
        <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f t="shared" si="39"/>
        <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f t="shared" si="61"/>
        <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f t="shared" si="39"/>
        <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f t="shared" si="61"/>
        <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f t="shared" si="39"/>
        <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f t="shared" si="61"/>
        <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f t="shared" si="39"/>
        <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f t="shared" si="61"/>
        <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f t="shared" si="39"/>
        <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f t="shared" si="61"/>
        <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f t="shared" si="39"/>
        <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f t="shared" si="61"/>
        <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f t="shared" si="39"/>
        <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f t="shared" si="61"/>
        <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f t="shared" si="39"/>
        <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f t="shared" si="61"/>
        <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f t="shared" si="39"/>
        <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f t="shared" si="61"/>
        <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f t="shared" si="39"/>
        <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f t="shared" si="61"/>
        <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f t="shared" si="39"/>
        <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f t="shared" si="61"/>
        <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f t="shared" si="39"/>
        <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f t="shared" si="61"/>
        <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f t="shared" ref="AY142:AY173" si="68">ROUND($AY$6*AZ142/$AZ$5,2)</f>
        <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f t="shared" si="61"/>
        <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f t="shared" si="68"/>
        <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f t="shared" si="61"/>
        <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f t="shared" si="68"/>
        <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f t="shared" ref="E145:E176" si="90">IF($C$3="是",ROUND($A$3*G145/$B$3,2),ROUND($A$3*(G145-AT145)/$B$3,2))</f>
        <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f t="shared" si="68"/>
        <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f t="shared" si="90"/>
        <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f t="shared" si="68"/>
        <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f t="shared" si="90"/>
        <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f t="shared" si="68"/>
        <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f t="shared" si="90"/>
        <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f t="shared" si="68"/>
        <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f t="shared" si="90"/>
        <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f t="shared" si="68"/>
        <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f t="shared" si="90"/>
        <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f t="shared" si="68"/>
        <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f t="shared" si="90"/>
        <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f t="shared" si="68"/>
        <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f t="shared" si="90"/>
        <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f t="shared" si="68"/>
        <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f t="shared" si="90"/>
        <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f t="shared" si="68"/>
        <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f t="shared" si="90"/>
        <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f t="shared" si="68"/>
        <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f t="shared" si="90"/>
        <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f t="shared" si="68"/>
        <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f t="shared" si="90"/>
        <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f t="shared" si="68"/>
        <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f t="shared" si="90"/>
        <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f t="shared" si="68"/>
        <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f t="shared" si="90"/>
        <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f t="shared" si="68"/>
        <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f t="shared" si="90"/>
        <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f t="shared" si="68"/>
        <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f t="shared" si="90"/>
        <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f t="shared" si="68"/>
        <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f t="shared" si="90"/>
        <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f t="shared" si="68"/>
        <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f t="shared" si="90"/>
        <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f t="shared" si="68"/>
        <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f t="shared" si="90"/>
        <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f t="shared" si="68"/>
        <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f t="shared" si="90"/>
        <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f t="shared" si="68"/>
        <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f t="shared" si="90"/>
        <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f t="shared" si="68"/>
        <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f t="shared" si="90"/>
        <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f t="shared" si="68"/>
        <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f t="shared" si="90"/>
        <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f t="shared" si="68"/>
        <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f t="shared" si="90"/>
        <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f t="shared" si="68"/>
        <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f t="shared" si="90"/>
        <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f t="shared" si="68"/>
        <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f t="shared" si="90"/>
        <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f t="shared" si="68"/>
        <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f t="shared" si="90"/>
        <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f t="shared" si="68"/>
        <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f t="shared" si="90"/>
        <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f t="shared" si="68"/>
        <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f t="shared" si="90"/>
        <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f t="shared" si="68"/>
        <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f t="shared" si="90"/>
        <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f t="shared" ref="AY174:AY205" si="97">ROUND($AY$6*AZ174/$AZ$5,2)</f>
        <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f t="shared" si="90"/>
        <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f t="shared" si="97"/>
        <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f t="shared" si="90"/>
        <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f t="shared" si="97"/>
        <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f t="shared" ref="E177:E207" si="119">IF($C$3="是",ROUND($A$3*G177/$B$3,2),ROUND($A$3*(G177-AT177)/$B$3,2))</f>
        <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f t="shared" si="97"/>
        <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f t="shared" si="119"/>
        <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f t="shared" si="97"/>
        <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f t="shared" si="119"/>
        <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f t="shared" si="97"/>
        <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f t="shared" si="119"/>
        <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f t="shared" si="97"/>
        <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f t="shared" si="119"/>
        <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f t="shared" si="97"/>
        <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f t="shared" si="119"/>
        <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f t="shared" si="97"/>
        <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f t="shared" si="119"/>
        <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f t="shared" si="97"/>
        <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f t="shared" si="119"/>
        <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f t="shared" si="97"/>
        <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f t="shared" si="119"/>
        <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f t="shared" si="97"/>
        <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f t="shared" si="119"/>
        <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f t="shared" si="97"/>
        <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f t="shared" si="119"/>
        <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f t="shared" si="97"/>
        <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f t="shared" si="119"/>
        <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f t="shared" si="97"/>
        <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f t="shared" si="119"/>
        <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f t="shared" si="97"/>
        <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f t="shared" si="119"/>
        <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f t="shared" si="97"/>
        <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f t="shared" si="119"/>
        <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f t="shared" si="97"/>
        <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f t="shared" si="119"/>
        <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f t="shared" si="97"/>
        <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f t="shared" si="119"/>
        <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f t="shared" si="97"/>
        <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f t="shared" si="119"/>
        <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f t="shared" si="97"/>
        <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f t="shared" si="119"/>
        <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f t="shared" si="97"/>
        <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f t="shared" si="119"/>
        <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f t="shared" si="97"/>
        <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f t="shared" si="119"/>
        <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f t="shared" si="97"/>
        <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f t="shared" si="119"/>
        <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f t="shared" si="97"/>
        <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f t="shared" si="119"/>
        <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f t="shared" si="97"/>
        <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f t="shared" si="119"/>
        <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f t="shared" si="97"/>
        <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f t="shared" si="119"/>
        <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f t="shared" si="97"/>
        <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f t="shared" si="119"/>
        <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f t="shared" si="97"/>
        <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f t="shared" si="119"/>
        <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f t="shared" si="97"/>
        <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f t="shared" si="119"/>
        <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f t="shared" si="97"/>
        <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f t="shared" si="119"/>
        <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f t="shared" si="97"/>
        <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f t="shared" si="119"/>
        <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f>ROUND($AY$6*AZ206/$AZ$5,2)</f>
        <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f t="shared" si="119"/>
        <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f>ROUND($AY$6*AZ207/$AZ$5,2)</f>
        <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f t="shared" ref="E208:E302" si="123">IF($C$3="是",ROUND($A$3*G208/$B$3,2),ROUND($A$3*(G208-AT208)/$B$3,2))</f>
        <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f t="shared" ref="AY208:AY299" si="130">ROUND($AY$6*AZ208/$AZ$5,2)</f>
        <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f t="shared" si="123"/>
        <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f t="shared" si="130"/>
        <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f t="shared" si="123"/>
        <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f t="shared" si="130"/>
        <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f t="shared" si="123"/>
        <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f t="shared" si="130"/>
        <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f t="shared" si="123"/>
        <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f t="shared" si="130"/>
        <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f t="shared" si="123"/>
        <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f t="shared" si="130"/>
        <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f t="shared" si="123"/>
        <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f t="shared" si="130"/>
        <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f t="shared" si="123"/>
        <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f t="shared" si="130"/>
        <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f t="shared" si="123"/>
        <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f t="shared" si="130"/>
        <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f t="shared" si="123"/>
        <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f t="shared" si="130"/>
        <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f t="shared" si="123"/>
        <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f t="shared" si="130"/>
        <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f t="shared" si="123"/>
        <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f t="shared" si="130"/>
        <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f t="shared" si="123"/>
        <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f t="shared" si="130"/>
        <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f t="shared" si="123"/>
        <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f t="shared" si="130"/>
        <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f t="shared" si="123"/>
        <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f t="shared" si="130"/>
        <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f t="shared" si="123"/>
        <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f t="shared" si="130"/>
        <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f t="shared" si="123"/>
        <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f t="shared" si="130"/>
        <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f t="shared" si="123"/>
        <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f t="shared" si="130"/>
        <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f t="shared" si="123"/>
        <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f t="shared" si="130"/>
        <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f t="shared" si="123"/>
        <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f t="shared" si="130"/>
        <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f t="shared" si="123"/>
        <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f t="shared" si="130"/>
        <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f t="shared" si="123"/>
        <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f t="shared" si="130"/>
        <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f t="shared" si="123"/>
        <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f t="shared" si="130"/>
        <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f t="shared" si="123"/>
        <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f t="shared" si="130"/>
        <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f t="shared" si="123"/>
        <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f t="shared" si="130"/>
        <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f t="shared" si="123"/>
        <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f t="shared" si="130"/>
        <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f t="shared" si="123"/>
        <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f t="shared" si="130"/>
        <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f t="shared" si="123"/>
        <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f t="shared" si="130"/>
        <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f t="shared" si="123"/>
        <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f t="shared" si="130"/>
        <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f t="shared" si="123"/>
        <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f t="shared" si="130"/>
        <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f t="shared" si="123"/>
        <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f t="shared" si="130"/>
        <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f t="shared" si="123"/>
        <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f t="shared" si="130"/>
        <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f t="shared" si="123"/>
        <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f t="shared" si="130"/>
        <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f t="shared" si="123"/>
        <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f t="shared" si="130"/>
        <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f t="shared" si="123"/>
        <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f t="shared" si="130"/>
        <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f t="shared" si="123"/>
        <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f t="shared" si="130"/>
        <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f t="shared" si="123"/>
        <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f t="shared" si="130"/>
        <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f t="shared" si="123"/>
        <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f t="shared" si="130"/>
        <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f t="shared" si="123"/>
        <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f t="shared" si="130"/>
        <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f t="shared" si="123"/>
        <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f t="shared" si="130"/>
        <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f t="shared" si="123"/>
        <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f t="shared" si="130"/>
        <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f t="shared" si="123"/>
        <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f t="shared" si="130"/>
        <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f t="shared" si="123"/>
        <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f t="shared" si="130"/>
        <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f t="shared" si="123"/>
        <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f t="shared" si="130"/>
        <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f t="shared" si="123"/>
        <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f t="shared" si="130"/>
        <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f t="shared" si="123"/>
        <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f t="shared" si="130"/>
        <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f t="shared" si="123"/>
        <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f t="shared" si="130"/>
        <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f t="shared" si="123"/>
        <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f t="shared" si="130"/>
        <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f t="shared" si="123"/>
        <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f t="shared" si="130"/>
        <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f t="shared" si="123"/>
        <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f t="shared" si="130"/>
        <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f t="shared" si="123"/>
        <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f t="shared" si="130"/>
        <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f t="shared" si="123"/>
        <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f t="shared" si="130"/>
        <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f t="shared" si="123"/>
        <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f t="shared" si="130"/>
        <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f t="shared" si="123"/>
        <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f t="shared" si="130"/>
        <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f t="shared" si="123"/>
        <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f t="shared" si="130"/>
        <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f t="shared" si="123"/>
        <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f t="shared" si="130"/>
        <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f t="shared" si="123"/>
        <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f t="shared" si="130"/>
        <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f t="shared" si="123"/>
        <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f t="shared" si="130"/>
        <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f t="shared" si="123"/>
        <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f t="shared" si="130"/>
        <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f t="shared" si="123"/>
        <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f t="shared" si="130"/>
        <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f t="shared" si="123"/>
        <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f t="shared" si="130"/>
        <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f t="shared" si="123"/>
        <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f t="shared" si="130"/>
        <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f t="shared" si="123"/>
        <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f t="shared" si="130"/>
        <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f t="shared" si="123"/>
        <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f t="shared" si="130"/>
        <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f t="shared" si="123"/>
        <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f t="shared" si="130"/>
        <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f t="shared" si="123"/>
        <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f t="shared" si="130"/>
        <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f t="shared" si="123"/>
        <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f t="shared" si="130"/>
        <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f t="shared" si="123"/>
        <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f t="shared" si="130"/>
        <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f t="shared" si="123"/>
        <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f t="shared" si="130"/>
        <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f t="shared" si="123"/>
        <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f t="shared" si="130"/>
        <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f t="shared" si="123"/>
        <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f t="shared" si="130"/>
        <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f t="shared" si="123"/>
        <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f t="shared" si="130"/>
        <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f t="shared" si="123"/>
        <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f t="shared" si="130"/>
        <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f t="shared" si="123"/>
        <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f t="shared" si="130"/>
        <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f t="shared" si="123"/>
        <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f t="shared" si="130"/>
        <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f t="shared" si="123"/>
        <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f t="shared" si="130"/>
        <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f t="shared" si="123"/>
        <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f t="shared" si="130"/>
        <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f t="shared" si="123"/>
        <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f t="shared" si="130"/>
        <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f t="shared" si="123"/>
        <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f t="shared" si="130"/>
        <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f t="shared" si="123"/>
        <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f t="shared" si="130"/>
        <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f t="shared" si="123"/>
        <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f t="shared" si="130"/>
        <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f t="shared" si="123"/>
        <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f t="shared" si="130"/>
        <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f t="shared" si="123"/>
        <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f t="shared" si="130"/>
        <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f t="shared" si="123"/>
        <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f t="shared" si="130"/>
        <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f t="shared" si="123"/>
        <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f t="shared" si="130"/>
        <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f t="shared" si="123"/>
        <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f t="shared" si="130"/>
        <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f t="shared" si="123"/>
        <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f t="shared" si="130"/>
        <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f t="shared" si="123"/>
        <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f t="shared" si="130"/>
        <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f t="shared" si="123"/>
        <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f t="shared" si="130"/>
        <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f t="shared" si="123"/>
        <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f t="shared" si="130"/>
        <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f t="shared" si="123"/>
        <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f t="shared" si="130"/>
        <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f t="shared" si="123"/>
        <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f t="shared" si="130"/>
        <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f t="shared" si="123"/>
        <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f t="shared" ref="AY300:AY331" si="155">ROUND($AY$6*AZ300/$AZ$5,2)</f>
        <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f t="shared" si="123"/>
        <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f t="shared" si="155"/>
        <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f t="shared" si="123"/>
        <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f t="shared" si="155"/>
        <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f t="shared" ref="E303:E334" si="177">IF($C$3="是",ROUND($A$3*G303/$B$3,2),ROUND($A$3*(G303-AT303)/$B$3,2))</f>
        <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f t="shared" si="155"/>
        <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f t="shared" si="177"/>
        <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f t="shared" si="155"/>
        <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f t="shared" si="177"/>
        <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f t="shared" si="155"/>
        <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f t="shared" si="177"/>
        <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f t="shared" si="155"/>
        <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f t="shared" si="177"/>
        <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f t="shared" si="155"/>
        <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f t="shared" si="177"/>
        <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f t="shared" si="155"/>
        <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f t="shared" si="177"/>
        <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f t="shared" si="155"/>
        <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f t="shared" si="177"/>
        <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f t="shared" si="155"/>
        <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f t="shared" si="177"/>
        <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f t="shared" si="155"/>
        <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f t="shared" si="177"/>
        <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f t="shared" si="155"/>
        <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f t="shared" si="177"/>
        <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f t="shared" si="155"/>
        <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f t="shared" si="177"/>
        <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f t="shared" si="155"/>
        <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f t="shared" si="177"/>
        <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f t="shared" si="155"/>
        <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f t="shared" si="177"/>
        <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f t="shared" si="155"/>
        <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f t="shared" si="177"/>
        <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f t="shared" si="155"/>
        <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f t="shared" si="177"/>
        <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f t="shared" si="155"/>
        <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f t="shared" si="177"/>
        <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f t="shared" si="155"/>
        <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f t="shared" si="177"/>
        <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f t="shared" si="155"/>
        <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f t="shared" si="177"/>
        <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f t="shared" si="155"/>
        <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f t="shared" si="177"/>
        <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f t="shared" si="155"/>
        <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f t="shared" si="177"/>
        <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f t="shared" si="155"/>
        <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f t="shared" si="177"/>
        <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f t="shared" si="155"/>
        <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f t="shared" si="177"/>
        <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f t="shared" si="155"/>
        <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f t="shared" si="177"/>
        <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f t="shared" si="155"/>
        <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f t="shared" si="177"/>
        <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f t="shared" si="155"/>
        <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f t="shared" si="177"/>
        <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f t="shared" si="155"/>
        <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f t="shared" si="177"/>
        <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f t="shared" si="155"/>
        <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f t="shared" si="177"/>
        <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f t="shared" si="155"/>
        <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f t="shared" si="177"/>
        <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f t="shared" si="155"/>
        <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f t="shared" si="177"/>
        <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f t="shared" ref="AY332:AY363" si="184">ROUND($AY$6*AZ332/$AZ$5,2)</f>
        <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f t="shared" si="177"/>
        <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f t="shared" si="184"/>
        <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f t="shared" si="177"/>
        <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f t="shared" si="184"/>
        <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f t="shared" ref="E335:E366" si="206">IF($C$3="是",ROUND($A$3*G335/$B$3,2),ROUND($A$3*(G335-AT335)/$B$3,2))</f>
        <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f t="shared" si="184"/>
        <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f t="shared" si="206"/>
        <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f t="shared" si="184"/>
        <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f t="shared" si="206"/>
        <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f t="shared" si="184"/>
        <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f t="shared" si="206"/>
        <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f t="shared" si="184"/>
        <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f t="shared" si="206"/>
        <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f t="shared" si="184"/>
        <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f t="shared" si="206"/>
        <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f t="shared" si="184"/>
        <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f t="shared" si="206"/>
        <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f t="shared" si="184"/>
        <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f t="shared" si="206"/>
        <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f t="shared" si="184"/>
        <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f t="shared" si="206"/>
        <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f t="shared" si="184"/>
        <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f t="shared" si="206"/>
        <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f t="shared" si="184"/>
        <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f t="shared" si="206"/>
        <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f t="shared" si="184"/>
        <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f t="shared" si="206"/>
        <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f t="shared" si="184"/>
        <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f t="shared" si="206"/>
        <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f t="shared" si="184"/>
        <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f t="shared" si="206"/>
        <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f t="shared" si="184"/>
        <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f t="shared" si="206"/>
        <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f t="shared" si="184"/>
        <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f t="shared" si="206"/>
        <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f t="shared" si="184"/>
        <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f t="shared" si="206"/>
        <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f t="shared" si="184"/>
        <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f t="shared" si="206"/>
        <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f t="shared" si="184"/>
        <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f t="shared" si="206"/>
        <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f t="shared" si="184"/>
        <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f t="shared" si="206"/>
        <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f t="shared" si="184"/>
        <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f t="shared" si="206"/>
        <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f t="shared" si="184"/>
        <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f t="shared" si="206"/>
        <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f t="shared" si="184"/>
        <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f t="shared" si="206"/>
        <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f t="shared" si="184"/>
        <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f t="shared" si="206"/>
        <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f t="shared" si="184"/>
        <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f t="shared" si="206"/>
        <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f t="shared" si="184"/>
        <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f t="shared" si="206"/>
        <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f t="shared" si="184"/>
        <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f t="shared" si="206"/>
        <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f t="shared" si="184"/>
        <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f t="shared" si="206"/>
        <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f t="shared" si="184"/>
        <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f t="shared" si="206"/>
        <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f t="shared" si="184"/>
        <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f t="shared" si="206"/>
        <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f t="shared" ref="AY364:AY395" si="213">ROUND($AY$6*AZ364/$AZ$5,2)</f>
        <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f t="shared" si="206"/>
        <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f t="shared" si="213"/>
        <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f t="shared" si="206"/>
        <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f t="shared" si="213"/>
        <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f t="shared" ref="E367:E397" si="235">IF($C$3="是",ROUND($A$3*G367/$B$3,2),ROUND($A$3*(G367-AT367)/$B$3,2))</f>
        <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f t="shared" si="213"/>
        <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f t="shared" si="235"/>
        <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f t="shared" si="213"/>
        <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f t="shared" si="235"/>
        <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f t="shared" si="213"/>
        <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f t="shared" si="235"/>
        <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f t="shared" si="213"/>
        <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f t="shared" si="235"/>
        <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f t="shared" si="213"/>
        <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f t="shared" si="235"/>
        <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f t="shared" si="213"/>
        <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f t="shared" si="235"/>
        <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f t="shared" si="213"/>
        <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f t="shared" si="235"/>
        <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f t="shared" si="213"/>
        <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f t="shared" si="235"/>
        <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f t="shared" si="213"/>
        <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f t="shared" si="235"/>
        <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f t="shared" si="213"/>
        <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f t="shared" si="235"/>
        <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f t="shared" si="213"/>
        <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f t="shared" si="235"/>
        <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f t="shared" si="213"/>
        <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f t="shared" si="235"/>
        <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f t="shared" si="213"/>
        <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f t="shared" si="235"/>
        <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f t="shared" si="213"/>
        <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f t="shared" si="235"/>
        <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f t="shared" si="213"/>
        <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f t="shared" si="235"/>
        <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f t="shared" si="213"/>
        <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f t="shared" si="235"/>
        <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f t="shared" si="213"/>
        <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f t="shared" si="235"/>
        <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f t="shared" si="213"/>
        <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f t="shared" si="235"/>
        <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f t="shared" si="213"/>
        <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f t="shared" si="235"/>
        <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f t="shared" si="213"/>
        <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f t="shared" si="235"/>
        <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f t="shared" si="213"/>
        <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f t="shared" si="235"/>
        <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f t="shared" si="213"/>
        <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f t="shared" si="235"/>
        <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f t="shared" si="213"/>
        <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f t="shared" si="235"/>
        <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f t="shared" si="213"/>
        <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f t="shared" si="235"/>
        <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f t="shared" si="213"/>
        <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f t="shared" si="235"/>
        <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f t="shared" si="213"/>
        <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f t="shared" si="235"/>
        <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f t="shared" si="213"/>
        <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f t="shared" si="235"/>
        <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f t="shared" si="213"/>
        <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f t="shared" si="235"/>
        <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f t="shared" si="213"/>
        <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f t="shared" si="235"/>
        <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f>ROUND($AY$6*AZ396/$AZ$5,2)</f>
        <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f t="shared" si="235"/>
        <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f>ROUND($AY$6*AZ397/$AZ$5,2)</f>
        <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f t="shared" ref="E398:E492" si="239">IF($C$3="是",ROUND($A$3*G398/$B$3,2),ROUND($A$3*(G398-AT398)/$B$3,2))</f>
        <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f t="shared" ref="AY398:AY489" si="246">ROUND($AY$6*AZ398/$AZ$5,2)</f>
        <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f t="shared" si="239"/>
        <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f t="shared" si="246"/>
        <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f t="shared" si="239"/>
        <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f t="shared" si="246"/>
        <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f t="shared" si="239"/>
        <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f t="shared" si="246"/>
        <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f t="shared" si="239"/>
        <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f t="shared" si="246"/>
        <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f t="shared" si="239"/>
        <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f t="shared" si="246"/>
        <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f t="shared" si="239"/>
        <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f t="shared" si="246"/>
        <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f t="shared" si="239"/>
        <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f t="shared" si="246"/>
        <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f t="shared" si="239"/>
        <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f t="shared" si="246"/>
        <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f t="shared" si="239"/>
        <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f t="shared" si="246"/>
        <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f t="shared" si="239"/>
        <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f t="shared" si="246"/>
        <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f t="shared" si="239"/>
        <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f t="shared" si="246"/>
        <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f t="shared" si="239"/>
        <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f t="shared" si="246"/>
        <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f t="shared" si="239"/>
        <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f t="shared" si="246"/>
        <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f t="shared" si="239"/>
        <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f t="shared" si="246"/>
        <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f t="shared" si="239"/>
        <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f t="shared" si="246"/>
        <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f t="shared" si="239"/>
        <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f t="shared" si="246"/>
        <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f t="shared" si="239"/>
        <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f t="shared" si="246"/>
        <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f t="shared" si="239"/>
        <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f t="shared" si="246"/>
        <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f t="shared" si="239"/>
        <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f t="shared" si="246"/>
        <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f t="shared" si="239"/>
        <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f t="shared" si="246"/>
        <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f t="shared" si="239"/>
        <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f t="shared" si="246"/>
        <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f t="shared" si="239"/>
        <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f t="shared" si="246"/>
        <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f t="shared" si="239"/>
        <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f t="shared" si="246"/>
        <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f t="shared" si="239"/>
        <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f t="shared" si="246"/>
        <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f t="shared" si="239"/>
        <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f t="shared" si="246"/>
        <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f t="shared" si="239"/>
        <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f t="shared" si="246"/>
        <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f t="shared" si="239"/>
        <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f t="shared" si="246"/>
        <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f t="shared" si="239"/>
        <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f t="shared" si="246"/>
        <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f t="shared" si="239"/>
        <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f t="shared" si="246"/>
        <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f t="shared" si="239"/>
        <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f t="shared" si="246"/>
        <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f t="shared" si="239"/>
        <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f t="shared" si="246"/>
        <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f t="shared" si="239"/>
        <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f t="shared" si="246"/>
        <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f t="shared" si="239"/>
        <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f t="shared" si="246"/>
        <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f t="shared" si="239"/>
        <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f t="shared" si="246"/>
        <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f t="shared" si="239"/>
        <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f t="shared" si="246"/>
        <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f t="shared" si="239"/>
        <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f t="shared" si="246"/>
        <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f t="shared" si="239"/>
        <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f t="shared" si="246"/>
        <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f t="shared" si="239"/>
        <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f t="shared" si="246"/>
        <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f t="shared" si="239"/>
        <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f t="shared" si="246"/>
        <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f t="shared" si="239"/>
        <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f t="shared" si="246"/>
        <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f t="shared" si="239"/>
        <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f t="shared" si="246"/>
        <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f t="shared" si="239"/>
        <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f t="shared" si="246"/>
        <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f t="shared" si="239"/>
        <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f t="shared" si="246"/>
        <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f t="shared" si="239"/>
        <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f t="shared" si="246"/>
        <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f t="shared" si="239"/>
        <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f t="shared" si="246"/>
        <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f t="shared" si="239"/>
        <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f t="shared" si="246"/>
        <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f t="shared" si="239"/>
        <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f t="shared" si="246"/>
        <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f t="shared" si="239"/>
        <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f t="shared" si="246"/>
        <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f t="shared" si="239"/>
        <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f t="shared" si="246"/>
        <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f t="shared" si="239"/>
        <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f t="shared" si="246"/>
        <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f t="shared" si="239"/>
        <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f t="shared" si="246"/>
        <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f t="shared" si="239"/>
        <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f t="shared" si="246"/>
        <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f t="shared" si="239"/>
        <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f t="shared" si="246"/>
        <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f t="shared" si="239"/>
        <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f t="shared" si="246"/>
        <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f t="shared" si="239"/>
        <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f t="shared" si="246"/>
        <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f t="shared" si="239"/>
        <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f t="shared" si="246"/>
        <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f t="shared" si="239"/>
        <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f t="shared" si="246"/>
        <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f t="shared" si="239"/>
        <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f t="shared" si="246"/>
        <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f t="shared" si="239"/>
        <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f t="shared" si="246"/>
        <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f t="shared" si="239"/>
        <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f t="shared" si="246"/>
        <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f t="shared" si="239"/>
        <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f t="shared" si="246"/>
        <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f t="shared" si="239"/>
        <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f t="shared" si="246"/>
        <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f t="shared" si="239"/>
        <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f t="shared" si="246"/>
        <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f t="shared" si="239"/>
        <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f t="shared" si="246"/>
        <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f t="shared" si="239"/>
        <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f t="shared" si="246"/>
        <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f t="shared" si="239"/>
        <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f t="shared" si="246"/>
        <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f t="shared" si="239"/>
        <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f t="shared" si="246"/>
        <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f t="shared" si="239"/>
        <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f t="shared" si="246"/>
        <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f t="shared" si="239"/>
        <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f t="shared" si="246"/>
        <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f t="shared" si="239"/>
        <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f t="shared" si="246"/>
        <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f t="shared" si="239"/>
        <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f t="shared" si="246"/>
        <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f t="shared" si="239"/>
        <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f t="shared" si="246"/>
        <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f t="shared" si="239"/>
        <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f t="shared" si="246"/>
        <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f t="shared" si="239"/>
        <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f t="shared" si="246"/>
        <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f t="shared" si="239"/>
        <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f t="shared" si="246"/>
        <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f t="shared" si="239"/>
        <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f t="shared" si="246"/>
        <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f t="shared" si="239"/>
        <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f t="shared" si="246"/>
        <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f t="shared" si="239"/>
        <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f t="shared" si="246"/>
        <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f t="shared" si="239"/>
        <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f t="shared" si="246"/>
        <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f t="shared" si="239"/>
        <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f t="shared" si="246"/>
        <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f t="shared" si="239"/>
        <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f t="shared" si="246"/>
        <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f t="shared" si="239"/>
        <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f t="shared" si="246"/>
        <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f t="shared" si="239"/>
        <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f t="shared" si="246"/>
        <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f t="shared" si="239"/>
        <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f t="shared" si="246"/>
        <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f t="shared" si="239"/>
        <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f t="shared" si="246"/>
        <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f t="shared" si="239"/>
        <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f t="shared" si="246"/>
        <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f t="shared" si="239"/>
        <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f t="shared" si="246"/>
        <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f t="shared" si="239"/>
        <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f t="shared" si="246"/>
        <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f t="shared" si="239"/>
        <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f t="shared" si="246"/>
        <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f t="shared" si="239"/>
        <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f t="shared" si="246"/>
        <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f t="shared" si="239"/>
        <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f t="shared" si="246"/>
        <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f t="shared" si="239"/>
        <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f t="shared" ref="AY490:AY521" si="271">ROUND($AY$6*AZ490/$AZ$5,2)</f>
        <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f t="shared" si="239"/>
        <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f t="shared" si="271"/>
        <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f t="shared" si="239"/>
        <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f t="shared" si="271"/>
        <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f t="shared" ref="E493:E519" si="293">IF($C$3="是",ROUND($A$3*G493/$B$3,2),ROUND($A$3*(G493-AT493)/$B$3,2))</f>
        <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f t="shared" si="271"/>
        <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f t="shared" si="293"/>
        <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f t="shared" si="271"/>
        <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f t="shared" si="293"/>
        <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f t="shared" si="271"/>
        <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f t="shared" si="293"/>
        <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f t="shared" si="271"/>
        <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f t="shared" si="293"/>
        <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f t="shared" si="271"/>
        <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f t="shared" si="293"/>
        <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f t="shared" si="271"/>
        <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f t="shared" si="293"/>
        <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f t="shared" si="271"/>
        <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f t="shared" si="293"/>
        <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f t="shared" si="271"/>
        <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f t="shared" si="293"/>
        <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f t="shared" si="271"/>
        <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f t="shared" si="293"/>
        <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f t="shared" si="271"/>
        <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f t="shared" si="293"/>
        <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f t="shared" si="271"/>
        <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f t="shared" si="293"/>
        <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f t="shared" si="271"/>
        <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f t="shared" si="293"/>
        <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f t="shared" si="271"/>
        <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f t="shared" si="293"/>
        <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f t="shared" si="271"/>
        <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f t="shared" si="293"/>
        <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f t="shared" si="271"/>
        <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f t="shared" si="293"/>
        <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f t="shared" si="271"/>
        <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f t="shared" si="293"/>
        <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f t="shared" si="271"/>
        <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f t="shared" si="293"/>
        <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f t="shared" si="271"/>
        <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f t="shared" si="293"/>
        <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f t="shared" si="271"/>
        <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f t="shared" si="293"/>
        <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f t="shared" si="271"/>
        <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f t="shared" si="293"/>
        <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f t="shared" si="271"/>
        <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f t="shared" si="293"/>
        <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f t="shared" si="271"/>
        <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f t="shared" si="293"/>
        <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f t="shared" si="271"/>
        <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f t="shared" si="293"/>
        <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f t="shared" si="271"/>
        <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f t="shared" si="293"/>
        <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f t="shared" si="271"/>
        <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f t="shared" si="293"/>
        <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f t="shared" si="271"/>
        <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f t="shared" si="293"/>
        <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f t="shared" si="271"/>
        <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f t="shared" ref="E520:E551" si="297">IF($C$3="是",ROUND($A$3*G520/$B$3,2),ROUND($A$3*(G520-AT520)/$B$3,2))</f>
        <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f t="shared" si="271"/>
        <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f t="shared" si="297"/>
        <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f t="shared" si="271"/>
        <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f t="shared" si="297"/>
        <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f t="shared" ref="AY522:AY552" si="304">ROUND($AY$6*AZ522/$AZ$5,2)</f>
        <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f t="shared" si="297"/>
        <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f t="shared" si="304"/>
        <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f t="shared" si="297"/>
        <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f t="shared" si="304"/>
        <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f t="shared" si="297"/>
        <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f t="shared" si="304"/>
        <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f t="shared" si="297"/>
        <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f t="shared" si="304"/>
        <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f t="shared" si="297"/>
        <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f t="shared" si="304"/>
        <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f t="shared" si="297"/>
        <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f t="shared" si="304"/>
        <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f t="shared" si="297"/>
        <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f t="shared" si="304"/>
        <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f t="shared" si="297"/>
        <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f t="shared" si="304"/>
        <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f t="shared" si="297"/>
        <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f t="shared" si="304"/>
        <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f t="shared" si="297"/>
        <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f t="shared" si="304"/>
        <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f t="shared" si="297"/>
        <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f t="shared" si="304"/>
        <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f t="shared" si="297"/>
        <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f t="shared" si="304"/>
        <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f t="shared" si="297"/>
        <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f t="shared" si="304"/>
        <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f t="shared" si="297"/>
        <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f t="shared" si="304"/>
        <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f t="shared" si="297"/>
        <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f t="shared" si="304"/>
        <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f t="shared" si="297"/>
        <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f t="shared" si="304"/>
        <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f t="shared" si="297"/>
        <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f t="shared" si="304"/>
        <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f t="shared" si="297"/>
        <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f t="shared" si="304"/>
        <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f t="shared" si="297"/>
        <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f t="shared" si="304"/>
        <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f t="shared" si="297"/>
        <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f t="shared" si="304"/>
        <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f t="shared" si="297"/>
        <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f t="shared" si="304"/>
        <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f t="shared" si="297"/>
        <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f t="shared" si="304"/>
        <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f t="shared" si="297"/>
        <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f t="shared" si="304"/>
        <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f t="shared" si="297"/>
        <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f t="shared" si="304"/>
        <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f t="shared" si="297"/>
        <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f t="shared" si="304"/>
        <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f t="shared" si="297"/>
        <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f t="shared" si="304"/>
        <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f t="shared" si="297"/>
        <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f t="shared" si="304"/>
        <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f t="shared" si="297"/>
        <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f t="shared" si="304"/>
        <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f t="shared" si="297"/>
        <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f t="shared" si="304"/>
        <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f t="shared" ref="E552:E587" si="326">IF($C$3="是",ROUND($A$3*G552/$B$3,2),ROUND($A$3*(G552-AT552)/$B$3,2))</f>
        <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f t="shared" si="304"/>
        <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f t="shared" si="326"/>
        <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f t="shared" ref="AY553:AY584" si="333">ROUND($AY$6*AZ553/$AZ$5,2)</f>
        <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f t="shared" si="326"/>
        <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f t="shared" si="333"/>
        <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f t="shared" si="326"/>
        <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f t="shared" si="333"/>
        <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f t="shared" si="326"/>
        <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f t="shared" si="333"/>
        <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f t="shared" si="326"/>
        <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f t="shared" si="333"/>
        <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f t="shared" si="326"/>
        <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f t="shared" si="333"/>
        <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f t="shared" si="326"/>
        <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f t="shared" si="333"/>
        <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f t="shared" si="326"/>
        <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f t="shared" si="333"/>
        <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f t="shared" si="326"/>
        <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f t="shared" si="333"/>
        <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f t="shared" si="326"/>
        <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f t="shared" si="333"/>
        <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f t="shared" si="326"/>
        <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f t="shared" si="333"/>
        <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f t="shared" si="326"/>
        <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f t="shared" si="333"/>
        <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f t="shared" si="326"/>
        <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f t="shared" si="333"/>
        <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f t="shared" si="326"/>
        <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f t="shared" si="333"/>
        <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f t="shared" si="326"/>
        <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f t="shared" si="333"/>
        <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f t="shared" si="326"/>
        <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f t="shared" si="333"/>
        <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f t="shared" si="326"/>
        <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f t="shared" si="333"/>
        <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f t="shared" si="326"/>
        <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f t="shared" si="333"/>
        <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f t="shared" si="326"/>
        <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f t="shared" si="333"/>
        <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f t="shared" si="326"/>
        <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f t="shared" si="333"/>
        <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f t="shared" si="326"/>
        <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f t="shared" si="333"/>
        <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f t="shared" si="326"/>
        <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f t="shared" si="333"/>
        <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f t="shared" si="326"/>
        <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f t="shared" si="333"/>
        <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f t="shared" si="326"/>
        <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f t="shared" si="333"/>
        <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f t="shared" si="326"/>
        <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f t="shared" si="333"/>
        <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f t="shared" si="326"/>
        <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f t="shared" si="333"/>
        <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f t="shared" si="326"/>
        <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f t="shared" si="333"/>
        <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f t="shared" si="326"/>
        <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f t="shared" si="333"/>
        <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f t="shared" si="326"/>
        <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f t="shared" si="333"/>
        <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f t="shared" si="326"/>
        <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f t="shared" si="333"/>
        <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f t="shared" si="326"/>
        <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f t="shared" si="333"/>
        <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f t="shared" si="326"/>
        <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f t="shared" si="333"/>
        <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f t="shared" si="326"/>
        <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f>ROUND($AY$6*AZ585/$AZ$5,2)</f>
        <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f t="shared" si="326"/>
        <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f>ROUND($AY$6*AZ586/$AZ$5,2)</f>
        <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f t="shared" si="326"/>
        <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f>ROUND($AY$6*AZ587/$AZ$5,2)</f>
        <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I8" sqref="I8"/>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f>'数据-基础表'!AY6</f>
        <v>11930.78</v>
      </c>
      <c r="E3" s="711">
        <f>'数据-基础表'!AZ5</f>
        <v>20951.599999999999</v>
      </c>
      <c r="F3" s="707"/>
      <c r="G3" s="712"/>
      <c r="H3" s="713" t="s">
        <v>1329</v>
      </c>
      <c r="I3" s="714">
        <f>ROUND('数据-基础表'!B3/'数据-基础表'!A3,2)</f>
        <v>1.76</v>
      </c>
      <c r="J3" s="707"/>
      <c r="K3" s="707"/>
      <c r="L3" s="707"/>
      <c r="M3" s="707"/>
      <c r="N3" s="472"/>
      <c r="O3" s="707"/>
      <c r="P3" s="707"/>
    </row>
    <row r="4" spans="1:16" ht="15">
      <c r="A4" s="3071"/>
      <c r="B4" s="3072"/>
      <c r="C4" s="3073"/>
      <c r="D4" s="715" t="s">
        <v>1330</v>
      </c>
      <c r="E4" s="716" t="s">
        <v>1331</v>
      </c>
      <c r="F4" s="707"/>
      <c r="G4" s="717" t="s">
        <v>1356</v>
      </c>
      <c r="H4" s="713" t="s">
        <v>1336</v>
      </c>
      <c r="I4" s="714">
        <f>ROUND(SUMIF('数据-基础表'!I9:AS9,"地上",'数据-基础表'!I5:AS5)/'数据-基础表'!A3,2)</f>
        <v>1.76</v>
      </c>
      <c r="J4" s="707"/>
      <c r="K4" s="707"/>
      <c r="L4" s="707"/>
      <c r="M4" s="707"/>
      <c r="N4" s="472"/>
      <c r="O4" s="707"/>
      <c r="P4" s="707"/>
    </row>
    <row r="5" spans="1:16">
      <c r="A5" s="718" t="s">
        <v>1332</v>
      </c>
      <c r="B5" s="3074" t="s">
        <v>1333</v>
      </c>
      <c r="C5" s="3074"/>
      <c r="D5" s="719">
        <f>ROUND($D$3*E5/$E$3,2)</f>
        <v>0</v>
      </c>
      <c r="E5" s="720">
        <f>SUMIF('数据-基础表'!$11:$11,"住宅",'数据-基础表'!$5:$5)</f>
        <v>0</v>
      </c>
      <c r="F5" s="707"/>
      <c r="G5" s="712"/>
      <c r="H5" s="713" t="s">
        <v>1329</v>
      </c>
      <c r="I5" s="714">
        <f>ROUND(E31/D31,2)</f>
        <v>1.76</v>
      </c>
      <c r="J5" s="707"/>
      <c r="K5" s="707"/>
      <c r="L5" s="707"/>
      <c r="M5" s="707"/>
      <c r="N5" s="707"/>
      <c r="O5" s="707"/>
      <c r="P5" s="707"/>
    </row>
    <row r="6" spans="1:16" ht="15" thickBot="1">
      <c r="A6" s="721"/>
      <c r="B6" s="3074" t="s">
        <v>1334</v>
      </c>
      <c r="C6" s="3074"/>
      <c r="D6" s="719">
        <f>ROUND($D$3*E6/$E$3,2)</f>
        <v>11930.78</v>
      </c>
      <c r="E6" s="720">
        <f>E3-E5</f>
        <v>20951.599999999999</v>
      </c>
      <c r="F6" s="707"/>
      <c r="G6" s="722" t="s">
        <v>1335</v>
      </c>
      <c r="H6" s="723" t="s">
        <v>1336</v>
      </c>
      <c r="I6" s="724">
        <f>ROUND(F31/D31,2)</f>
        <v>1.76</v>
      </c>
      <c r="J6" s="707"/>
      <c r="K6" s="707"/>
      <c r="L6" s="707"/>
      <c r="M6" s="707"/>
      <c r="N6" s="707"/>
      <c r="O6" s="707"/>
      <c r="P6" s="707"/>
    </row>
    <row r="7" spans="1:16" ht="15.75" thickBot="1">
      <c r="A7" s="3066"/>
      <c r="B7" s="3067"/>
      <c r="C7" s="3068"/>
      <c r="D7" s="715" t="s">
        <v>1330</v>
      </c>
      <c r="E7" s="725" t="s">
        <v>1337</v>
      </c>
      <c r="F7" s="707"/>
      <c r="G7" s="726" t="s">
        <v>1338</v>
      </c>
      <c r="H7" s="727"/>
      <c r="I7" s="728">
        <v>1.76</v>
      </c>
      <c r="J7" s="707"/>
      <c r="K7" s="707"/>
      <c r="L7" s="707"/>
      <c r="M7" s="707"/>
      <c r="N7" s="707"/>
      <c r="O7" s="707"/>
      <c r="P7" s="707"/>
    </row>
    <row r="8" spans="1:16">
      <c r="A8" s="718" t="s">
        <v>1339</v>
      </c>
      <c r="B8" s="729" t="s">
        <v>1340</v>
      </c>
      <c r="C8" s="719" t="s">
        <v>1341</v>
      </c>
      <c r="D8" s="719">
        <f t="shared" ref="D8:D15" si="0">ROUND($D$3*E8/$E$3,2)</f>
        <v>11930.78</v>
      </c>
      <c r="E8" s="720">
        <f>SUMIF('数据-基础表'!BB10:BK10,"地上",'数据-基础表'!BB5:BK5)</f>
        <v>20951.599999999999</v>
      </c>
      <c r="F8" s="707"/>
      <c r="G8" s="730"/>
      <c r="H8" s="730"/>
      <c r="I8" s="707"/>
      <c r="J8" s="707"/>
      <c r="K8" s="707"/>
      <c r="L8" s="707"/>
      <c r="M8" s="707"/>
      <c r="N8" s="707"/>
      <c r="O8" s="707"/>
      <c r="P8" s="707"/>
    </row>
    <row r="9" spans="1:16">
      <c r="A9" s="731"/>
      <c r="B9" s="732"/>
      <c r="C9" s="719" t="s">
        <v>1342</v>
      </c>
      <c r="D9" s="719">
        <f t="shared" si="0"/>
        <v>0</v>
      </c>
      <c r="E9" s="733">
        <v>0</v>
      </c>
      <c r="F9" s="707"/>
      <c r="G9" s="730"/>
      <c r="H9" s="730"/>
      <c r="I9" s="707"/>
      <c r="J9" s="707"/>
      <c r="K9" s="707"/>
      <c r="L9" s="707"/>
      <c r="M9" s="707"/>
      <c r="N9" s="707"/>
      <c r="O9" s="707"/>
      <c r="P9" s="707"/>
    </row>
    <row r="10" spans="1:16">
      <c r="A10" s="731"/>
      <c r="B10" s="732"/>
      <c r="C10" s="719" t="s">
        <v>1351</v>
      </c>
      <c r="D10" s="719">
        <f t="shared" si="0"/>
        <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f t="shared" si="0"/>
        <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f t="shared" si="0"/>
        <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f t="shared" si="0"/>
        <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f t="shared" si="0"/>
        <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f t="shared" si="0"/>
        <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f>SUM(D8:D15)</f>
        <v>11930.78</v>
      </c>
      <c r="E16" s="734">
        <f>SUM(E8:E15)</f>
        <v>20951.599999999999</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f>ROUND($D$3*E19/$E$3,2)</f>
        <v>11930.78</v>
      </c>
      <c r="E19" s="719">
        <f t="shared" ref="E19:E26" si="1">SUM(F19:G19)</f>
        <v>20951.599999999999</v>
      </c>
      <c r="F19" s="757">
        <f>'数据-基础表'!I13</f>
        <v>20951.599999999999</v>
      </c>
      <c r="G19" s="758"/>
      <c r="H19" s="759">
        <f>ROUND($D$3*I19/$E$3,2)</f>
        <v>0</v>
      </c>
      <c r="I19" s="720">
        <f t="shared" ref="I19:I26" si="2">IF($I$17="自定义",P19,M19)</f>
        <v>0</v>
      </c>
      <c r="J19" s="703"/>
      <c r="K19" s="760">
        <f t="shared" ref="K19:K26" si="3">ROUND(E$28*E19/E$27,2)</f>
        <v>0</v>
      </c>
      <c r="L19" s="713">
        <f t="shared" ref="L19:L26" si="4">ROUND(IF(COUNTIF(C19,"*住宅*")&gt;0,E$29*E19/E$32,0),2)</f>
        <v>0</v>
      </c>
      <c r="M19" s="761">
        <f>K19+L19</f>
        <v>0</v>
      </c>
      <c r="N19" s="762"/>
      <c r="O19" s="763"/>
      <c r="P19" s="761">
        <f>N19+O19</f>
        <v>0</v>
      </c>
      <c r="R19" s="713">
        <f t="shared" ref="R19:S26" si="5">D19+H19</f>
        <v>11930.78</v>
      </c>
      <c r="S19" s="713">
        <f t="shared" si="5"/>
        <v>20951.599999999999</v>
      </c>
    </row>
    <row r="20" spans="1:19">
      <c r="A20" s="764"/>
      <c r="B20" s="729" t="s">
        <v>1376</v>
      </c>
      <c r="C20" s="756"/>
      <c r="D20" s="719">
        <f t="shared" ref="D20:D26" si="6">ROUND($D$3*E20/$E$3,2)</f>
        <v>0</v>
      </c>
      <c r="E20" s="719">
        <f t="shared" si="1"/>
        <v>0</v>
      </c>
      <c r="F20" s="757"/>
      <c r="G20" s="758"/>
      <c r="H20" s="759">
        <f t="shared" ref="H20:H26" si="7">ROUND($D$3*I20/$E$3,2)</f>
        <v>0</v>
      </c>
      <c r="I20" s="720">
        <f t="shared" si="2"/>
        <v>0</v>
      </c>
      <c r="J20" s="703"/>
      <c r="K20" s="760">
        <f t="shared" si="3"/>
        <v>0</v>
      </c>
      <c r="L20" s="713">
        <f t="shared" si="4"/>
        <v>0</v>
      </c>
      <c r="M20" s="761">
        <f t="shared" ref="M20:M26" si="8">K20+L20</f>
        <v>0</v>
      </c>
      <c r="N20" s="762"/>
      <c r="O20" s="763"/>
      <c r="P20" s="761">
        <f t="shared" ref="P20:P26" si="9">N20+O20</f>
        <v>0</v>
      </c>
      <c r="R20" s="713">
        <f t="shared" si="5"/>
        <v>0</v>
      </c>
      <c r="S20" s="713">
        <f t="shared" si="5"/>
        <v>0</v>
      </c>
    </row>
    <row r="21" spans="1:19">
      <c r="A21" s="764"/>
      <c r="B21" s="729" t="s">
        <v>1376</v>
      </c>
      <c r="C21" s="756"/>
      <c r="D21" s="719">
        <f t="shared" si="6"/>
        <v>0</v>
      </c>
      <c r="E21" s="719">
        <f t="shared" si="1"/>
        <v>0</v>
      </c>
      <c r="F21" s="757"/>
      <c r="G21" s="758"/>
      <c r="H21" s="759">
        <f t="shared" si="7"/>
        <v>0</v>
      </c>
      <c r="I21" s="720">
        <f t="shared" si="2"/>
        <v>0</v>
      </c>
      <c r="J21" s="703"/>
      <c r="K21" s="760">
        <f t="shared" si="3"/>
        <v>0</v>
      </c>
      <c r="L21" s="713">
        <f t="shared" si="4"/>
        <v>0</v>
      </c>
      <c r="M21" s="761">
        <f t="shared" si="8"/>
        <v>0</v>
      </c>
      <c r="N21" s="762"/>
      <c r="O21" s="763"/>
      <c r="P21" s="761">
        <f t="shared" si="9"/>
        <v>0</v>
      </c>
      <c r="R21" s="713">
        <f t="shared" si="5"/>
        <v>0</v>
      </c>
      <c r="S21" s="713">
        <f t="shared" si="5"/>
        <v>0</v>
      </c>
    </row>
    <row r="22" spans="1:19">
      <c r="A22" s="764"/>
      <c r="B22" s="729" t="s">
        <v>1376</v>
      </c>
      <c r="C22" s="765"/>
      <c r="D22" s="719">
        <f t="shared" si="6"/>
        <v>0</v>
      </c>
      <c r="E22" s="719">
        <f t="shared" si="1"/>
        <v>0</v>
      </c>
      <c r="F22" s="766"/>
      <c r="G22" s="767"/>
      <c r="H22" s="759">
        <f t="shared" si="7"/>
        <v>0</v>
      </c>
      <c r="I22" s="720">
        <f t="shared" si="2"/>
        <v>0</v>
      </c>
      <c r="J22" s="703"/>
      <c r="K22" s="760">
        <f t="shared" si="3"/>
        <v>0</v>
      </c>
      <c r="L22" s="713">
        <f t="shared" si="4"/>
        <v>0</v>
      </c>
      <c r="M22" s="761">
        <f t="shared" si="8"/>
        <v>0</v>
      </c>
      <c r="N22" s="762"/>
      <c r="O22" s="763"/>
      <c r="P22" s="761">
        <f t="shared" si="9"/>
        <v>0</v>
      </c>
      <c r="R22" s="713">
        <f t="shared" si="5"/>
        <v>0</v>
      </c>
      <c r="S22" s="713">
        <f t="shared" si="5"/>
        <v>0</v>
      </c>
    </row>
    <row r="23" spans="1:19">
      <c r="A23" s="764"/>
      <c r="B23" s="729" t="s">
        <v>1376</v>
      </c>
      <c r="C23" s="765"/>
      <c r="D23" s="719">
        <f>ROUND($D$3*E23/$E$3,2)</f>
        <v>0</v>
      </c>
      <c r="E23" s="719">
        <f>SUM(F23:G23)</f>
        <v>0</v>
      </c>
      <c r="F23" s="766"/>
      <c r="G23" s="767"/>
      <c r="H23" s="759">
        <f>ROUND($D$3*I23/$E$3,2)</f>
        <v>0</v>
      </c>
      <c r="I23" s="720">
        <f t="shared" si="2"/>
        <v>0</v>
      </c>
      <c r="J23" s="703"/>
      <c r="K23" s="760">
        <f t="shared" si="3"/>
        <v>0</v>
      </c>
      <c r="L23" s="713">
        <f t="shared" si="4"/>
        <v>0</v>
      </c>
      <c r="M23" s="761">
        <f t="shared" si="8"/>
        <v>0</v>
      </c>
      <c r="N23" s="762"/>
      <c r="O23" s="763"/>
      <c r="P23" s="761">
        <f t="shared" si="9"/>
        <v>0</v>
      </c>
      <c r="R23" s="713">
        <f t="shared" si="5"/>
        <v>0</v>
      </c>
      <c r="S23" s="713">
        <f t="shared" si="5"/>
        <v>0</v>
      </c>
    </row>
    <row r="24" spans="1:19">
      <c r="A24" s="764"/>
      <c r="B24" s="729" t="s">
        <v>1376</v>
      </c>
      <c r="C24" s="765"/>
      <c r="D24" s="719">
        <f>ROUND($D$3*E24/$E$3,2)</f>
        <v>0</v>
      </c>
      <c r="E24" s="719">
        <f>SUM(F24:G24)</f>
        <v>0</v>
      </c>
      <c r="F24" s="766"/>
      <c r="G24" s="767"/>
      <c r="H24" s="759">
        <f>ROUND($D$3*I24/$E$3,2)</f>
        <v>0</v>
      </c>
      <c r="I24" s="720">
        <f t="shared" si="2"/>
        <v>0</v>
      </c>
      <c r="J24" s="703"/>
      <c r="K24" s="760">
        <f t="shared" si="3"/>
        <v>0</v>
      </c>
      <c r="L24" s="713">
        <f t="shared" si="4"/>
        <v>0</v>
      </c>
      <c r="M24" s="761">
        <f t="shared" si="8"/>
        <v>0</v>
      </c>
      <c r="N24" s="762"/>
      <c r="O24" s="763"/>
      <c r="P24" s="761">
        <f t="shared" si="9"/>
        <v>0</v>
      </c>
      <c r="R24" s="713">
        <f t="shared" si="5"/>
        <v>0</v>
      </c>
      <c r="S24" s="713">
        <f t="shared" si="5"/>
        <v>0</v>
      </c>
    </row>
    <row r="25" spans="1:19">
      <c r="A25" s="764"/>
      <c r="B25" s="729" t="s">
        <v>1376</v>
      </c>
      <c r="C25" s="765"/>
      <c r="D25" s="719">
        <f t="shared" si="6"/>
        <v>0</v>
      </c>
      <c r="E25" s="719">
        <f t="shared" si="1"/>
        <v>0</v>
      </c>
      <c r="F25" s="766"/>
      <c r="G25" s="767"/>
      <c r="H25" s="718">
        <f t="shared" si="7"/>
        <v>0</v>
      </c>
      <c r="I25" s="720">
        <f t="shared" si="2"/>
        <v>0</v>
      </c>
      <c r="J25" s="703"/>
      <c r="K25" s="760">
        <f t="shared" si="3"/>
        <v>0</v>
      </c>
      <c r="L25" s="713">
        <f t="shared" si="4"/>
        <v>0</v>
      </c>
      <c r="M25" s="761">
        <f t="shared" si="8"/>
        <v>0</v>
      </c>
      <c r="N25" s="762"/>
      <c r="O25" s="763"/>
      <c r="P25" s="761">
        <f t="shared" si="9"/>
        <v>0</v>
      </c>
      <c r="R25" s="713">
        <f t="shared" si="5"/>
        <v>0</v>
      </c>
      <c r="S25" s="713">
        <f t="shared" si="5"/>
        <v>0</v>
      </c>
    </row>
    <row r="26" spans="1:19">
      <c r="A26" s="764"/>
      <c r="B26" s="729" t="s">
        <v>1376</v>
      </c>
      <c r="C26" s="768"/>
      <c r="D26" s="719">
        <f t="shared" si="6"/>
        <v>0</v>
      </c>
      <c r="E26" s="719">
        <f t="shared" si="1"/>
        <v>0</v>
      </c>
      <c r="F26" s="766"/>
      <c r="G26" s="767"/>
      <c r="H26" s="718">
        <f t="shared" si="7"/>
        <v>0</v>
      </c>
      <c r="I26" s="720">
        <f t="shared" si="2"/>
        <v>0</v>
      </c>
      <c r="J26" s="703"/>
      <c r="K26" s="712">
        <f t="shared" si="3"/>
        <v>0</v>
      </c>
      <c r="L26" s="723">
        <f t="shared" si="4"/>
        <v>0</v>
      </c>
      <c r="M26" s="769">
        <f t="shared" si="8"/>
        <v>0</v>
      </c>
      <c r="N26" s="770"/>
      <c r="O26" s="771"/>
      <c r="P26" s="769">
        <f t="shared" si="9"/>
        <v>0</v>
      </c>
      <c r="R26" s="713">
        <f t="shared" si="5"/>
        <v>0</v>
      </c>
      <c r="S26" s="713">
        <f t="shared" si="5"/>
        <v>0</v>
      </c>
    </row>
    <row r="27" spans="1:19" ht="15.75" thickBot="1">
      <c r="A27" s="764"/>
      <c r="B27" s="719"/>
      <c r="C27" s="772" t="s">
        <v>1377</v>
      </c>
      <c r="D27" s="773">
        <f>SUM(D19:D26)</f>
        <v>11930.78</v>
      </c>
      <c r="E27" s="705">
        <f>IF(SUM(E19:E26)='数据-基础表'!BA5,SUM(E19:E26),IF(F27="地上面积有误","面积有误","地下面积有误"))</f>
        <v>20951.599999999999</v>
      </c>
      <c r="F27" s="773">
        <f>IF(SUM(F19:F26)=E8,SUM(F19:F26),"地上面积有误")</f>
        <v>20951.599999999999</v>
      </c>
      <c r="G27" s="774">
        <f>SUM(G19:G26)</f>
        <v>0</v>
      </c>
      <c r="H27" s="775">
        <f>SUM(H19:H26)</f>
        <v>0</v>
      </c>
      <c r="I27" s="776">
        <f>SUM(I19:I26)</f>
        <v>0</v>
      </c>
      <c r="J27" s="703"/>
      <c r="K27" s="777">
        <f>SUM(K19:K26)</f>
        <v>0</v>
      </c>
      <c r="L27" s="778">
        <f>SUM(L19:L26)</f>
        <v>0</v>
      </c>
      <c r="M27" s="779">
        <f>SUM(M19:M26)</f>
        <v>0</v>
      </c>
      <c r="N27" s="777">
        <f t="shared" ref="N27:O27" si="10">SUM(N19:N26)</f>
        <v>0</v>
      </c>
      <c r="O27" s="778">
        <f t="shared" si="10"/>
        <v>0</v>
      </c>
      <c r="P27" s="780">
        <f>SUM(P19:P26)</f>
        <v>0</v>
      </c>
      <c r="R27" s="781">
        <f>IF(SUM(R19:R26)=$D$3,SUM(R19:R26),SUM(R19:R26)&amp;"误差"&amp;ROUND(SUM(R19:R26)-$D$3,2))</f>
        <v>11930.78</v>
      </c>
      <c r="S27" s="713">
        <f>IF(SUM(S19:S26)=$E$3,SUM(S19:S26),SUM(S19:S26)&amp;"误差"&amp;ROUND(SUM(S19:S26)-E3,2))</f>
        <v>20951.599999999999</v>
      </c>
    </row>
    <row r="28" spans="1:19">
      <c r="A28" s="764"/>
      <c r="B28" s="729" t="s">
        <v>1378</v>
      </c>
      <c r="C28" s="782" t="s">
        <v>1379</v>
      </c>
      <c r="D28" s="719">
        <f>ROUND($D$3*E28/$E$3,2)</f>
        <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f>ROUND($D$3*E29/$E$3,2)</f>
        <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f>SUM(D28:D29)</f>
        <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f>D27+D30</f>
        <v>11930.78</v>
      </c>
      <c r="E31" s="790">
        <f>E27+E30</f>
        <v>20951.599999999999</v>
      </c>
      <c r="F31" s="789">
        <f>F27+F30</f>
        <v>20951.599999999999</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44795</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20951.599999999999</v>
      </c>
      <c r="C1" s="795"/>
      <c r="D1" s="795"/>
      <c r="E1" s="795"/>
      <c r="F1" s="795"/>
      <c r="G1" s="796"/>
      <c r="H1" s="797"/>
      <c r="I1" s="797"/>
      <c r="J1" s="797"/>
      <c r="K1" s="797"/>
    </row>
    <row r="2" spans="1:11" ht="16.5">
      <c r="A2" s="794" t="s">
        <v>866</v>
      </c>
      <c r="B2" s="794">
        <f>SUM(C14:C23)</f>
        <v>11930.78</v>
      </c>
      <c r="C2" s="795"/>
      <c r="D2" s="795"/>
      <c r="E2" s="795"/>
      <c r="F2" s="795"/>
      <c r="G2" s="796"/>
      <c r="H2" s="797"/>
      <c r="I2" s="797"/>
      <c r="J2" s="797"/>
      <c r="K2" s="797"/>
    </row>
    <row r="3" spans="1:11" ht="16.5">
      <c r="A3" s="794" t="s">
        <v>875</v>
      </c>
      <c r="B3" s="353">
        <f>项目基本情况!D3</f>
        <v>44795</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f>ROUND(B7*10000/$B$1,0)</f>
        <v>0</v>
      </c>
      <c r="D7" s="794">
        <f>ROUND(B7*10000/$B$2,0)</f>
        <v>0</v>
      </c>
      <c r="E7" s="795"/>
      <c r="F7" s="796"/>
      <c r="G7" s="796"/>
      <c r="H7" s="797"/>
      <c r="I7" s="797"/>
      <c r="J7" s="797"/>
      <c r="K7" s="797"/>
    </row>
    <row r="8" spans="1:11" ht="16.5">
      <c r="A8" s="794" t="s">
        <v>800</v>
      </c>
      <c r="B8" s="794">
        <f>SUM(I14:I23)</f>
        <v>0</v>
      </c>
      <c r="C8" s="794">
        <f>ROUND(B8*10000/$B$1,0)</f>
        <v>0</v>
      </c>
      <c r="D8" s="794">
        <f>ROUND(B8*10000/$B$2,0)</f>
        <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20951.599999999999</v>
      </c>
      <c r="C14" s="803">
        <f>结果表!C118</f>
        <v>11930.78</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北京市房地产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20951.599999999999</v>
      </c>
      <c r="M18" s="879">
        <f>IF(C1="",'数据-汇总表'!E3,SUMIF(项目类型,C1,'数据-汇总表'!E17:E26))</f>
        <v>20951.599999999999</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f>IF(C1="",'数据-汇总表'!D3,SUMIF(项目类型,C1,'数据-汇总表'!D17:D26)+SUMIF(项目类型,C1,'数据-汇总表'!H17:H27))</f>
        <v>11930.78</v>
      </c>
      <c r="M19" s="879">
        <f>IF(C1="",'数据-汇总表'!D3,SUMIF(项目类型,C1,'数据-汇总表'!D17:D26))</f>
        <v>11930.78</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44795</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抵押担保权已注销时的房地产抵押价值</v>
      </c>
      <c r="L49" s="3138"/>
      <c r="M49" s="3159" t="str">
        <f>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20951.599999999999</v>
      </c>
      <c r="C118" s="1108">
        <f>M19</f>
        <v>11930.78</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20951.599999999999</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20951.599999999999</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20951.599999999999</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20951.599999999999</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20951.599999999999</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20951.599999999999</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北京市房地产市场价值预评估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20951.599999999999</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20951.599999999999</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20951.599999999999</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20951.599999999999</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44795</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20951.599999999999</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44795</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20951.599999999999</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44795</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20951.599999999999</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44795</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9.2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44795</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9.2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受贵公司委托，我公司对北京市房地产市场价值进行了预评估。</v>
      </c>
    </row>
    <row r="5" spans="1:1" ht="18.75">
      <c r="A5" s="179" t="s">
        <v>1116</v>
      </c>
    </row>
    <row r="6" spans="1:1" ht="18.75">
      <c r="A6" s="180" t="s">
        <v>1117</v>
      </c>
    </row>
    <row r="7" spans="1:1" ht="18">
      <c r="A7" s="1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估价对象为北京市房地产，为所有。根据《国有土地使用证》[]，估价对象（分摊）出让国有建设用地使用权面积为11930.78平方米，建筑面积为20951.6平方米。</v>
      </c>
    </row>
    <row r="8" spans="1:1" ht="57.75">
      <c r="A8" s="181" t="s">
        <v>1118</v>
      </c>
    </row>
    <row r="9" spans="1:1" ht="18.75">
      <c r="A9" s="180" t="s">
        <v>1119</v>
      </c>
    </row>
    <row r="10" spans="1:1" ht="18">
      <c r="A10" s="1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估价对象为北京市房地产,属开发建设的，该项目尚在开发建设中。根据《国有土地使用证》[]，估价对象（分摊）出让国有建设用地使用权面积为11930.78平方米，规划建筑面积为20951.6平方米。</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2022年8月22日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本次估价的“房地产价值”是指在正常市场情况下，在价值时点2022年8月22日，估价对象规划用途为，土地取得方式为划拨，假定未设立法定优先受偿款下的房地产市场价值。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78" t="str">
        <f>IF(项目基本情况!B9="房地产市场价值","——",IF(项目基本情况!E9="——","",定义!C57))</f>
        <v>——</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44795</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9.2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44795</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20951.599999999999</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8"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8"/>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8"/>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0.3</v>
      </c>
      <c r="D61" s="2221">
        <v>0.25</v>
      </c>
      <c r="E61" s="1157">
        <f>'数据-汇总表'!E11</f>
        <v>0</v>
      </c>
      <c r="F61" s="1196" t="e">
        <f t="shared" si="15"/>
        <v>#DIV/0!</v>
      </c>
      <c r="G61" s="2224" t="s">
        <v>2133</v>
      </c>
      <c r="H61" s="2222" t="str">
        <f>项目基本情况!C37</f>
        <v>一级</v>
      </c>
      <c r="I61" s="1236">
        <f>SUMIF(修正!A57:A68,H61,修正!E57:E68)</f>
        <v>0.3</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0.3</v>
      </c>
      <c r="D62" s="2221">
        <v>0.25</v>
      </c>
      <c r="E62" s="1157">
        <f>'数据-汇总表'!E12</f>
        <v>0</v>
      </c>
      <c r="F62" s="1196" t="e">
        <f t="shared" si="15"/>
        <v>#DIV/0!</v>
      </c>
      <c r="G62" s="2225" t="s">
        <v>2135</v>
      </c>
      <c r="H62" s="2222" t="str">
        <f>IF(G62="商业",项目基本情况!B37,IF(G62="办公",项目基本情况!C37,IF(G62="住宅",项目基本情况!D37,项目基本情况!E37)))</f>
        <v>一级</v>
      </c>
      <c r="I62" s="1236">
        <f>SUMIF(修正!A57:A68,H62,修正!F57:F68)</f>
        <v>0.3</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0.2</v>
      </c>
      <c r="D65" s="2221">
        <v>0.25</v>
      </c>
      <c r="E65" s="1157">
        <f>'数据-汇总表'!E15</f>
        <v>0</v>
      </c>
      <c r="F65" s="1196" t="e">
        <f t="shared" si="15"/>
        <v>#DIV/0!</v>
      </c>
      <c r="G65" s="2226" t="s">
        <v>2133</v>
      </c>
      <c r="H65" s="2227" t="str">
        <f>项目基本情况!C37</f>
        <v>一级</v>
      </c>
      <c r="I65" s="2228">
        <f>SUMIF(修正!A57:A68,H65,修正!G57:G68)</f>
        <v>0.2</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20951.599999999999</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44795</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20951.599999999999</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8"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8"/>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8"/>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0.3</v>
      </c>
      <c r="D56" s="2221">
        <v>0.25</v>
      </c>
      <c r="E56" s="1157">
        <f>'数据-汇总表'!E11</f>
        <v>0</v>
      </c>
      <c r="F56" s="2249" t="e">
        <f t="shared" si="15"/>
        <v>#DIV/0!</v>
      </c>
      <c r="G56" s="2224" t="s">
        <v>2133</v>
      </c>
      <c r="H56" s="2222" t="str">
        <f>项目基本情况!C37</f>
        <v>一级</v>
      </c>
      <c r="I56" s="1235">
        <f>SUMIF(修正!A57:A68,H56,修正!E57:E68)</f>
        <v>0.3</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0.3</v>
      </c>
      <c r="D57" s="2221">
        <v>0.25</v>
      </c>
      <c r="E57" s="1157">
        <f>'数据-汇总表'!E12</f>
        <v>0</v>
      </c>
      <c r="F57" s="2249" t="e">
        <f t="shared" si="15"/>
        <v>#DIV/0!</v>
      </c>
      <c r="G57" s="2225" t="s">
        <v>2135</v>
      </c>
      <c r="H57" s="2222" t="str">
        <f>IF(G57="商业",项目基本情况!B37,IF(G57="办公",项目基本情况!C37,IF(G57="住宅",项目基本情况!D37,项目基本情况!E37)))</f>
        <v>一级</v>
      </c>
      <c r="I57" s="1235">
        <f>SUMIF(修正!A57:A68,H57,修正!F57:F68)</f>
        <v>0.3</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0.2</v>
      </c>
      <c r="D60" s="2221">
        <v>0.25</v>
      </c>
      <c r="E60" s="1157">
        <f>'数据-汇总表'!E15</f>
        <v>0</v>
      </c>
      <c r="F60" s="2249" t="e">
        <f t="shared" si="15"/>
        <v>#DIV/0!</v>
      </c>
      <c r="G60" s="2226" t="s">
        <v>2133</v>
      </c>
      <c r="H60" s="2227" t="str">
        <f>项目基本情况!C37</f>
        <v>一级</v>
      </c>
      <c r="I60" s="1235">
        <f>SUMIF(修正!A57:A68,H60,修正!G57:G68)</f>
        <v>0.2</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f>IF(B41="楼面地价",SUM(E51:E60),'数据-汇总表'!D3)</f>
        <v>11930.78</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zoomScale="80" zoomScaleNormal="80" zoomScaleSheetLayoutView="80" workbookViewId="0">
      <selection activeCell="D33" sqref="D33"/>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0</v>
      </c>
      <c r="E1" s="2258"/>
      <c r="F1" s="2258"/>
      <c r="G1" s="2258"/>
      <c r="H1" s="2258"/>
      <c r="I1" s="2258"/>
      <c r="J1" s="2258"/>
      <c r="L1" s="2260" t="s">
        <v>2165</v>
      </c>
      <c r="M1" s="474">
        <f>SUMPRODUCT((区片价!B5:B9=I2)*(区片价!C3:G3=E2)*(区片价!C5:G9))</f>
        <v>34470</v>
      </c>
      <c r="N1" s="473">
        <f>SUMPRODUCT((因素修正幅度!B5:B9=I2)*(因素修正幅度!C3:G3=E2)*(因素修正幅度!C5:G9))</f>
        <v>8.6999999999999994E-2</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0</v>
      </c>
      <c r="C2" s="2266" t="s">
        <v>2172</v>
      </c>
      <c r="D2" s="473" t="s">
        <v>2173</v>
      </c>
      <c r="E2" s="2267" t="s">
        <v>24</v>
      </c>
      <c r="F2" s="473" t="s">
        <v>2174</v>
      </c>
      <c r="G2" s="473" t="str">
        <f>IF(E2="商业",项目基本情况!B37,IF(E2="办公",项目基本情况!C37,IF(E2="住宅",项目基本情况!D37,IF(E2="工业",项目基本情况!E37,项目基本情况!F37))))</f>
        <v>一级</v>
      </c>
      <c r="H2" s="473" t="s">
        <v>2175</v>
      </c>
      <c r="I2" s="473" t="str">
        <f>IF(E2="商业",项目基本情况!B38,IF(E2="办公",项目基本情况!C38,IF(E2="住宅",项目基本情况!D38,IF(E2="工业",项目基本情况!E38,项目基本情况!F38))))</f>
        <v>Ⅰ—01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1.5206</v>
      </c>
      <c r="T2" s="477">
        <f t="shared" ref="T2:T16" si="0">ROUND($C$5*$C$22*$C$23*$C$24*S2*$C$28,0)</f>
        <v>53448</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t="e">
        <f>ROUND(B2*10000/D1,0)</f>
        <v>#DIV/0!</v>
      </c>
      <c r="C3" s="2266" t="s">
        <v>2178</v>
      </c>
      <c r="D3" s="473" t="s">
        <v>2179</v>
      </c>
      <c r="E3" s="2267" t="s">
        <v>3095</v>
      </c>
      <c r="F3" s="2270" t="s">
        <v>3096</v>
      </c>
      <c r="G3" s="2271">
        <f>'数据-汇总表'!I7</f>
        <v>1.76</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42432</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36664</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34470</v>
      </c>
      <c r="D5" s="2274">
        <f>ROUND(C6*C17+C20,0)</f>
        <v>34470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33177</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34470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31620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一级</v>
      </c>
      <c r="Y7" s="498" t="s">
        <v>2194</v>
      </c>
      <c r="Z7" s="498">
        <f>G3</f>
        <v>1.76</v>
      </c>
      <c r="AA7" s="2262"/>
      <c r="AB7" s="2262"/>
      <c r="AC7" s="2262"/>
      <c r="AD7" s="2263"/>
      <c r="AE7" s="2263"/>
      <c r="AF7" s="2263"/>
      <c r="AG7" s="2263"/>
      <c r="AH7" s="2263"/>
      <c r="AI7" s="2263"/>
      <c r="AJ7" s="2264"/>
    </row>
    <row r="8" spans="1:36" ht="25.5">
      <c r="A8" s="2294"/>
      <c r="B8" s="473" t="s">
        <v>2195</v>
      </c>
      <c r="C8" s="2267" t="s">
        <v>3104</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69" t="s">
        <v>2237</v>
      </c>
      <c r="E20" s="3270"/>
      <c r="F20" s="3269" t="s">
        <v>2234</v>
      </c>
      <c r="G20" s="3270"/>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3105</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44795</v>
      </c>
      <c r="H23" s="2361" t="s">
        <v>3106</v>
      </c>
      <c r="I23" s="2360" t="str">
        <f>IF(H23="季度增幅（自定义）",SUMIF(N25:N28,E2,O25:O28),"")</f>
        <v/>
      </c>
      <c r="J23" s="2982" t="s">
        <v>3091</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5.5E-2</v>
      </c>
      <c r="H24" s="2365" t="s">
        <v>2247</v>
      </c>
      <c r="I24" s="2367">
        <v>50</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3089</v>
      </c>
      <c r="C25" s="491">
        <f>IF(B25="容积率修正",IF(G3&lt;10,D26,J26),C27)</f>
        <v>1.1296999999999999</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1.1296999999999999</v>
      </c>
      <c r="E26" s="493">
        <f>ROUNDDOWN(G3,1)</f>
        <v>1.7</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1.1373</v>
      </c>
      <c r="G26" s="493">
        <f>ROUNDUP(G3,1)</f>
        <v>1.8</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1.1247</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0</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39708</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9927</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24604</v>
      </c>
      <c r="D37" s="2420"/>
      <c r="E37" s="473">
        <f>ROUND(C37*D37/10000,0)</f>
        <v>0</v>
      </c>
      <c r="F37" s="473">
        <f>SUMIF(修正!A57:A68,G2,修正!B57:B68)</f>
        <v>0.7</v>
      </c>
      <c r="G37" s="473">
        <f>ROUND(IF(E2="工业",C37*$M$42,C37*$M$41),0)</f>
        <v>6151</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14060</v>
      </c>
      <c r="D38" s="2420"/>
      <c r="E38" s="473">
        <f t="shared" ref="E38:E42" si="4">ROUND(C38*D38/10000,0)</f>
        <v>0</v>
      </c>
      <c r="F38" s="473">
        <f>SUMIF(修正!A57:A68,G2,修正!C57:C68)</f>
        <v>0.4</v>
      </c>
      <c r="G38" s="473">
        <f>ROUND(IF(E2="工业",C38*$M$42,C38*$M$41),0)</f>
        <v>3515</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10545</v>
      </c>
      <c r="D39" s="2420"/>
      <c r="E39" s="473">
        <f t="shared" si="4"/>
        <v>0</v>
      </c>
      <c r="F39" s="473">
        <f>SUMIF(修正!A57:A68,G2,修正!D57:D68)</f>
        <v>0.3</v>
      </c>
      <c r="G39" s="473">
        <f>ROUND(IF(E2="工业",C39*$M$42,C39*$M$41),0)</f>
        <v>2636</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10545</v>
      </c>
      <c r="D40" s="2420"/>
      <c r="E40" s="473">
        <f t="shared" si="4"/>
        <v>0</v>
      </c>
      <c r="F40" s="495">
        <f>SUMIF(修正!A57:A68,G2,修正!E57:E68)</f>
        <v>0.3</v>
      </c>
      <c r="G40" s="473">
        <f>ROUND(IF(E2="工业",C40*$M$42,C40*$M$41),0)</f>
        <v>2636</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f>IF(E2="办公",SUMIF(L1:L12,G2,N1:N12),"——")</f>
        <v>8.6999999999999994E-2</v>
      </c>
      <c r="G62" s="2459"/>
      <c r="H62" s="2460">
        <f t="shared" ref="H62:H70" si="12">IFERROR(ROUNDDOWN($F$62*I62/2,4),"——")</f>
        <v>1.0800000000000001E-2</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f t="shared" si="12"/>
        <v>1.1299999999999999E-2</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f t="shared" si="12"/>
        <v>4.7000000000000002E-3</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f t="shared" si="12"/>
        <v>2.0999999999999999E-3</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f t="shared" si="12"/>
        <v>2.0999999999999999E-3</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f t="shared" si="12"/>
        <v>2.5999999999999999E-3</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f t="shared" si="12"/>
        <v>2.5999999999999999E-3</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f t="shared" si="12"/>
        <v>3.8999999999999998E-3</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f t="shared" si="12"/>
        <v>3.0000000000000001E-3</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1.76</v>
      </c>
      <c r="C117" s="2365" t="s">
        <v>2318</v>
      </c>
      <c r="D117" s="500">
        <f>SUMPRODUCT((A119:A123=F117)*(B118:M118=H117)*B119:M123)</f>
        <v>0.97330000000000005</v>
      </c>
      <c r="E117" s="473" t="s">
        <v>2173</v>
      </c>
      <c r="F117" s="501" t="str">
        <f>E2</f>
        <v>办公</v>
      </c>
      <c r="G117" s="473" t="s">
        <v>2174</v>
      </c>
      <c r="H117" s="501" t="str">
        <f>G2</f>
        <v>一级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0.97740000000000005</v>
      </c>
      <c r="C119" s="502">
        <f>B119</f>
        <v>0.97740000000000005</v>
      </c>
      <c r="D119" s="502">
        <f>ROUND(0.949-0.014*B117,4)</f>
        <v>0.9244</v>
      </c>
      <c r="E119" s="502">
        <f>D119</f>
        <v>0.9244</v>
      </c>
      <c r="F119" s="502">
        <f>E119</f>
        <v>0.9244</v>
      </c>
      <c r="G119" s="502">
        <f>F119</f>
        <v>0.9244</v>
      </c>
      <c r="H119" s="502">
        <f>G119</f>
        <v>0.9244</v>
      </c>
      <c r="I119" s="502">
        <f>ROUND(0.8486-0.018*B117,4)</f>
        <v>0.81689999999999996</v>
      </c>
      <c r="J119" s="502">
        <f t="shared" ref="J119:M122" si="36">I119</f>
        <v>0.81689999999999996</v>
      </c>
      <c r="K119" s="502">
        <f t="shared" si="36"/>
        <v>0.81689999999999996</v>
      </c>
      <c r="L119" s="502">
        <f t="shared" si="36"/>
        <v>0.81689999999999996</v>
      </c>
      <c r="M119" s="504">
        <f t="shared" si="36"/>
        <v>0.81689999999999996</v>
      </c>
    </row>
    <row r="120" spans="1:14">
      <c r="A120" s="2413" t="s">
        <v>2230</v>
      </c>
      <c r="B120" s="502">
        <f>ROUND(0.993-0.0112*B117,4)</f>
        <v>0.97330000000000005</v>
      </c>
      <c r="C120" s="502">
        <f>B120</f>
        <v>0.97330000000000005</v>
      </c>
      <c r="D120" s="502">
        <f>ROUND(0.9415-0.0142*B117,4)</f>
        <v>0.91649999999999998</v>
      </c>
      <c r="E120" s="502">
        <f t="shared" ref="E120:H121" si="37">D120</f>
        <v>0.91649999999999998</v>
      </c>
      <c r="F120" s="502">
        <f t="shared" si="37"/>
        <v>0.91649999999999998</v>
      </c>
      <c r="G120" s="502">
        <f t="shared" si="37"/>
        <v>0.91649999999999998</v>
      </c>
      <c r="H120" s="502">
        <f t="shared" si="37"/>
        <v>0.91649999999999998</v>
      </c>
      <c r="I120" s="502">
        <f>ROUND(0.838-0.0182*B117,4)</f>
        <v>0.80600000000000005</v>
      </c>
      <c r="J120" s="502">
        <f t="shared" si="36"/>
        <v>0.80600000000000005</v>
      </c>
      <c r="K120" s="502">
        <f t="shared" si="36"/>
        <v>0.80600000000000005</v>
      </c>
      <c r="L120" s="502">
        <f t="shared" si="36"/>
        <v>0.80600000000000005</v>
      </c>
      <c r="M120" s="504">
        <f t="shared" si="36"/>
        <v>0.80600000000000005</v>
      </c>
    </row>
    <row r="121" spans="1:14">
      <c r="A121" s="2413" t="s">
        <v>2231</v>
      </c>
      <c r="B121" s="502">
        <f>ROUND(0.9448-0.0115*B117,4)</f>
        <v>0.92459999999999998</v>
      </c>
      <c r="C121" s="502">
        <f>B121</f>
        <v>0.92459999999999998</v>
      </c>
      <c r="D121" s="502">
        <f>ROUND(0.937-0.0145*B117,4)</f>
        <v>0.91149999999999998</v>
      </c>
      <c r="E121" s="502">
        <f t="shared" si="37"/>
        <v>0.91149999999999998</v>
      </c>
      <c r="F121" s="502">
        <f t="shared" si="37"/>
        <v>0.91149999999999998</v>
      </c>
      <c r="G121" s="502">
        <f t="shared" si="37"/>
        <v>0.91149999999999998</v>
      </c>
      <c r="H121" s="502">
        <f t="shared" si="37"/>
        <v>0.91149999999999998</v>
      </c>
      <c r="I121" s="502">
        <f>ROUND(0.7965-0.0185*B117,4)</f>
        <v>0.76390000000000002</v>
      </c>
      <c r="J121" s="502">
        <f t="shared" si="36"/>
        <v>0.76390000000000002</v>
      </c>
      <c r="K121" s="502">
        <f t="shared" si="36"/>
        <v>0.76390000000000002</v>
      </c>
      <c r="L121" s="502">
        <f t="shared" si="36"/>
        <v>0.76390000000000002</v>
      </c>
      <c r="M121" s="504">
        <f t="shared" si="36"/>
        <v>0.76390000000000002</v>
      </c>
    </row>
    <row r="122" spans="1:14" ht="13.5" thickBot="1">
      <c r="A122" s="2417" t="s">
        <v>2232</v>
      </c>
      <c r="B122" s="503">
        <f>ROUND(0.7836-0.012*B117,4)</f>
        <v>0.76249999999999996</v>
      </c>
      <c r="C122" s="503">
        <f>B122</f>
        <v>0.76249999999999996</v>
      </c>
      <c r="D122" s="503">
        <f>ROUND(0.753-0.015*B117,4)</f>
        <v>0.72660000000000002</v>
      </c>
      <c r="E122" s="503">
        <f>D122</f>
        <v>0.72660000000000002</v>
      </c>
      <c r="F122" s="503">
        <f>E122</f>
        <v>0.72660000000000002</v>
      </c>
      <c r="G122" s="503">
        <f>ROUND(0.6612-0.018*B117,4)</f>
        <v>0.62949999999999995</v>
      </c>
      <c r="H122" s="503">
        <f>G122</f>
        <v>0.62949999999999995</v>
      </c>
      <c r="I122" s="503">
        <f>ROUND(0.5905-0.019*B117,4)</f>
        <v>0.55710000000000004</v>
      </c>
      <c r="J122" s="503">
        <f t="shared" si="36"/>
        <v>0.55710000000000004</v>
      </c>
      <c r="K122" s="503">
        <f t="shared" si="36"/>
        <v>0.55710000000000004</v>
      </c>
      <c r="L122" s="503">
        <f t="shared" si="36"/>
        <v>0.55710000000000004</v>
      </c>
      <c r="M122" s="505">
        <f t="shared" si="36"/>
        <v>0.55710000000000004</v>
      </c>
    </row>
    <row r="123" spans="1:14">
      <c r="A123" s="2492" t="s">
        <v>2901</v>
      </c>
      <c r="B123" s="502">
        <f>ROUND(0.9404-0.0106*B117,4)</f>
        <v>0.92169999999999996</v>
      </c>
      <c r="C123" s="502">
        <f>B123</f>
        <v>0.92169999999999996</v>
      </c>
      <c r="D123" s="502">
        <f>ROUND(0.8955-0.0135*B117,4)</f>
        <v>0.87170000000000003</v>
      </c>
      <c r="E123" s="502">
        <f t="shared" ref="E123" si="38">D123</f>
        <v>0.87170000000000003</v>
      </c>
      <c r="F123" s="502">
        <f t="shared" ref="F123" si="39">E123</f>
        <v>0.87170000000000003</v>
      </c>
      <c r="G123" s="502">
        <f t="shared" ref="G123" si="40">F123</f>
        <v>0.87170000000000003</v>
      </c>
      <c r="H123" s="502">
        <f t="shared" ref="H123" si="41">G123</f>
        <v>0.87170000000000003</v>
      </c>
      <c r="I123" s="502">
        <f>ROUND(0.7632-0.0166*B117,4)</f>
        <v>0.73399999999999999</v>
      </c>
      <c r="J123" s="502">
        <f t="shared" ref="J123" si="42">I123</f>
        <v>0.73399999999999999</v>
      </c>
      <c r="K123" s="502">
        <f t="shared" ref="K123" si="43">J123</f>
        <v>0.73399999999999999</v>
      </c>
      <c r="L123" s="502">
        <f t="shared" ref="L123" si="44">K123</f>
        <v>0.73399999999999999</v>
      </c>
      <c r="M123" s="504">
        <f t="shared" ref="M123" si="45">L123</f>
        <v>0.73399999999999999</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1.1373</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1.0771999999999999</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0</v>
      </c>
      <c r="C2" s="2543" t="s">
        <v>2332</v>
      </c>
      <c r="D2" s="2543" t="s">
        <v>2333</v>
      </c>
      <c r="E2" s="2544">
        <f ca="1">SUMIF(E6:E13,"&lt;&gt;#ref!",E6:E13)</f>
        <v>0</v>
      </c>
      <c r="F2" s="2542"/>
      <c r="G2" s="2542"/>
      <c r="H2" s="2542"/>
      <c r="I2" s="2542"/>
      <c r="J2" s="2542"/>
      <c r="K2" s="2542"/>
      <c r="L2" s="2542"/>
      <c r="M2" s="2542"/>
      <c r="N2" s="2542"/>
      <c r="O2" s="2542"/>
      <c r="P2" s="2542"/>
    </row>
    <row r="3" spans="1:16" ht="15.75">
      <c r="A3" s="2543" t="s">
        <v>2334</v>
      </c>
      <c r="B3" s="1704" t="e">
        <f ca="1">ROUND(B2*10000/E2,0)</f>
        <v>#DIV/0!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0</v>
      </c>
      <c r="C6" s="2543" t="s">
        <v>2332</v>
      </c>
      <c r="D6" s="2542"/>
      <c r="E6" s="2544">
        <f ca="1">SUMIF(INDIRECT("'"&amp;A6&amp;"'"&amp;"!C:C"),"建筑面积",INDIRECT("'"&amp;A6&amp;"'"&amp;"!D:D"))</f>
        <v>0</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20951.599999999999</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20951.599999999999</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20951.599999999999</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估价结果一览表（市场价值不需“结果表-1”）</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44795</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3088</v>
      </c>
    </row>
    <row r="18" spans="1:30" s="2551" customFormat="1" ht="12.75">
      <c r="B18" s="2748" t="s">
        <v>3087</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44795</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估价结果一览表</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房地产市场价值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20951.599999999999</v>
      </c>
      <c r="C4" s="2770">
        <f>项目基本情况!C18</f>
        <v>11930.78</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0" t="str">
        <f>IF(项目基本情况!B8="抵押","3.抵押双方在办理抵押登记手续时，应使用本公司出具的正式《房地产评估报告》，特提醒报告使用者注意。","——")</f>
        <v>——</v>
      </c>
      <c r="B13" s="3015"/>
      <c r="C13" s="3015"/>
      <c r="D13" s="3015"/>
    </row>
    <row r="14" spans="1:4" ht="15.75" customHeight="1">
      <c r="A14" s="3010" t="str">
        <f>IF(项目基本情况!B8="抵押","4.本次评估估价师所知悉的法定优先受偿款情况说明如下：","——")</f>
        <v>——</v>
      </c>
      <c r="B14" s="3015"/>
      <c r="C14" s="3015"/>
      <c r="D14" s="3015"/>
    </row>
    <row r="15" spans="1:4" ht="42" customHeight="1">
      <c r="A15" s="3010" t="str">
        <f>IF(项目基本情况!B8="抵押","（1）"&amp;CONCATENATE(项目基本情况!L20,项目基本情况!L21,项目基本情况!L22),"——")</f>
        <v>——</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44795</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2022-03-25T05:42:40Z</cp:lastPrinted>
  <dcterms:created xsi:type="dcterms:W3CDTF">2015-07-13T07:17:23Z</dcterms:created>
  <dcterms:modified xsi:type="dcterms:W3CDTF">2022-08-22T04:06:25Z</dcterms:modified>
</cp:coreProperties>
</file>